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30.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mc:AlternateContent xmlns:mc="http://schemas.openxmlformats.org/markup-compatibility/2006">
    <mc:Choice Requires="x15">
      <x15ac:absPath xmlns:x15ac="http://schemas.microsoft.com/office/spreadsheetml/2010/11/ac" url="/Users/kelsey_dame/Downloads/"/>
    </mc:Choice>
  </mc:AlternateContent>
  <xr:revisionPtr revIDLastSave="0" documentId="8_{0350FC7C-633A-3343-B466-43D332E3A0F5}" xr6:coauthVersionLast="47" xr6:coauthVersionMax="47" xr10:uidLastSave="{00000000-0000-0000-0000-000000000000}"/>
  <workbookProtection workbookAlgorithmName="SHA-512" workbookHashValue="wuqOwnkm6sZVsug9Cp2F4VpkxGW1KPTIQnUKJYJEnl+jjK5KptbNKXAQMNGekocopsqinwOt8qq/zVDCy9kXwQ==" workbookSaltValue="zWKdGsK/tZI5vXjy3P5+hQ==" workbookSpinCount="100000" lockStructure="1"/>
  <bookViews>
    <workbookView xWindow="360" yWindow="500" windowWidth="16880" windowHeight="10440" activeTab="3" xr2:uid="{3113CE7E-E073-4E3F-BFA1-55CF6BDEC931}"/>
  </bookViews>
  <sheets>
    <sheet name="Overview" sheetId="6" r:id="rId1"/>
    <sheet name="Instructions" sheetId="23" r:id="rId2"/>
    <sheet name="Dashboards" sheetId="20" r:id="rId3"/>
    <sheet name="Summary" sheetId="17" r:id="rId4"/>
    <sheet name="KPIs" sheetId="25" r:id="rId5"/>
    <sheet name="Scen_Db" sheetId="19" r:id="rId6"/>
    <sheet name="Scenarios" sheetId="18" r:id="rId7"/>
    <sheet name="Model" sheetId="21" r:id="rId8"/>
    <sheet name="OBS" sheetId="16" r:id="rId9"/>
    <sheet name="Rev_Exp" sheetId="10" r:id="rId10"/>
    <sheet name="WC" sheetId="12" r:id="rId11"/>
    <sheet name="Assets" sheetId="14" r:id="rId12"/>
    <sheet name="Capital" sheetId="13" r:id="rId13"/>
    <sheet name="Tax" sheetId="11" r:id="rId14"/>
    <sheet name="Other" sheetId="15" r:id="rId15"/>
    <sheet name="Financials" sheetId="9" r:id="rId16"/>
    <sheet name="Appendices" sheetId="22" r:id="rId17"/>
    <sheet name="Time" sheetId="7" r:id="rId18"/>
    <sheet name="Lookups" sheetId="8" r:id="rId19"/>
    <sheet name="Checks" sheetId="2" r:id="rId20"/>
    <sheet name="ModanoMeta" sheetId="3" state="veryHidden" r:id="rId21"/>
  </sheets>
  <definedNames>
    <definedName name="Alt_Chk_1_Hdg" hidden="1">Financials!$B$82</definedName>
    <definedName name="Alt_Chk_10_Hdg" hidden="1">OBS!$B$4</definedName>
    <definedName name="Alt_Chk_11_Hdg" hidden="1">Rev_Exp!$B$115</definedName>
    <definedName name="Alt_Chk_12_Hdg" hidden="1">Capital!$B$83</definedName>
    <definedName name="Alt_Chk_13_Hdg" hidden="1">Rev_Exp!$B$46</definedName>
    <definedName name="Alt_Chk_14_Hdg" hidden="1">Rev_Exp!$B$166</definedName>
    <definedName name="Alt_Chk_15_Hdg" hidden="1">Rev_Exp!$B$189</definedName>
    <definedName name="Alt_Chk_16_Hdg" hidden="1">Rev_Exp!$B$17</definedName>
    <definedName name="Alt_Chk_17_Hdg" hidden="1">Rev_Exp!$B$27</definedName>
    <definedName name="Alt_Chk_18_Hdg" hidden="1">Capital!$B$57</definedName>
    <definedName name="Alt_Chk_2_Hdg" hidden="1">Assets!$B$17</definedName>
    <definedName name="Alt_Chk_3_Hdg" hidden="1">Rev_Exp!$B$85</definedName>
    <definedName name="Alt_Chk_4_Hdg" hidden="1">WC!$B$141</definedName>
    <definedName name="Alt_Chk_5_Hdg" hidden="1">Capital!$B$31</definedName>
    <definedName name="Alt_Chk_6_Hdg" hidden="1">WC!$B$17</definedName>
    <definedName name="Alt_Chk_7_Hdg" hidden="1">Assets!$B$40</definedName>
    <definedName name="Alt_Chk_8_Hdg" hidden="1">WC!$B$238</definedName>
    <definedName name="Alt_Chk_9_Hdg" hidden="1">WC!$B$83</definedName>
    <definedName name="Alt_Chks_Msg">Checks!$G$62</definedName>
    <definedName name="Alt_Chks_Ttl_Areas">Checks!$M$85</definedName>
    <definedName name="BA_Alt_Chks" hidden="1">Checks!$59:$85</definedName>
    <definedName name="BA_Err_Chks" hidden="1">Checks!$3:$42</definedName>
    <definedName name="BA_Sens_Chks" hidden="1">Checks!$43:$58</definedName>
    <definedName name="CA_Alt_Chks">Checks!$K$66:$K$83</definedName>
    <definedName name="CA_Alt_Chks_Area_Names">Checks!$B$66:$B$83</definedName>
    <definedName name="CA_Alt_Chks_Flags">Checks!$M$66:$M$83</definedName>
    <definedName name="CA_Alt_Chks_Inc">Checks!$L$66:$L$83</definedName>
    <definedName name="CA_Err_Chks">Checks!$K$10:$K$40</definedName>
    <definedName name="CA_Err_Chks_Area_Names">Checks!$B$10:$B$40</definedName>
    <definedName name="CA_Err_Chks_Flags">Checks!$M$10:$M$40</definedName>
    <definedName name="CA_Err_Chks_Inc">Checks!$L$10:$L$40</definedName>
    <definedName name="CA_Sens_Chks">Checks!$K$50:$K$56</definedName>
    <definedName name="CA_Sens_Chks_Area_Names">Checks!$B$50:$B$56</definedName>
    <definedName name="CA_Sens_Chks_Flags">Checks!$M$50:$M$56</definedName>
    <definedName name="CA_Sens_Chks_Inc">Checks!$L$50:$L$56</definedName>
    <definedName name="Capex_Cat_2_Active_Scenario">Scenarios!$I$110</definedName>
    <definedName name="Capex_Cat_Active_Scenario">Scenarios!$I$107</definedName>
    <definedName name="CB_Alt_Chks_Show_Msg">Checks!$K$85</definedName>
    <definedName name="CB_Eq_Ord_Cash_Limit_Div">Capital!$B$106</definedName>
    <definedName name="CB_Err_Chks_Show_Msg">Checks!$K$42</definedName>
    <definedName name="CB_Sens_Chks_Show_Msg">Checks!$K$58</definedName>
    <definedName name="Cogs_Cat_2_Active_Scenario">Scenarios!$I$62</definedName>
    <definedName name="Cogs_Cat_3_Active_Scenario">Scenarios!$I$65</definedName>
    <definedName name="Cogs_Cat_Active_Scenario">Scenarios!$I$59</definedName>
    <definedName name="Corp_Tax_Assess_Freq_Mthly">Lookups!$D$221</definedName>
    <definedName name="Corp_Tax_Assess_Freq_None">Lookups!$D$220</definedName>
    <definedName name="Corp_Tax_Assess_Freq_Qtrly">Lookups!$D$222</definedName>
    <definedName name="Corp_Tax_Assess_Freq_Semi_Ann">Lookups!$D$223</definedName>
    <definedName name="Corp_Tax_No">Lookups!$D$215</definedName>
    <definedName name="Corp_Tax_Pmt_Amt_Mth_Amt">Lookups!$D$245</definedName>
    <definedName name="Corp_Tax_Pmt_Amt_Mth_Assess">Lookups!$D$244</definedName>
    <definedName name="Corp_Tax_Yes">Lookups!$D$214</definedName>
    <definedName name="DD_Corp_Tax_Yr_End_Mth">Tax!$H$235</definedName>
    <definedName name="DD_Fs_Sum_First_Disp_Per">Summary!$E$91</definedName>
    <definedName name="DD_Scen_Db_First_Disp_Per">Scenarios!$H$126</definedName>
    <definedName name="DD_Scenarios_Active">Scenarios!$H$9</definedName>
    <definedName name="DD_Ts_Denom">Time!$I$17</definedName>
    <definedName name="DD_Ts_Fin_Yr_End_Mth">Time!$H$7</definedName>
    <definedName name="DD_Ts_Model_Start_Mth">Time!$H$9</definedName>
    <definedName name="DD_VAT_Yr_End_Mth">Tax!$H$21</definedName>
    <definedName name="Debt_2_Name">Capital!$B$57</definedName>
    <definedName name="Debt_Name">Capital!$B$31</definedName>
    <definedName name="Eq_Ord_Div_Dec_Freq_Ann">Lookups!$D$169</definedName>
    <definedName name="Eq_Ord_Div_Dec_Freq_Mthly">Lookups!$D$166</definedName>
    <definedName name="Eq_Ord_Div_Dec_Freq_Qtrly">Lookups!$D$167</definedName>
    <definedName name="Eq_Ord_Div_Dec_Freq_Semi_Ann">Lookups!$D$168</definedName>
    <definedName name="Eq_Ord_Div_Meth_Amt">Lookups!$D$155</definedName>
    <definedName name="Eq_Ord_Div_Meth_Pcent_Of_Npat">Lookups!$D$154</definedName>
    <definedName name="Eq_Ord_No">Lookups!$D$161</definedName>
    <definedName name="Eq_Ord_Yes">Lookups!$D$160</definedName>
    <definedName name="Err_Chk_1_Hdg" hidden="1">Financials!$B$82</definedName>
    <definedName name="Err_Chk_10_Hdg" hidden="1">Financials!$B$17</definedName>
    <definedName name="Err_Chk_11_Hdg" hidden="1">Other!$B$17</definedName>
    <definedName name="Err_Chk_12_Hdg" hidden="1">WC!$B$238</definedName>
    <definedName name="Err_Chk_13_Hdg" hidden="1">WC!$B$83</definedName>
    <definedName name="Err_Chk_14_Hdg" hidden="1">OBS!$B$4</definedName>
    <definedName name="Err_Chk_15_Hdg" hidden="1">Rev_Exp!$B$115</definedName>
    <definedName name="Err_Chk_16_Hdg" hidden="1">Capital!$B$83</definedName>
    <definedName name="Err_Chk_17_Hdg" hidden="1">Other!$B$35</definedName>
    <definedName name="Err_Chk_18_Hdg" hidden="1">Rev_Exp!$B$166</definedName>
    <definedName name="Err_Chk_19_Hdg" hidden="1">Rev_Exp!$B$46</definedName>
    <definedName name="Err_Chk_2_Hdg" hidden="1">Assets!$B$17</definedName>
    <definedName name="Err_Chk_20_Hdg" hidden="1">Tax!$B$17</definedName>
    <definedName name="Err_Chk_21_Hdg" hidden="1">Summary!$B$1</definedName>
    <definedName name="Err_Chk_22_Hdg" hidden="1">Scenarios!$B$114</definedName>
    <definedName name="Err_Chk_23_Hdg" hidden="1">Capital!$B$31</definedName>
    <definedName name="Err_Chk_24_Hdg" hidden="1">Rev_Exp!$B$189</definedName>
    <definedName name="Err_Chk_25_Hdg" hidden="1">Other!$B$65</definedName>
    <definedName name="Err_Chk_26_Hdg" hidden="1">Other!$B$95</definedName>
    <definedName name="Err_Chk_27_Hdg" hidden="1">Other!$B$125</definedName>
    <definedName name="Err_Chk_28_Hdg" hidden="1">Other!$B$155</definedName>
    <definedName name="Err_Chk_29_Hdg" hidden="1">Rev_Exp!$B$17</definedName>
    <definedName name="Err_Chk_3_Hdg" hidden="1">Financials!$B$170</definedName>
    <definedName name="Err_Chk_30_Hdg" hidden="1">Rev_Exp!$B$27</definedName>
    <definedName name="Err_Chk_31_Hdg" hidden="1">Capital!$B$57</definedName>
    <definedName name="Err_Chk_4_Hdg" hidden="1">Tax!$B$231</definedName>
    <definedName name="Err_Chk_5_Hdg" hidden="1">Rev_Exp!$B$85</definedName>
    <definedName name="Err_Chk_6_Hdg" hidden="1">WC!$B$141</definedName>
    <definedName name="Err_Chk_7_Hdg" hidden="1">Capital!$B$17</definedName>
    <definedName name="Err_Chk_8_Hdg" hidden="1">WC!$B$17</definedName>
    <definedName name="Err_Chk_9_Hdg" hidden="1">Assets!$B$40</definedName>
    <definedName name="Err_Chks_Msg">Checks!$G$6</definedName>
    <definedName name="Err_Chks_Ttl_Areas">Checks!$M$42</definedName>
    <definedName name="HL_Alt_Chk">Checks!$B$60</definedName>
    <definedName name="HL_Alt_Chk_1" hidden="1">Financials!$I$168</definedName>
    <definedName name="HL_Alt_Chk_10" hidden="1">OBS!$J$79</definedName>
    <definedName name="HL_Alt_Chk_11" hidden="1">Rev_Exp!$I$164</definedName>
    <definedName name="HL_Alt_Chk_12" hidden="1">Capital!$I$148</definedName>
    <definedName name="HL_Alt_Chk_13" hidden="1">Rev_Exp!$I$83</definedName>
    <definedName name="HL_Alt_Chk_14" hidden="1">Rev_Exp!$I$187</definedName>
    <definedName name="HL_Alt_Chk_15" hidden="1">Rev_Exp!$I$208</definedName>
    <definedName name="HL_Alt_Chk_16" hidden="1">Rev_Exp!$I$25</definedName>
    <definedName name="HL_Alt_Chk_17" hidden="1">Rev_Exp!$I$44</definedName>
    <definedName name="HL_Alt_Chk_18" hidden="1">Capital!$I$81</definedName>
    <definedName name="HL_Alt_Chk_2" hidden="1">Assets!$I$38</definedName>
    <definedName name="HL_Alt_Chk_3" hidden="1">Rev_Exp!$I$113</definedName>
    <definedName name="HL_Alt_Chk_4" hidden="1">WC!$I$236</definedName>
    <definedName name="HL_Alt_Chk_5" hidden="1">Capital!$I$55</definedName>
    <definedName name="HL_Alt_Chk_6" hidden="1">WC!$I$81</definedName>
    <definedName name="HL_Alt_Chk_7" hidden="1">Assets!$I$94</definedName>
    <definedName name="HL_Alt_Chk_8" hidden="1">WC!$I$296</definedName>
    <definedName name="HL_Alt_Chk_9" hidden="1">WC!$I$139</definedName>
    <definedName name="HL_Assets_Ass">Assets!$B$40</definedName>
    <definedName name="HL_Capex_Ass">Assets!$B$17</definedName>
    <definedName name="HL_Capex_Scen_Ass">Scenarios!$B$104</definedName>
    <definedName name="HL_Cogs_Ass">Rev_Exp!$B$85</definedName>
    <definedName name="HL_Cogs_Scen_Ass">Scenarios!$B$56</definedName>
    <definedName name="HL_Corp_Tax_Ass">Tax!$B$231</definedName>
    <definedName name="HL_Creditors_Ass">WC!$B$141</definedName>
    <definedName name="HL_Debt_Od_Out">Capital!$B$17</definedName>
    <definedName name="HL_Debtors_Ass">WC!$B$17</definedName>
    <definedName name="HL_Eq_Ord_Ass">Capital!$B$83</definedName>
    <definedName name="HL_Err_Chk">Checks!$B$4</definedName>
    <definedName name="HL_Err_Chk_1" hidden="1">Financials!$I$166</definedName>
    <definedName name="HL_Err_Chk_10" hidden="1">Financials!$I$80</definedName>
    <definedName name="HL_Err_Chk_11" hidden="1">Other!$I$33</definedName>
    <definedName name="HL_Err_Chk_12" hidden="1">WC!$I$292</definedName>
    <definedName name="HL_Err_Chk_13" hidden="1">WC!$I$135</definedName>
    <definedName name="HL_Err_Chk_14" hidden="1">OBS!$J$77</definedName>
    <definedName name="HL_Err_Chk_15" hidden="1">Rev_Exp!$I$163</definedName>
    <definedName name="HL_Err_Chk_16" hidden="1">Capital!$I$144</definedName>
    <definedName name="HL_Err_Chk_17" hidden="1">Other!$I$63</definedName>
    <definedName name="HL_Err_Chk_18" hidden="1">Rev_Exp!$I$186</definedName>
    <definedName name="HL_Err_Chk_19" hidden="1">Rev_Exp!$I$82</definedName>
    <definedName name="HL_Err_Chk_2" hidden="1">Assets!$I$37</definedName>
    <definedName name="HL_Err_Chk_20" hidden="1">Tax!$I$229</definedName>
    <definedName name="HL_Err_Chk_21" hidden="1">Summary!$D$247</definedName>
    <definedName name="HL_Err_Chk_22" hidden="1">Scenarios!$H$261</definedName>
    <definedName name="HL_Err_Chk_23" hidden="1">Capital!$I$51</definedName>
    <definedName name="HL_Err_Chk_24" hidden="1">Rev_Exp!$I$207</definedName>
    <definedName name="HL_Err_Chk_25" hidden="1">Other!$I$93</definedName>
    <definedName name="HL_Err_Chk_26" hidden="1">Other!$I$123</definedName>
    <definedName name="HL_Err_Chk_27" hidden="1">Other!$I$153</definedName>
    <definedName name="HL_Err_Chk_28" hidden="1">Other!$I$183</definedName>
    <definedName name="HL_Err_Chk_29" hidden="1">Rev_Exp!$I$24</definedName>
    <definedName name="HL_Err_Chk_3" hidden="1">Financials!$I$293</definedName>
    <definedName name="HL_Err_Chk_30" hidden="1">Rev_Exp!$I$43</definedName>
    <definedName name="HL_Err_Chk_31" hidden="1">Capital!$I$77</definedName>
    <definedName name="HL_Err_Chk_4" hidden="1">Tax!$I$384</definedName>
    <definedName name="HL_Err_Chk_5" hidden="1">Rev_Exp!$I$112</definedName>
    <definedName name="HL_Err_Chk_6" hidden="1">WC!$I$232</definedName>
    <definedName name="HL_Err_Chk_7" hidden="1">Capital!$I$29</definedName>
    <definedName name="HL_Err_Chk_8" hidden="1">WC!$I$77</definedName>
    <definedName name="HL_Err_Chk_9" hidden="1">Assets!$I$89</definedName>
    <definedName name="HL_Home">Overview!$B$1</definedName>
    <definedName name="HL_Inst_Dashboards" hidden="1">Summary!$A$1</definedName>
    <definedName name="HL_Inst_Obs" hidden="1">OBS!$A$1</definedName>
    <definedName name="HL_Inst_Rev_Exp" hidden="1">Rev_Exp!$A$1</definedName>
    <definedName name="HL_Inst_Ts_Ass" hidden="1">Time!$A$1</definedName>
    <definedName name="HL_Inv_Ass">WC!$B$83</definedName>
    <definedName name="HL_Inv_Pay_Ass">WC!$B$238</definedName>
    <definedName name="HL_Oca_Ass">Other!$B$35</definedName>
    <definedName name="HL_Ocl_Ass">Other!$B$95</definedName>
    <definedName name="HL_Oe_Ass">Other!$B$155</definedName>
    <definedName name="HL_Onca_Ass">Other!$B$65</definedName>
    <definedName name="HL_Oncl_Ass">Other!$B$125</definedName>
    <definedName name="HL_Opex_Ass">Rev_Exp!$B$115</definedName>
    <definedName name="HL_Opex_Scen_Ass">Scenarios!$B$69</definedName>
    <definedName name="HL_Oth_Exp_Ass">Rev_Exp!$B$189</definedName>
    <definedName name="HL_Oth_Rev_Ass">Rev_Exp!$B$166</definedName>
    <definedName name="HL_Oth_Rev_Scen_Ass">Scenarios!$B$94</definedName>
    <definedName name="HL_Rev_Ass">Rev_Exp!$B$46</definedName>
    <definedName name="HL_Rev_Scen_Ass">Scenarios!$B$40</definedName>
    <definedName name="HL_Scen_Db_Ass">Scenarios!$B$114</definedName>
    <definedName name="HL_Scen_Db_Out">Scen_Db!$B$4</definedName>
    <definedName name="HL_Sens_Chk">Checks!$B$44</definedName>
    <definedName name="HL_Sens_Chk_1" hidden="1">Scenarios!$I$41</definedName>
    <definedName name="HL_Sens_Chk_2" hidden="1">Scenarios!$I$57</definedName>
    <definedName name="HL_Sens_Chk_3" hidden="1">Scenarios!$I$70</definedName>
    <definedName name="HL_Sens_Chk_4" hidden="1">Scenarios!$I$105</definedName>
    <definedName name="HL_Sens_Chk_5" hidden="1">Scenarios!$I$31</definedName>
    <definedName name="HL_Sens_Chk_6" hidden="1">Scenarios!$I$26</definedName>
    <definedName name="HL_Sens_Chk_7" hidden="1">Scenarios!$I$95</definedName>
    <definedName name="HL_Sheet_Main" hidden="1">Overview!$A$1</definedName>
    <definedName name="HL_Sheet_Main_10" hidden="1">Assets!$A$1</definedName>
    <definedName name="HL_Sheet_Main_11" hidden="1">Other!$A$1</definedName>
    <definedName name="HL_Sheet_Main_12" hidden="1">OBS!$A$1</definedName>
    <definedName name="HL_Sheet_Main_13" hidden="1">Summary!$A$1</definedName>
    <definedName name="HL_Sheet_Main_14" hidden="1">Scenarios!$A$1</definedName>
    <definedName name="HL_Sheet_Main_15" hidden="1">Scen_Db!$A$1</definedName>
    <definedName name="HL_Sheet_Main_16" hidden="1">Dashboards!$A$1</definedName>
    <definedName name="HL_Sheet_Main_17" hidden="1">Model!$A$1</definedName>
    <definedName name="HL_Sheet_Main_18" hidden="1">Appendices!$A$1</definedName>
    <definedName name="HL_Sheet_Main_19" hidden="1">Instructions!$A$1</definedName>
    <definedName name="HL_Sheet_Main_2" hidden="1">Time!$A$1</definedName>
    <definedName name="HL_Sheet_Main_20" hidden="1">KPIs!$A$1</definedName>
    <definedName name="HL_Sheet_Main_3" hidden="1">Lookups!$A$1</definedName>
    <definedName name="HL_Sheet_Main_4" hidden="1">Financials!$A$1</definedName>
    <definedName name="HL_Sheet_Main_5" hidden="1">Checks!$A$1</definedName>
    <definedName name="HL_Sheet_Main_6" hidden="1">Rev_Exp!$A$1</definedName>
    <definedName name="HL_Sheet_Main_7" hidden="1">Tax!$A$1</definedName>
    <definedName name="HL_Sheet_Main_8" hidden="1">WC!$A$1</definedName>
    <definedName name="HL_Sheet_Main_9" hidden="1">Capital!$A$1</definedName>
    <definedName name="HL_TOC_1" hidden="1">Checks!$B$4</definedName>
    <definedName name="HL_TOC_10" hidden="1">Scenarios!$B$56</definedName>
    <definedName name="HL_TOC_11" hidden="1">WC!$B$141</definedName>
    <definedName name="HL_TOC_12" hidden="1">Capital!$B$17</definedName>
    <definedName name="HL_TOC_13" hidden="1">WC!$B$17</definedName>
    <definedName name="HL_TOC_14" hidden="1">Assets!$B$40</definedName>
    <definedName name="HL_TOC_15" hidden="1">Lookups!$B$141</definedName>
    <definedName name="HL_TOC_16" hidden="1">Financials!$B$17</definedName>
    <definedName name="HL_TOC_17" hidden="1">Other!$B$17</definedName>
    <definedName name="HL_TOC_18" hidden="1">WC!$B$238</definedName>
    <definedName name="HL_TOC_19" hidden="1">WC!$B$83</definedName>
    <definedName name="HL_TOC_2" hidden="1">Checks!$B$44</definedName>
    <definedName name="HL_TOC_20" hidden="1">Lookups!$B$119</definedName>
    <definedName name="HL_TOC_21" hidden="1">OBS!$B$4</definedName>
    <definedName name="HL_TOC_22" hidden="1">Scenarios!$B$69</definedName>
    <definedName name="HL_TOC_23" hidden="1">Capital!$B$83</definedName>
    <definedName name="HL_TOC_24" hidden="1">Other!$B$35</definedName>
    <definedName name="HL_TOC_25" hidden="1">Other!$B$65</definedName>
    <definedName name="HL_TOC_26" hidden="1">Scenarios!$B$94</definedName>
    <definedName name="HL_TOC_27" hidden="1">Rev_Exp!$B$189</definedName>
    <definedName name="HL_TOC_28" hidden="1">Scenarios!$B$40</definedName>
    <definedName name="HL_TOC_29" hidden="1">Tax!$B$17</definedName>
    <definedName name="HL_TOC_3" hidden="1">Checks!$B$60</definedName>
    <definedName name="HL_TOC_30" hidden="1">Lookups!$B$171</definedName>
    <definedName name="HL_TOC_31" hidden="1">Lookups!$B$247</definedName>
    <definedName name="HL_TOC_32" hidden="1">Scenarios!$B$7</definedName>
    <definedName name="HL_TOC_33" hidden="1">Lookups!$B$103</definedName>
    <definedName name="HL_TOC_34" hidden="1">Rev_Exp!$B$46</definedName>
    <definedName name="HL_TOC_35" hidden="1">Rev_Exp!$B$85</definedName>
    <definedName name="HL_TOC_36" hidden="1">Rev_Exp!$B$115</definedName>
    <definedName name="HL_TOC_37" hidden="1">Assets!$B$17</definedName>
    <definedName name="HL_TOC_38" hidden="1">Scenarios!$B$114</definedName>
    <definedName name="HL_TOC_39" hidden="1">Scen_Db!$B$4</definedName>
    <definedName name="HL_TOC_4" hidden="1">Time!$B$4</definedName>
    <definedName name="HL_TOC_40" hidden="1">Lookups!$B$331</definedName>
    <definedName name="HL_TOC_41" hidden="1">Capital!$B$31</definedName>
    <definedName name="HL_TOC_42" hidden="1">Other!$B$95</definedName>
    <definedName name="HL_TOC_43" hidden="1">Other!$B$125</definedName>
    <definedName name="HL_TOC_44" hidden="1">Other!$B$155</definedName>
    <definedName name="HL_TOC_45" hidden="1">Scenarios!$B$25</definedName>
    <definedName name="HL_TOC_46" hidden="1">Scenarios!$B$30</definedName>
    <definedName name="HL_TOC_47" hidden="1">Rev_Exp!$B$27</definedName>
    <definedName name="HL_TOC_48" hidden="1">Rev_Exp!$B$17</definedName>
    <definedName name="HL_TOC_49" hidden="1">Rev_Exp!$B$166</definedName>
    <definedName name="HL_TOC_5" hidden="1">Financials!$B$82</definedName>
    <definedName name="HL_TOC_50" hidden="1">Capital!$B$57</definedName>
    <definedName name="HL_TOC_51" hidden="1">Lookups!$B$289</definedName>
    <definedName name="HL_TOC_6" hidden="1">Scenarios!$B$104</definedName>
    <definedName name="HL_TOC_7" hidden="1">Financials!$B$170</definedName>
    <definedName name="HL_TOC_8" hidden="1">Tax!$B$231</definedName>
    <definedName name="HL_TOC_9" hidden="1">Lookups!$B$209</definedName>
    <definedName name="HL_VAT_Ass">Tax!$B$17</definedName>
    <definedName name="HL_VAT_Exp_Excl_Sales_Tax_Ass">Tax!$B$64</definedName>
    <definedName name="HL_VAT_Exp_Inc_Sales_Tax_Out">Tax!$B$186</definedName>
    <definedName name="HL_VAT_Rev_Excl_Sales_Ass">Tax!$B$49</definedName>
    <definedName name="HL_VAT_Rev_Inc_Sales_Tax_Out">Tax!$B$171</definedName>
    <definedName name="HL_Vol_2_Ass">Scenarios!$B$30</definedName>
    <definedName name="HL_Vol_2_Ass_A">Rev_Exp!$B$27</definedName>
    <definedName name="HL_Vol_Ass">Scenarios!$B$25</definedName>
    <definedName name="HL_Vol_Ass_A">Rev_Exp!$B$17</definedName>
    <definedName name="LU_Assets_Cat_Names">Lookups!$D$146:$D$147</definedName>
    <definedName name="LU_Corp_Tax_Assess_Freq">Lookups!$D$220:$D$223</definedName>
    <definedName name="LU_Corp_Tax_Pmt_Amt_Meth">Lookups!$D$244:$D$245</definedName>
    <definedName name="LU_Corp_Tax_Yr_End_Mth">Lookups!$D$228:$D$239</definedName>
    <definedName name="LU_Creditors_Cat_Names">Lookups!$D$131:$D$132</definedName>
    <definedName name="LU_Debtors_Cat_Names">Lookups!$D$117</definedName>
    <definedName name="LU_Eq_Ord_Div_Dec_Freq">Lookups!$D$166:$D$169</definedName>
    <definedName name="LU_Eq_Ord_Div_Meth">Lookups!$D$154:$D$155</definedName>
    <definedName name="LU_Eq_Ord_Yes_No">Lookups!$D$160:$D$161</definedName>
    <definedName name="LU_Fs_Sum_2_First_Disp_Per">Lookups!$D$294:$D$329</definedName>
    <definedName name="LU_Fs_Sum_First_Disp_Per">Lookups!$D$252:$D$287</definedName>
    <definedName name="LU_Inv_Cat_Names">Lookups!$D$124</definedName>
    <definedName name="LU_Inv_Pay_Cat_Names">Lookups!$D$139</definedName>
    <definedName name="LU_Scen_Db_Data_Tables_Status">Lookups!$D$383:$D$385</definedName>
    <definedName name="LU_Scen_Db_First_Disp_Per">Lookups!$D$336:$D$371</definedName>
    <definedName name="LU_Scen_Db_Scenario_Names">Lookups!$D$376:$D$378</definedName>
    <definedName name="LU_Scenarios_Names">Lookups!$D$108:$D$110</definedName>
    <definedName name="LU_Ts_Denom">Lookups!$D$74:$D$77</definedName>
    <definedName name="LU_Ts_Denom_Conv">Lookups!$D$82:$D$85</definedName>
    <definedName name="LU_Ts_Model_Start_Mth">Lookups!$D$90:$D$101</definedName>
    <definedName name="LU_Ts_Mth_Days">Lookups!$D$9:$D$39</definedName>
    <definedName name="LU_Ts_Mth_Names">Lookups!$D$44:$D$55</definedName>
    <definedName name="LU_VAT_Assess_Freq">Lookups!$D$192:$D$195</definedName>
    <definedName name="LU_VAT_Basis">Lookups!$D$200:$D$201</definedName>
    <definedName name="LU_VAT_Yr_End_Mth">Lookups!$D$176:$D$187</definedName>
    <definedName name="MdoLsk" hidden="1">"8L43eTEZ6IW0PhBlLtdzvVhuRQnRXJ2yRMd/0FZqDh/r0xQwVp1yW810C9Tp+uRD"</definedName>
    <definedName name="MdoMwb" hidden="1">"This workbook is a Modano modular workbook."</definedName>
    <definedName name="MdoRsu" hidden="1">"E2JOk4PCHkXU1q1eFxTIrA=="</definedName>
    <definedName name="MdoStgs" hidden="1">"{81B148B0-F4BC-4F2B-916E-D3C46EA79968}"</definedName>
    <definedName name="ModanoMetaDataXml" hidden="1">ModanoMeta!$A$1</definedName>
    <definedName name="MODDT1" hidden="1">Scenarios!$I$141:$T$143</definedName>
    <definedName name="MODDT10" hidden="1">Scenarios!$I$211:$T$213</definedName>
    <definedName name="MODDT11" hidden="1">Scenarios!$I$218:$T$220</definedName>
    <definedName name="MODDT12" hidden="1">Scenarios!$I$232:$T$234</definedName>
    <definedName name="MODDT13" hidden="1">Scenarios!$I$239:$T$241</definedName>
    <definedName name="MODDT14" hidden="1">Scenarios!$I$246:$T$248</definedName>
    <definedName name="MODDT2" hidden="1">Scenarios!$I$148:$T$150</definedName>
    <definedName name="MODDT3" hidden="1">Scenarios!$I$160:$T$162</definedName>
    <definedName name="MODDT4" hidden="1">Scenarios!$I$167:$T$169</definedName>
    <definedName name="MODDT5" hidden="1">Scenarios!$I$174:$T$176</definedName>
    <definedName name="MODDT6" hidden="1">Scenarios!$I$181:$T$183</definedName>
    <definedName name="MODDT7" hidden="1">Scenarios!$I$188:$T$190</definedName>
    <definedName name="MODDT8" hidden="1">Scenarios!$I$197:$T$199</definedName>
    <definedName name="MODDT9" hidden="1">Scenarios!$I$204:$T$206</definedName>
    <definedName name="Model_Name">Overview!$B$2</definedName>
    <definedName name="MODMC1" hidden="1">Time!$3:$22</definedName>
    <definedName name="MODMC10" hidden="1">Rev_Exp!$3:$15</definedName>
    <definedName name="MODMC101" hidden="1">Rev_Exp!$99:$99</definedName>
    <definedName name="MODMC102" hidden="1">Rev_Exp!$133:$135</definedName>
    <definedName name="MODMC103" hidden="1">Rev_Exp!$146:$146</definedName>
    <definedName name="MODMC104" hidden="1">Scenarios!$72:$74</definedName>
    <definedName name="MODMC107" hidden="1">Rev_Exp!$188:$191</definedName>
    <definedName name="MODMC108" hidden="1">Rev_Exp!$194:$195</definedName>
    <definedName name="MODMC109" hidden="1">Rev_Exp!$197:$208</definedName>
    <definedName name="MODMC11" hidden="1">Financials!$169:$293</definedName>
    <definedName name="MODMC110" hidden="1">Rev_Exp!$118:$120</definedName>
    <definedName name="MODMC111" hidden="1">Rev_Exp!$140:$140</definedName>
    <definedName name="MODMC112" hidden="1">Scenarios!$75:$77</definedName>
    <definedName name="MODMC113" hidden="1">Rev_Exp!$121:$123</definedName>
    <definedName name="MODMC114" hidden="1">Rev_Exp!$192:$193</definedName>
    <definedName name="MODMC115" hidden="1">Rev_Exp!$196:$196</definedName>
    <definedName name="MODMC116" hidden="1">Scenarios!$103:$106</definedName>
    <definedName name="MODMC117" hidden="1">Assets!$16:$19</definedName>
    <definedName name="MODMC118" hidden="1">Assets!$24:$25</definedName>
    <definedName name="MODMC119" hidden="1">Assets!$28:$38</definedName>
    <definedName name="MODMC12" hidden="1">OBS!$3:$79</definedName>
    <definedName name="MODMC120" hidden="1">Scenarios!$107:$109</definedName>
    <definedName name="MODMC121" hidden="1">Assets!$20:$21</definedName>
    <definedName name="MODMC122" hidden="1">Assets!$26:$26</definedName>
    <definedName name="MODMC123" hidden="1">Scenarios!$110:$112</definedName>
    <definedName name="MODMC124" hidden="1">Assets!$22:$23</definedName>
    <definedName name="MODMC125" hidden="1">Assets!$27:$27</definedName>
    <definedName name="MODMC129" hidden="1">Other!$16:$33</definedName>
    <definedName name="MODMC13" hidden="1">Financials!$16:$80</definedName>
    <definedName name="MODMC130" hidden="1">Other!$34:$37</definedName>
    <definedName name="MODMC131" hidden="1">Other!$40:$47</definedName>
    <definedName name="MODMC132" hidden="1">Other!$49:$63</definedName>
    <definedName name="MODMC133" hidden="1">Other!$38:$39</definedName>
    <definedName name="MODMC134" hidden="1">Other!$48:$48</definedName>
    <definedName name="MODMC135" hidden="1">Other!$64:$67</definedName>
    <definedName name="MODMC136" hidden="1">Other!$70:$77</definedName>
    <definedName name="MODMC137" hidden="1">Other!$79:$93</definedName>
    <definedName name="MODMC138" hidden="1">Other!$68:$69</definedName>
    <definedName name="MODMC139" hidden="1">Other!$78:$78</definedName>
    <definedName name="MODMC14" hidden="1">Tax!$3:$15</definedName>
    <definedName name="MODMC140" hidden="1">Other!$94:$97</definedName>
    <definedName name="MODMC141" hidden="1">Other!$100:$107</definedName>
    <definedName name="MODMC142" hidden="1">Other!$109:$123</definedName>
    <definedName name="MODMC143" hidden="1">Other!$98:$99</definedName>
    <definedName name="MODMC144" hidden="1">Other!$108:$108</definedName>
    <definedName name="MODMC145" hidden="1">Other!$124:$127</definedName>
    <definedName name="MODMC146" hidden="1">Other!$130:$137</definedName>
    <definedName name="MODMC147" hidden="1">Other!$139:$153</definedName>
    <definedName name="MODMC148" hidden="1">Other!$128:$129</definedName>
    <definedName name="MODMC149" hidden="1">Other!$138:$138</definedName>
    <definedName name="MODMC150" hidden="1">Other!$154:$157</definedName>
    <definedName name="MODMC151" hidden="1">Other!$160:$167</definedName>
    <definedName name="MODMC152" hidden="1">Other!$169:$183</definedName>
    <definedName name="MODMC153" hidden="1">Other!$158:$159</definedName>
    <definedName name="MODMC154" hidden="1">Other!$168:$168</definedName>
    <definedName name="MODMC155" hidden="1">Rev_Exp!$144:$144</definedName>
    <definedName name="MODMC156" hidden="1">Scenarios!$87:$89</definedName>
    <definedName name="MODMC157" hidden="1">Rev_Exp!$131:$132</definedName>
    <definedName name="MODMC158" hidden="1">Rev_Exp!$145:$145</definedName>
    <definedName name="MODMC159" hidden="1">Rev_Exp!$141:$141</definedName>
    <definedName name="MODMC16" hidden="1">Scenarios!$5:$23</definedName>
    <definedName name="MODMC162" hidden="1">Rev_Exp!$52:$54</definedName>
    <definedName name="MODMC163" hidden="1">Rev_Exp!$66:$66</definedName>
    <definedName name="MODMC166" hidden="1">Scenarios!$46:$48</definedName>
    <definedName name="MODMC167" hidden="1">Rev_Exp!$55:$57</definedName>
    <definedName name="MODMC168" hidden="1">Rev_Exp!$67:$67</definedName>
    <definedName name="MODMC169" hidden="1">Scenarios!$49:$51</definedName>
    <definedName name="MODMC17" hidden="1">Lookups!$102:$110</definedName>
    <definedName name="MODMC170" hidden="1">Rev_Exp!$58:$60</definedName>
    <definedName name="MODMC171" hidden="1">Rev_Exp!$68:$68</definedName>
    <definedName name="MODMC175" hidden="1">Scenarios!$65:$67</definedName>
    <definedName name="MODMC176" hidden="1">Rev_Exp!$94:$96</definedName>
    <definedName name="MODMC177" hidden="1">Rev_Exp!$101:$101</definedName>
    <definedName name="MODMC178" hidden="1">Scenarios!$97:$99</definedName>
    <definedName name="MODMC179" hidden="1">Rev_Exp!$169:$170</definedName>
    <definedName name="MODMC18" hidden="1">WC!$3:$15</definedName>
    <definedName name="MODMC180" hidden="1">Rev_Exp!$175:$175</definedName>
    <definedName name="MODMC181" hidden="1">Scenarios!$93:$96</definedName>
    <definedName name="MODMC182" hidden="1">Rev_Exp!$165:$168</definedName>
    <definedName name="MODMC183" hidden="1">Rev_Exp!$173:$174</definedName>
    <definedName name="MODMC184" hidden="1">Rev_Exp!$177:$187</definedName>
    <definedName name="MODMC185" hidden="1">Scenarios!$100:$102</definedName>
    <definedName name="MODMC186" hidden="1">Rev_Exp!$171:$172</definedName>
    <definedName name="MODMC187" hidden="1">Rev_Exp!$176:$176</definedName>
    <definedName name="MODMC19" hidden="1">Scenarios!$3:$4</definedName>
    <definedName name="MODMC2" hidden="1">Lookups!$3:$101</definedName>
    <definedName name="MODMC20" hidden="1">Capital!$3:$15</definedName>
    <definedName name="MODMC21" hidden="1">Scenarios!$39:$42</definedName>
    <definedName name="MODMC22" hidden="1">Rev_Exp!$45:$48</definedName>
    <definedName name="MODMC25" hidden="1">Assets!$3:$15</definedName>
    <definedName name="MODMC26" hidden="1">Financials!$81:$168</definedName>
    <definedName name="MODMC28" hidden="1">Other!$3:$15</definedName>
    <definedName name="MODMC29" hidden="1">Scenarios!$78:$80</definedName>
    <definedName name="MODMC30" hidden="1">Scenarios!$29:$38</definedName>
    <definedName name="MODMC31" hidden="1">Rev_Exp!$26:$44</definedName>
    <definedName name="MODMC32" hidden="1">Rev_Exp!$124:$126</definedName>
    <definedName name="MODMC33" hidden="1">Scenarios!$113:$261</definedName>
    <definedName name="MODMC34" hidden="1">Scen_Db!$3:$78</definedName>
    <definedName name="MODMC35" hidden="1">Lookups!$330:$385</definedName>
    <definedName name="MODMC36" hidden="1">Capital!$16:$29</definedName>
    <definedName name="MODMC37" hidden="1">Capital!$30:$55</definedName>
    <definedName name="MODMC38" hidden="1">Rev_Exp!$142:$142</definedName>
    <definedName name="MODMC41" hidden="1">Capital!$56:$81</definedName>
    <definedName name="MODMC43" hidden="1">Scenarios!$81:$83</definedName>
    <definedName name="MODMC44" hidden="1">Tax!$230:$384</definedName>
    <definedName name="MODMC45" hidden="1">Lookups!$208:$245</definedName>
    <definedName name="MODMC46" hidden="1">Rev_Exp!$127:$128</definedName>
    <definedName name="MODMC47" hidden="1">Rev_Exp!$63:$64</definedName>
    <definedName name="MODMC48" hidden="1">Rev_Exp!$70:$83</definedName>
    <definedName name="MODMC49" hidden="1">Lookups!$288:$329</definedName>
    <definedName name="MODMC50" hidden="1">WC!$16:$81</definedName>
    <definedName name="MODMC51" hidden="1">Lookups!$111:$117</definedName>
    <definedName name="MODMC52" hidden="1">WC!$82:$139</definedName>
    <definedName name="MODMC53" hidden="1">Lookups!$118:$124</definedName>
    <definedName name="MODMC54" hidden="1">WC!$140:$236</definedName>
    <definedName name="MODMC55" hidden="1">Lookups!$125:$132</definedName>
    <definedName name="MODMC56" hidden="1">WC!$237:$296</definedName>
    <definedName name="MODMC57" hidden="1">Lookups!$133:$139</definedName>
    <definedName name="MODMC58" hidden="1">Assets!$39:$94</definedName>
    <definedName name="MODMC59" hidden="1">Lookups!$140:$147</definedName>
    <definedName name="MODMC60" hidden="1">Scenarios!$43:$45</definedName>
    <definedName name="MODMC61" hidden="1">Capital!$82:$164</definedName>
    <definedName name="MODMC62" hidden="1">Lookups!$148:$169</definedName>
    <definedName name="MODMC63" hidden="1">Tax!$16:$229</definedName>
    <definedName name="MODMC64" hidden="1">Lookups!$170:$207</definedName>
    <definedName name="MODMC65" hidden="1">Rev_Exp!$49:$51</definedName>
    <definedName name="MODMC66" hidden="1">Rev_Exp!$65:$65</definedName>
    <definedName name="MODMC67" hidden="1">Scenarios!$62:$64</definedName>
    <definedName name="MODMC68" hidden="1">Rev_Exp!$91:$93</definedName>
    <definedName name="MODMC69" hidden="1">Scenarios!$52:$54</definedName>
    <definedName name="MODMC7" hidden="1">Summary!$3:$247</definedName>
    <definedName name="MODMC70" hidden="1">Rev_Exp!$61:$62</definedName>
    <definedName name="MODMC71" hidden="1">Rev_Exp!$69:$69</definedName>
    <definedName name="MODMC72" hidden="1">Scenarios!$55:$58</definedName>
    <definedName name="MODMC73" hidden="1">Rev_Exp!$84:$87</definedName>
    <definedName name="MODMC74" hidden="1">Rev_Exp!$97:$98</definedName>
    <definedName name="MODMC75" hidden="1">Rev_Exp!$102:$113</definedName>
    <definedName name="MODMC76" hidden="1">Scenarios!$24:$28</definedName>
    <definedName name="MODMC77" hidden="1">Rev_Exp!$16:$25</definedName>
    <definedName name="MODMC79" hidden="1">Rev_Exp!$100:$100</definedName>
    <definedName name="MODMC8" hidden="1">Financials!$3:$15</definedName>
    <definedName name="MODMC80" hidden="1">Scenarios!$59:$61</definedName>
    <definedName name="MODMC81" hidden="1">Rev_Exp!$88:$90</definedName>
    <definedName name="MODMC82" hidden="1">Rev_Exp!$143:$143</definedName>
    <definedName name="MODMC83" hidden="1">Scenarios!$84:$86</definedName>
    <definedName name="MODMC84" hidden="1">Rev_Exp!$129:$130</definedName>
    <definedName name="MODMC85" hidden="1">Scenarios!$68:$71</definedName>
    <definedName name="MODMC86" hidden="1">Rev_Exp!$114:$117</definedName>
    <definedName name="MODMC87" hidden="1">Rev_Exp!$138:$139</definedName>
    <definedName name="MODMC88" hidden="1">Rev_Exp!$148:$164</definedName>
    <definedName name="MODMC9" hidden="1">Lookups!$246:$287</definedName>
    <definedName name="MODMC95" hidden="1">Scenarios!$90:$92</definedName>
    <definedName name="MODMC96" hidden="1">Rev_Exp!$136:$137</definedName>
    <definedName name="MODMC97" hidden="1">Rev_Exp!$147:$147</definedName>
    <definedName name="Opex_Cat_3_Active_Scenario">Scenarios!$I$90</definedName>
    <definedName name="Opex_Cat_4_Active_Scenario">Scenarios!$I$75</definedName>
    <definedName name="Opex_Cat_5_Active_Scenario">Scenarios!$I$81</definedName>
    <definedName name="Opex_Cat_6_Active_Scenario">Scenarios!$I$84</definedName>
    <definedName name="Opex_Cat_7_Active_Scenario">Scenarios!$I$87</definedName>
    <definedName name="Opex_Cat_8_Active_Scenario">Scenarios!$I$78</definedName>
    <definedName name="Opex_Cat_Active_Scenario">Scenarios!$I$72</definedName>
    <definedName name="Oth_Rev_Cat_2_Active_Scenario">Scenarios!$I$100</definedName>
    <definedName name="Oth_Rev_Cat_Active_Scenario">Scenarios!$I$97</definedName>
    <definedName name="_xlnm.Print_Area" localSheetId="16">Appendices!$B$1:$N$30</definedName>
    <definedName name="_xlnm.Print_Area" localSheetId="11">Assets!$B$1:$U$94</definedName>
    <definedName name="_xlnm.Print_Area" localSheetId="12">Capital!$B$1:$U$164</definedName>
    <definedName name="_xlnm.Print_Area" localSheetId="19">Checks!$B$1:$N$85</definedName>
    <definedName name="_xlnm.Print_Area" localSheetId="2">Dashboards!$B$1:$N$30</definedName>
    <definedName name="_xlnm.Print_Area" localSheetId="15">Financials!$B$1:$U$293</definedName>
    <definedName name="_xlnm.Print_Area" localSheetId="1">Instructions!$B$6:$DA$68</definedName>
    <definedName name="_xlnm.Print_Area" localSheetId="4">KPIs!$B$1:$AB$61</definedName>
    <definedName name="_xlnm.Print_Area" localSheetId="18">Lookups!$B$1:$N$385</definedName>
    <definedName name="_xlnm.Print_Area" localSheetId="7">Model!$B$1:$N$30</definedName>
    <definedName name="_xlnm.Print_Area" localSheetId="8">OBS!$B$1:$N$79</definedName>
    <definedName name="_xlnm.Print_Area" localSheetId="14">Other!$B$1:$U$183</definedName>
    <definedName name="_xlnm.Print_Area" localSheetId="0">Overview!$B$1:$N$79</definedName>
    <definedName name="_xlnm.Print_Area" localSheetId="9">Rev_Exp!$B$1:$U$208</definedName>
    <definedName name="_xlnm.Print_Area" localSheetId="5">Scen_Db!$B$4:$AF$78</definedName>
    <definedName name="_xlnm.Print_Area" localSheetId="6">Scenarios!$B$1:$L$261</definedName>
    <definedName name="_xlnm.Print_Area" localSheetId="3">Summary!$B$4:$AH$87</definedName>
    <definedName name="_xlnm.Print_Area" localSheetId="13">Tax!$B$1:$U$384</definedName>
    <definedName name="_xlnm.Print_Area" localSheetId="17">Time!$B$1:$N$22</definedName>
    <definedName name="_xlnm.Print_Area" localSheetId="10">WC!$B$1:$U$296</definedName>
    <definedName name="_xlnm.Print_Titles" localSheetId="11">Assets!$1:$15</definedName>
    <definedName name="_xlnm.Print_Titles" localSheetId="12">Capital!$1:$15</definedName>
    <definedName name="_xlnm.Print_Titles" localSheetId="19">Checks!$1:$2</definedName>
    <definedName name="_xlnm.Print_Titles" localSheetId="15">Financials!$1:$15</definedName>
    <definedName name="_xlnm.Print_Titles" localSheetId="4">KPIs!$1:$2</definedName>
    <definedName name="_xlnm.Print_Titles" localSheetId="18">Lookups!$1:$2</definedName>
    <definedName name="_xlnm.Print_Titles" localSheetId="8">OBS!$1:$2</definedName>
    <definedName name="_xlnm.Print_Titles" localSheetId="14">Other!$1:$15</definedName>
    <definedName name="_xlnm.Print_Titles" localSheetId="0">Overview!$1:$2</definedName>
    <definedName name="_xlnm.Print_Titles" localSheetId="9">Rev_Exp!$1:$15</definedName>
    <definedName name="_xlnm.Print_Titles" localSheetId="5">Scen_Db!$4:$5</definedName>
    <definedName name="_xlnm.Print_Titles" localSheetId="6">Scenarios!$1:$4</definedName>
    <definedName name="_xlnm.Print_Titles" localSheetId="13">Tax!$1:$15</definedName>
    <definedName name="_xlnm.Print_Titles" localSheetId="17">Time!$1:$2</definedName>
    <definedName name="_xlnm.Print_Titles" localSheetId="10">WC!$1:$15</definedName>
    <definedName name="Rev_Cat_2_Active_Scenario">Scenarios!$I$49</definedName>
    <definedName name="Rev_Cat_3_Active_Scenario">Scenarios!$I$52</definedName>
    <definedName name="Rev_Cat_6_Active_Scenario">Scenarios!$I$46</definedName>
    <definedName name="Rev_Cat_Active_Scenario">Scenarios!$I$43</definedName>
    <definedName name="Scen_Db_Active_Scenario">Scenarios!$H$131</definedName>
    <definedName name="Scen_Db_Data_Tables_Off">Scenarios!$H$134</definedName>
    <definedName name="Scen_Db_Data_Tables_Status">Scenarios!$H$133</definedName>
    <definedName name="Scen_Db_Data_Tables_Status_Disabled">Lookups!$D$385</definedName>
    <definedName name="Scen_Db_Data_Tables_Status_Off">Lookups!$D$384</definedName>
    <definedName name="Scen_Db_Data_Tables_Status_On">Lookups!$D$383</definedName>
    <definedName name="Scenarios_Active">Scenarios!$H$14</definedName>
    <definedName name="Scenarios_Active_Name">Scenarios!$I$18</definedName>
    <definedName name="Scenarios_Count">Scenarios!$H$17</definedName>
    <definedName name="Scenarios_Data_Tables">Scenarios!$H$12</definedName>
    <definedName name="Scenarios_Display_First">Scenarios!$H$15</definedName>
    <definedName name="Scenarios_Displayed_Name">Scenarios!$H$16</definedName>
    <definedName name="Sens_Chk_1_Hdg" hidden="1">Scenarios!$B$40</definedName>
    <definedName name="Sens_Chk_2_Hdg" hidden="1">Scenarios!$B$56</definedName>
    <definedName name="Sens_Chk_3_Hdg" hidden="1">Scenarios!$B$69</definedName>
    <definedName name="Sens_Chk_4_Hdg" hidden="1">Scenarios!$B$104</definedName>
    <definedName name="Sens_Chk_5_Hdg" hidden="1">Scenarios!$B$30</definedName>
    <definedName name="Sens_Chk_6_Hdg" hidden="1">Scenarios!$B$25</definedName>
    <definedName name="Sens_Chk_7_Hdg" hidden="1">Scenarios!$B$94</definedName>
    <definedName name="Sens_Chks_Msg">Checks!$G$46</definedName>
    <definedName name="Sens_Chks_Ttl_Areas">Checks!$M$58</definedName>
    <definedName name="TBXBST" localSheetId="16" hidden="1">"|B|Sc|B|"</definedName>
    <definedName name="TBXBST" localSheetId="11" hidden="1">"|B|Ta|B||T|All|T||N|1|N||FTSCN|10|FTSCN||TSP|0|TSP|"</definedName>
    <definedName name="TBXBST" localSheetId="12" hidden="1">"|B|Ta|B||T|All|T||N|1|N||FTSCN|10|FTSCN||TSP|0|TSP|"</definedName>
    <definedName name="TBXBST" localSheetId="19" hidden="1">"|B|Bo|B|"</definedName>
    <definedName name="TBXBST" localSheetId="2" hidden="1">"|B|Sc|B|"</definedName>
    <definedName name="TBXBST" localSheetId="15" hidden="1">"|B|To|B||T|All|T||N|1|N||FTSCN|10|FTSCN||TSP|0|TSP|"</definedName>
    <definedName name="TBXBST" localSheetId="1" hidden="1">"|B|Sc|B||P|"</definedName>
    <definedName name="TBXBST" localSheetId="4" hidden="1">"|B|Bo|B||P|"</definedName>
    <definedName name="TBXBST" localSheetId="18" hidden="1">"|B|Lu|B|"</definedName>
    <definedName name="TBXBST" localSheetId="7" hidden="1">"|B|Sc|B|"</definedName>
    <definedName name="TBXBST" localSheetId="8" hidden="1">"|B|Ba|B|"</definedName>
    <definedName name="TBXBST" localSheetId="14" hidden="1">"|B|Ta|B||T|All|T||N|1|N||FTSCN|10|FTSCN||TSP|0|TSP|"</definedName>
    <definedName name="TBXBST" localSheetId="0" hidden="1">"|B|Overview|B|"</definedName>
    <definedName name="TBXBST" localSheetId="9" hidden="1">"|B|Ta|B||T|All|T||N|1|N||FTSCN|10|FTSCN||TSP|0|TSP|"</definedName>
    <definedName name="TBXBST" localSheetId="5" hidden="1">"|B|Bo|B||P|"</definedName>
    <definedName name="TBXBST" localSheetId="6" hidden="1">"|B|Ta|B||T|All|T||N|1|N||FTSCN|10|FTSCN||TSP|0|TSP|"</definedName>
    <definedName name="TBXBST" localSheetId="3" hidden="1">"|B|Ms|B||P|"</definedName>
    <definedName name="TBXBST" localSheetId="13" hidden="1">"|B|Ta|B||T|All|T||N|1|N||FTSCN|10|FTSCN||TSP|0|TSP|"</definedName>
    <definedName name="TBXBST" localSheetId="17" hidden="1">"|B|Ba|B|"</definedName>
    <definedName name="TBXBST" localSheetId="10" hidden="1">"|B|Ta|B||T|All|T||N|1|N||FTSCN|10|FTSCN||TSP|0|TSP|"</definedName>
    <definedName name="TOC_Hdg_1" hidden="1">Checks!$B$4</definedName>
    <definedName name="TOC_Hdg_10" hidden="1">Scenarios!$B$56</definedName>
    <definedName name="TOC_Hdg_11" hidden="1">WC!$B$141</definedName>
    <definedName name="TOC_Hdg_12" hidden="1">Capital!$B$17</definedName>
    <definedName name="TOC_Hdg_13" hidden="1">WC!$B$17</definedName>
    <definedName name="TOC_Hdg_14" hidden="1">Assets!$B$40</definedName>
    <definedName name="TOC_Hdg_15" hidden="1">Lookups!$B$141</definedName>
    <definedName name="TOC_Hdg_16" hidden="1">Financials!$B$17</definedName>
    <definedName name="TOC_Hdg_17" hidden="1">Other!$B$17</definedName>
    <definedName name="TOC_Hdg_18" hidden="1">WC!$B$238</definedName>
    <definedName name="TOC_Hdg_19" hidden="1">WC!$B$83</definedName>
    <definedName name="TOC_Hdg_2" hidden="1">Checks!$B$44</definedName>
    <definedName name="TOC_Hdg_20" hidden="1">Lookups!$B$119</definedName>
    <definedName name="TOC_Hdg_21" hidden="1">OBS!$B$4</definedName>
    <definedName name="TOC_Hdg_22" hidden="1">Scenarios!$B$69</definedName>
    <definedName name="TOC_Hdg_23" hidden="1">Capital!$B$83</definedName>
    <definedName name="TOC_Hdg_24" hidden="1">Other!$B$35</definedName>
    <definedName name="TOC_Hdg_25" hidden="1">Other!$B$65</definedName>
    <definedName name="TOC_Hdg_26" hidden="1">Scenarios!$B$94</definedName>
    <definedName name="TOC_Hdg_27" hidden="1">Rev_Exp!$B$189</definedName>
    <definedName name="TOC_Hdg_28" hidden="1">Scenarios!$B$40</definedName>
    <definedName name="TOC_Hdg_29" hidden="1">Tax!$B$17</definedName>
    <definedName name="TOC_Hdg_3" hidden="1">Checks!$B$60</definedName>
    <definedName name="TOC_Hdg_30" hidden="1">Lookups!$B$171</definedName>
    <definedName name="TOC_Hdg_31" hidden="1">Lookups!$B$247</definedName>
    <definedName name="TOC_Hdg_32" hidden="1">Scenarios!$B$7</definedName>
    <definedName name="TOC_Hdg_33" hidden="1">Lookups!$B$103</definedName>
    <definedName name="TOC_Hdg_34" hidden="1">Rev_Exp!$B$46</definedName>
    <definedName name="TOC_Hdg_35" hidden="1">Rev_Exp!$B$85</definedName>
    <definedName name="TOC_Hdg_36" hidden="1">Rev_Exp!$B$115</definedName>
    <definedName name="TOC_Hdg_37" hidden="1">Assets!$B$17</definedName>
    <definedName name="TOC_Hdg_38" hidden="1">Scenarios!$B$114</definedName>
    <definedName name="TOC_Hdg_39" hidden="1">Scen_Db!$B$4</definedName>
    <definedName name="TOC_Hdg_4" hidden="1">Time!$B$4</definedName>
    <definedName name="TOC_Hdg_40" hidden="1">Lookups!$B$331</definedName>
    <definedName name="TOC_Hdg_41" hidden="1">Capital!$B$31</definedName>
    <definedName name="TOC_Hdg_42" hidden="1">Other!$B$95</definedName>
    <definedName name="TOC_Hdg_43" hidden="1">Other!$B$125</definedName>
    <definedName name="TOC_Hdg_44" hidden="1">Other!$B$155</definedName>
    <definedName name="TOC_Hdg_45" hidden="1">Scenarios!$B$25</definedName>
    <definedName name="TOC_Hdg_46" hidden="1">Scenarios!$B$30</definedName>
    <definedName name="TOC_Hdg_47" hidden="1">Rev_Exp!$B$27</definedName>
    <definedName name="TOC_Hdg_48" hidden="1">Rev_Exp!$B$17</definedName>
    <definedName name="TOC_Hdg_49" hidden="1">Rev_Exp!$B$166</definedName>
    <definedName name="TOC_Hdg_5" hidden="1">Financials!$B$82</definedName>
    <definedName name="TOC_Hdg_50" hidden="1">Capital!$B$57</definedName>
    <definedName name="TOC_Hdg_51" hidden="1">Lookups!$B$289</definedName>
    <definedName name="TOC_Hdg_6" hidden="1">Scenarios!$B$104</definedName>
    <definedName name="TOC_Hdg_7" hidden="1">Financials!$B$170</definedName>
    <definedName name="TOC_Hdg_8" hidden="1">Tax!$B$231</definedName>
    <definedName name="TOC_Hdg_9" hidden="1">Lookups!$B$209</definedName>
    <definedName name="Ts_Billion">Lookups!$D$85</definedName>
    <definedName name="Ts_Currency">Time!$H$17</definedName>
    <definedName name="Ts_Days_In_Wk">Lookups!$D$63</definedName>
    <definedName name="Ts_Denom_Conv_Fact">Time!$H$18</definedName>
    <definedName name="Ts_End_Date">Time!$H$12</definedName>
    <definedName name="Ts_First_Fin_Yr">Time!$H$8</definedName>
    <definedName name="Ts_Halves">Time!$H$14</definedName>
    <definedName name="Ts_Halves_In_Yr">Lookups!$D$69</definedName>
    <definedName name="Ts_Hrs_In_Day">Lookups!$D$62</definedName>
    <definedName name="Ts_Million">Lookups!$D$84</definedName>
    <definedName name="Ts_Mins_In_Hr">Lookups!$D$61</definedName>
    <definedName name="Ts_Mths_In_Half">Lookups!$D$65</definedName>
    <definedName name="Ts_Mths_In_Qtr">Lookups!$D$64</definedName>
    <definedName name="Ts_Mths_In_Yr">Lookups!$D$66</definedName>
    <definedName name="Ts_Part_Per_ID">Time!$H$16</definedName>
    <definedName name="Ts_Qtrs">Time!$H$13</definedName>
    <definedName name="Ts_Qtrs_In_Half">Lookups!$D$67</definedName>
    <definedName name="Ts_Qtrs_In_Yr">Lookups!$D$68</definedName>
    <definedName name="Ts_Scenarios_Count">Time!$H$22</definedName>
    <definedName name="Ts_Secs_In_Min">Lookups!$D$60</definedName>
    <definedName name="Ts_Start_Date">Time!$H$11</definedName>
    <definedName name="Ts_Term">Time!$H$10</definedName>
    <definedName name="Ts_Thousand">Lookups!$D$83</definedName>
    <definedName name="Ts_Yrs">Time!$H$15</definedName>
    <definedName name="VAT_Accruals">Lookups!$D$200</definedName>
    <definedName name="VAT_Assess_Freq_Ann">Lookups!$D$195</definedName>
    <definedName name="VAT_Assess_Freq_Mthly">Lookups!$D$192</definedName>
    <definedName name="VAT_Assess_Freq_Qtrly">Lookups!$D$193</definedName>
    <definedName name="VAT_Assess_Freq_Semi_Ann">Lookups!$D$194</definedName>
    <definedName name="VAT_Cash">Lookups!$D$201</definedName>
    <definedName name="VAT_No">Lookups!$D$207</definedName>
    <definedName name="VAT_Yes">Lookups!$D$206</definedName>
    <definedName name="Vol_2_Active_Scenario">Scenarios!$I$32</definedName>
    <definedName name="Vol_Active_Scenario">Scenarios!$I$27</definedName>
  </definedNames>
  <calcPr calcId="191028" calcMode="autoNoTable"/>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6" l="1"/>
  <c r="B19" i="16"/>
  <c r="T125" i="10"/>
  <c r="U125" i="10"/>
  <c r="V125" i="10"/>
  <c r="W125" i="10"/>
  <c r="X125" i="10"/>
  <c r="Y125" i="10"/>
  <c r="Z125" i="10"/>
  <c r="T124" i="10"/>
  <c r="U124" i="10"/>
  <c r="V124" i="10"/>
  <c r="W124" i="10"/>
  <c r="X124" i="10"/>
  <c r="Y124" i="10"/>
  <c r="Z124" i="10"/>
  <c r="AO34" i="10"/>
  <c r="AP34" i="10" s="1"/>
  <c r="AE34" i="10"/>
  <c r="AF34" i="10" s="1"/>
  <c r="X34" i="10"/>
  <c r="Y34" i="10"/>
  <c r="Z34" i="10" s="1"/>
  <c r="U72" i="25"/>
  <c r="P125" i="10"/>
  <c r="Q125" i="10"/>
  <c r="R125" i="10"/>
  <c r="S125" i="10"/>
  <c r="AA125" i="10"/>
  <c r="AB125" i="10"/>
  <c r="AC125" i="10"/>
  <c r="AD125" i="10"/>
  <c r="AE125" i="10"/>
  <c r="AF125" i="10"/>
  <c r="AG125" i="10"/>
  <c r="AH125" i="10"/>
  <c r="AI125" i="10"/>
  <c r="AJ125" i="10"/>
  <c r="AK125" i="10"/>
  <c r="AL125" i="10"/>
  <c r="AM125" i="10"/>
  <c r="AN125" i="10"/>
  <c r="AO125" i="10"/>
  <c r="AP125" i="10"/>
  <c r="AQ125" i="10"/>
  <c r="AR125" i="10"/>
  <c r="AS125" i="10"/>
  <c r="P124" i="10"/>
  <c r="Q124" i="10"/>
  <c r="R124" i="10"/>
  <c r="S124" i="10"/>
  <c r="AA124" i="10"/>
  <c r="AB124" i="10"/>
  <c r="AC124" i="10"/>
  <c r="AD124" i="10"/>
  <c r="AE124" i="10"/>
  <c r="AF124" i="10"/>
  <c r="AG124" i="10"/>
  <c r="AH124" i="10"/>
  <c r="AI124" i="10"/>
  <c r="AJ124" i="10"/>
  <c r="AK124" i="10"/>
  <c r="AL124" i="10"/>
  <c r="AM124" i="10"/>
  <c r="AN124" i="10"/>
  <c r="AO124" i="10"/>
  <c r="AP124" i="10"/>
  <c r="AQ124" i="10"/>
  <c r="AR124" i="10"/>
  <c r="AS124" i="10"/>
  <c r="E79" i="6"/>
  <c r="E78" i="6"/>
  <c r="E77" i="6"/>
  <c r="D76" i="6"/>
  <c r="E75" i="6"/>
  <c r="E74" i="6"/>
  <c r="E73" i="6"/>
  <c r="E72" i="6"/>
  <c r="E71" i="6"/>
  <c r="E70" i="6"/>
  <c r="E69" i="6"/>
  <c r="E68" i="6"/>
  <c r="D67" i="6"/>
  <c r="D66" i="6"/>
  <c r="C65" i="6"/>
  <c r="E64" i="6"/>
  <c r="E63" i="6"/>
  <c r="E62" i="6"/>
  <c r="D61" i="6"/>
  <c r="E60" i="6"/>
  <c r="E59" i="6"/>
  <c r="E58" i="6"/>
  <c r="E57" i="6"/>
  <c r="E56" i="6"/>
  <c r="E55" i="6"/>
  <c r="D54" i="6"/>
  <c r="E53" i="6"/>
  <c r="E52" i="6"/>
  <c r="D51" i="6"/>
  <c r="E50" i="6"/>
  <c r="E49" i="6"/>
  <c r="E48" i="6"/>
  <c r="E47" i="6"/>
  <c r="D46" i="6"/>
  <c r="E45" i="6"/>
  <c r="E44" i="6"/>
  <c r="D43" i="6"/>
  <c r="E42" i="6"/>
  <c r="E41" i="6"/>
  <c r="E40" i="6"/>
  <c r="E39" i="6"/>
  <c r="D38" i="6"/>
  <c r="E37" i="6"/>
  <c r="E36" i="6"/>
  <c r="E35" i="6"/>
  <c r="E34" i="6"/>
  <c r="E33" i="6"/>
  <c r="E32" i="6"/>
  <c r="E31" i="6"/>
  <c r="D30" i="6"/>
  <c r="D29" i="6"/>
  <c r="C28" i="6"/>
  <c r="E27" i="6"/>
  <c r="E26" i="6"/>
  <c r="E25" i="6"/>
  <c r="E24" i="6"/>
  <c r="E23" i="6"/>
  <c r="E22" i="6"/>
  <c r="E21" i="6"/>
  <c r="E20" i="6"/>
  <c r="E19" i="6"/>
  <c r="D18" i="6"/>
  <c r="D17" i="6"/>
  <c r="D16" i="6"/>
  <c r="D15" i="6"/>
  <c r="C14" i="6"/>
  <c r="C13" i="6"/>
  <c r="B142" i="10"/>
  <c r="B153" i="10" s="1"/>
  <c r="B79" i="18"/>
  <c r="I199" i="11"/>
  <c r="I200" i="11"/>
  <c r="I201" i="11"/>
  <c r="I202" i="11"/>
  <c r="I203" i="11"/>
  <c r="I204" i="11"/>
  <c r="I205" i="11"/>
  <c r="I206" i="11"/>
  <c r="B163" i="17"/>
  <c r="H74" i="25"/>
  <c r="I74" i="25"/>
  <c r="J74" i="25"/>
  <c r="K74" i="25"/>
  <c r="L74" i="25"/>
  <c r="M74" i="25"/>
  <c r="N74" i="25"/>
  <c r="O74" i="25"/>
  <c r="P74" i="25"/>
  <c r="Q74" i="25"/>
  <c r="R74" i="25"/>
  <c r="S74" i="25"/>
  <c r="T74" i="25"/>
  <c r="U74" i="25"/>
  <c r="V74" i="25"/>
  <c r="W74" i="25"/>
  <c r="X74" i="25"/>
  <c r="Y74" i="25"/>
  <c r="Z74" i="25"/>
  <c r="AA74" i="25"/>
  <c r="AB74" i="25"/>
  <c r="AC74" i="25"/>
  <c r="AD74" i="25"/>
  <c r="AE74" i="25"/>
  <c r="AF74" i="25"/>
  <c r="AG74" i="25"/>
  <c r="AH74" i="25"/>
  <c r="AI74" i="25"/>
  <c r="AJ74" i="25"/>
  <c r="AK74" i="25"/>
  <c r="AL74" i="25"/>
  <c r="AM74" i="25"/>
  <c r="AN74" i="25"/>
  <c r="AO74" i="25"/>
  <c r="AP74" i="25"/>
  <c r="G74" i="25"/>
  <c r="B36" i="10"/>
  <c r="B37" i="10"/>
  <c r="B38" i="10"/>
  <c r="B39" i="10"/>
  <c r="B40" i="10"/>
  <c r="B41" i="10"/>
  <c r="B33" i="18"/>
  <c r="B34" i="18"/>
  <c r="B35" i="18"/>
  <c r="B36" i="18"/>
  <c r="B37" i="18"/>
  <c r="B38" i="18"/>
  <c r="L7" i="25"/>
  <c r="I72" i="25"/>
  <c r="J72" i="25"/>
  <c r="K72" i="25"/>
  <c r="L72" i="25"/>
  <c r="M72" i="25"/>
  <c r="N72" i="25"/>
  <c r="O72" i="25"/>
  <c r="P72" i="25"/>
  <c r="Q72" i="25"/>
  <c r="R72" i="25"/>
  <c r="V72" i="25"/>
  <c r="G72" i="25"/>
  <c r="V34" i="10"/>
  <c r="L20" i="10"/>
  <c r="M20" i="10" s="1"/>
  <c r="N20" i="10" s="1"/>
  <c r="O20" i="10" s="1"/>
  <c r="P20" i="10" s="1"/>
  <c r="Q20" i="10" s="1"/>
  <c r="R20" i="10" s="1"/>
  <c r="S20" i="10" s="1"/>
  <c r="T20" i="10" s="1"/>
  <c r="U20" i="10" s="1"/>
  <c r="V20" i="10" s="1"/>
  <c r="W20" i="10" s="1"/>
  <c r="X20" i="10" s="1"/>
  <c r="Y20" i="10" s="1"/>
  <c r="Z20" i="10" s="1"/>
  <c r="AA20" i="10" s="1"/>
  <c r="AB20" i="10" s="1"/>
  <c r="AC20" i="10" s="1"/>
  <c r="AD20" i="10" s="1"/>
  <c r="AE20" i="10" s="1"/>
  <c r="AF20" i="10" s="1"/>
  <c r="AG20" i="10" s="1"/>
  <c r="AH20" i="10" s="1"/>
  <c r="AI20" i="10" s="1"/>
  <c r="AJ20" i="10" s="1"/>
  <c r="AK20" i="10" s="1"/>
  <c r="AL20" i="10" s="1"/>
  <c r="AM20" i="10" s="1"/>
  <c r="AN20" i="10" s="1"/>
  <c r="AO20" i="10" s="1"/>
  <c r="AP20" i="10" s="1"/>
  <c r="AQ20" i="10" s="1"/>
  <c r="AR20" i="10" s="1"/>
  <c r="AS20" i="10" s="1"/>
  <c r="B83" i="2"/>
  <c r="B82" i="2"/>
  <c r="B81" i="2"/>
  <c r="B80" i="2"/>
  <c r="B79" i="2"/>
  <c r="B78" i="2"/>
  <c r="B77" i="2"/>
  <c r="B76" i="2"/>
  <c r="B75" i="2"/>
  <c r="B74" i="2"/>
  <c r="B73" i="2"/>
  <c r="B72" i="2"/>
  <c r="B71" i="2"/>
  <c r="B70" i="2"/>
  <c r="B69" i="2"/>
  <c r="B68" i="2"/>
  <c r="B67" i="2"/>
  <c r="M66" i="2"/>
  <c r="K66" i="2"/>
  <c r="B66" i="2"/>
  <c r="B40" i="2"/>
  <c r="B39" i="2"/>
  <c r="B38" i="2"/>
  <c r="B37" i="2"/>
  <c r="B36" i="2"/>
  <c r="B35" i="2"/>
  <c r="B34" i="2"/>
  <c r="B33" i="2"/>
  <c r="B32" i="2"/>
  <c r="B31" i="2"/>
  <c r="B30" i="2"/>
  <c r="B29" i="2"/>
  <c r="B28" i="2"/>
  <c r="B27" i="2"/>
  <c r="K26" i="2"/>
  <c r="M26" i="2" s="1"/>
  <c r="B26" i="2"/>
  <c r="B25" i="2"/>
  <c r="B24" i="2"/>
  <c r="B23" i="2"/>
  <c r="B22" i="2"/>
  <c r="B21" i="2"/>
  <c r="B20" i="2"/>
  <c r="B19" i="2"/>
  <c r="B18" i="2"/>
  <c r="B17" i="2"/>
  <c r="B16" i="2"/>
  <c r="B15" i="2"/>
  <c r="B14" i="2"/>
  <c r="B13" i="2"/>
  <c r="K12" i="2"/>
  <c r="M12" i="2" s="1"/>
  <c r="B12" i="2"/>
  <c r="B11" i="2"/>
  <c r="B10" i="2"/>
  <c r="B56" i="2"/>
  <c r="B55" i="2"/>
  <c r="B54" i="2"/>
  <c r="B53" i="2"/>
  <c r="B52" i="2"/>
  <c r="B51" i="2"/>
  <c r="B50" i="2"/>
  <c r="B22" i="10"/>
  <c r="B28" i="18"/>
  <c r="J60" i="13"/>
  <c r="J34" i="13"/>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AQ34" i="10" l="1"/>
  <c r="AM72" i="25"/>
  <c r="AL72" i="25"/>
  <c r="AG34" i="10"/>
  <c r="AC72" i="25"/>
  <c r="AB72" i="25"/>
  <c r="W72" i="25"/>
  <c r="AA34" i="10"/>
  <c r="B79" i="11"/>
  <c r="B201" i="11" s="1"/>
  <c r="B151" i="12" s="1"/>
  <c r="C196" i="9"/>
  <c r="B42" i="9"/>
  <c r="B150" i="17" s="1"/>
  <c r="H72" i="25"/>
  <c r="S72" i="25"/>
  <c r="W34" i="10"/>
  <c r="B57" i="13"/>
  <c r="I60" i="13" s="1"/>
  <c r="B252" i="9" s="1"/>
  <c r="B31" i="13"/>
  <c r="AP253" i="9"/>
  <c r="J252" i="9"/>
  <c r="K252" i="9"/>
  <c r="L252" i="9"/>
  <c r="M252" i="9"/>
  <c r="N252" i="9"/>
  <c r="O252" i="9"/>
  <c r="P252" i="9"/>
  <c r="Q252" i="9"/>
  <c r="R252" i="9"/>
  <c r="S252" i="9"/>
  <c r="T252" i="9"/>
  <c r="U252" i="9"/>
  <c r="V252" i="9"/>
  <c r="W252" i="9"/>
  <c r="X252" i="9"/>
  <c r="Y252" i="9"/>
  <c r="Z252" i="9"/>
  <c r="AA252" i="9"/>
  <c r="AB252" i="9"/>
  <c r="AC252" i="9"/>
  <c r="AD252" i="9"/>
  <c r="AE252" i="9"/>
  <c r="AF252" i="9"/>
  <c r="AG252" i="9"/>
  <c r="AH252" i="9"/>
  <c r="AI252" i="9"/>
  <c r="AJ252" i="9"/>
  <c r="AK252" i="9"/>
  <c r="AL252" i="9"/>
  <c r="AM252" i="9"/>
  <c r="AN252" i="9"/>
  <c r="AO252" i="9"/>
  <c r="AP252" i="9"/>
  <c r="AQ252" i="9"/>
  <c r="AR252" i="9"/>
  <c r="AS252" i="9"/>
  <c r="J251" i="9"/>
  <c r="K251" i="9"/>
  <c r="L251" i="9"/>
  <c r="L253" i="9" s="1"/>
  <c r="M251" i="9"/>
  <c r="N251" i="9"/>
  <c r="O251" i="9"/>
  <c r="O253" i="9" s="1"/>
  <c r="P251" i="9"/>
  <c r="Q251" i="9"/>
  <c r="Q253" i="9" s="1"/>
  <c r="R251" i="9"/>
  <c r="R253" i="9" s="1"/>
  <c r="S251" i="9"/>
  <c r="T251" i="9"/>
  <c r="T253" i="9" s="1"/>
  <c r="U251" i="9"/>
  <c r="V251" i="9"/>
  <c r="W251" i="9"/>
  <c r="W253" i="9" s="1"/>
  <c r="X251" i="9"/>
  <c r="Y251" i="9"/>
  <c r="Y253" i="9" s="1"/>
  <c r="Z251" i="9"/>
  <c r="Z253" i="9" s="1"/>
  <c r="AA251" i="9"/>
  <c r="AB251" i="9"/>
  <c r="AB253" i="9" s="1"/>
  <c r="AC251" i="9"/>
  <c r="AD251" i="9"/>
  <c r="AE251" i="9"/>
  <c r="AE253" i="9" s="1"/>
  <c r="AF251" i="9"/>
  <c r="AG251" i="9"/>
  <c r="AG253" i="9" s="1"/>
  <c r="AH251" i="9"/>
  <c r="AH253" i="9" s="1"/>
  <c r="AI251" i="9"/>
  <c r="AJ251" i="9"/>
  <c r="AJ253" i="9" s="1"/>
  <c r="AK251" i="9"/>
  <c r="AL251" i="9"/>
  <c r="AM251" i="9"/>
  <c r="AM253" i="9" s="1"/>
  <c r="AN251" i="9"/>
  <c r="AN253" i="9" s="1"/>
  <c r="AO251" i="9"/>
  <c r="AO253" i="9" s="1"/>
  <c r="AP251" i="9"/>
  <c r="AQ251" i="9"/>
  <c r="AR251" i="9"/>
  <c r="AR253" i="9" s="1"/>
  <c r="AS251" i="9"/>
  <c r="AS253" i="9" s="1"/>
  <c r="J55" i="16"/>
  <c r="I71" i="13"/>
  <c r="C230" i="9" s="1"/>
  <c r="J67" i="13"/>
  <c r="K67" i="13"/>
  <c r="L67" i="13"/>
  <c r="M67" i="13"/>
  <c r="N67" i="13"/>
  <c r="O67" i="13"/>
  <c r="P67" i="13"/>
  <c r="Q67" i="13"/>
  <c r="R67" i="13"/>
  <c r="S67" i="13"/>
  <c r="T67" i="13"/>
  <c r="U67" i="13"/>
  <c r="V67" i="13"/>
  <c r="W67" i="13"/>
  <c r="X67" i="13"/>
  <c r="Y67" i="13"/>
  <c r="Z67" i="13"/>
  <c r="AA67" i="13"/>
  <c r="AB67" i="13"/>
  <c r="AC67" i="13"/>
  <c r="AD67" i="13"/>
  <c r="AE67" i="13"/>
  <c r="AF67" i="13"/>
  <c r="AG67" i="13"/>
  <c r="AH67" i="13"/>
  <c r="AI67" i="13"/>
  <c r="AJ67" i="13"/>
  <c r="AK67" i="13"/>
  <c r="AL67" i="13"/>
  <c r="AM67" i="13"/>
  <c r="AN67" i="13"/>
  <c r="AO67" i="13"/>
  <c r="AP67" i="13"/>
  <c r="AQ67" i="13"/>
  <c r="AR67" i="13"/>
  <c r="AS67" i="13"/>
  <c r="I63" i="13"/>
  <c r="B140" i="9" s="1"/>
  <c r="J62" i="13"/>
  <c r="J256" i="9" s="1"/>
  <c r="K62" i="13"/>
  <c r="K256" i="9" s="1"/>
  <c r="L62" i="13"/>
  <c r="L256" i="9" s="1"/>
  <c r="M62" i="13"/>
  <c r="M256" i="9" s="1"/>
  <c r="N62" i="13"/>
  <c r="N256" i="9" s="1"/>
  <c r="O62" i="13"/>
  <c r="O256" i="9" s="1"/>
  <c r="P62" i="13"/>
  <c r="P256" i="9" s="1"/>
  <c r="Q62" i="13"/>
  <c r="Q256" i="9" s="1"/>
  <c r="R62" i="13"/>
  <c r="R256" i="9" s="1"/>
  <c r="S62" i="13"/>
  <c r="S256" i="9" s="1"/>
  <c r="T62" i="13"/>
  <c r="T256" i="9" s="1"/>
  <c r="U62" i="13"/>
  <c r="U256" i="9" s="1"/>
  <c r="V62" i="13"/>
  <c r="V256" i="9" s="1"/>
  <c r="W62" i="13"/>
  <c r="W256" i="9" s="1"/>
  <c r="X62" i="13"/>
  <c r="X256" i="9" s="1"/>
  <c r="Y62" i="13"/>
  <c r="Y256" i="9" s="1"/>
  <c r="Z62" i="13"/>
  <c r="Z256" i="9" s="1"/>
  <c r="AA62" i="13"/>
  <c r="AA256" i="9" s="1"/>
  <c r="AB62" i="13"/>
  <c r="AB256" i="9" s="1"/>
  <c r="AC62" i="13"/>
  <c r="AC256" i="9" s="1"/>
  <c r="AD62" i="13"/>
  <c r="AD256" i="9" s="1"/>
  <c r="AE62" i="13"/>
  <c r="AE256" i="9" s="1"/>
  <c r="AF62" i="13"/>
  <c r="AF256" i="9" s="1"/>
  <c r="AG62" i="13"/>
  <c r="AG256" i="9" s="1"/>
  <c r="AH62" i="13"/>
  <c r="AH256" i="9" s="1"/>
  <c r="AI62" i="13"/>
  <c r="AI256" i="9" s="1"/>
  <c r="AJ62" i="13"/>
  <c r="AJ256" i="9" s="1"/>
  <c r="AK62" i="13"/>
  <c r="AK256" i="9" s="1"/>
  <c r="AL62" i="13"/>
  <c r="AL256" i="9" s="1"/>
  <c r="AM62" i="13"/>
  <c r="AM256" i="9" s="1"/>
  <c r="AN62" i="13"/>
  <c r="AN256" i="9" s="1"/>
  <c r="AO62" i="13"/>
  <c r="AO256" i="9" s="1"/>
  <c r="AP62" i="13"/>
  <c r="AP256" i="9" s="1"/>
  <c r="AQ62" i="13"/>
  <c r="AQ256" i="9" s="1"/>
  <c r="AR62" i="13"/>
  <c r="AR256" i="9" s="1"/>
  <c r="AS62" i="13"/>
  <c r="AS256" i="9" s="1"/>
  <c r="J30" i="16"/>
  <c r="J20" i="16"/>
  <c r="J21" i="16" s="1"/>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I174" i="11"/>
  <c r="I175" i="11"/>
  <c r="I176" i="11"/>
  <c r="I177" i="11"/>
  <c r="I178" i="11"/>
  <c r="J118" i="10"/>
  <c r="K118" i="10"/>
  <c r="L118" i="10"/>
  <c r="I182" i="11"/>
  <c r="I183" i="11"/>
  <c r="B176" i="10"/>
  <c r="B181" i="10" s="1"/>
  <c r="B101" i="18"/>
  <c r="B179" i="10"/>
  <c r="B177" i="10"/>
  <c r="B182" i="10" s="1"/>
  <c r="B174" i="10"/>
  <c r="B175" i="10"/>
  <c r="B180" i="10" s="1"/>
  <c r="B98" i="18"/>
  <c r="B101" i="10"/>
  <c r="B107" i="10" s="1"/>
  <c r="B66" i="18"/>
  <c r="I189" i="11"/>
  <c r="I190" i="11"/>
  <c r="I191" i="11"/>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I214" i="11"/>
  <c r="I215" i="11"/>
  <c r="J54" i="14"/>
  <c r="K54" i="14" s="1"/>
  <c r="J63" i="14"/>
  <c r="B60" i="14"/>
  <c r="B84" i="14" s="1"/>
  <c r="B100" i="9" s="1"/>
  <c r="B51" i="14"/>
  <c r="D146" i="8" s="1"/>
  <c r="J32" i="16"/>
  <c r="J171" i="12"/>
  <c r="K171" i="12"/>
  <c r="L171" i="12"/>
  <c r="M171" i="12"/>
  <c r="N171" i="12"/>
  <c r="O171" i="12"/>
  <c r="P171" i="12"/>
  <c r="Q171" i="12"/>
  <c r="R171" i="12"/>
  <c r="S171" i="12"/>
  <c r="T171" i="12"/>
  <c r="U171" i="12"/>
  <c r="V171" i="12"/>
  <c r="W171" i="12"/>
  <c r="X171" i="12"/>
  <c r="Y171" i="12"/>
  <c r="Z171" i="12"/>
  <c r="AA171" i="12"/>
  <c r="AB171" i="12"/>
  <c r="AC171" i="12"/>
  <c r="AD171" i="12"/>
  <c r="AE171" i="12"/>
  <c r="AF171" i="12"/>
  <c r="AG171" i="12"/>
  <c r="AH171" i="12"/>
  <c r="AI171" i="12"/>
  <c r="AJ171" i="12"/>
  <c r="AK171" i="12"/>
  <c r="AL171" i="12"/>
  <c r="AM171" i="12"/>
  <c r="AN171" i="12"/>
  <c r="AO171" i="12"/>
  <c r="AP171" i="12"/>
  <c r="AQ171" i="12"/>
  <c r="AR171" i="12"/>
  <c r="AS171" i="12"/>
  <c r="J192" i="12"/>
  <c r="K192" i="12"/>
  <c r="L192" i="12"/>
  <c r="M192" i="12"/>
  <c r="N192" i="12"/>
  <c r="O192" i="12"/>
  <c r="P192" i="12"/>
  <c r="Q192" i="12"/>
  <c r="R192" i="12"/>
  <c r="S192" i="12"/>
  <c r="T192" i="12"/>
  <c r="U192" i="12"/>
  <c r="V192" i="12"/>
  <c r="W192" i="12"/>
  <c r="X192" i="12"/>
  <c r="Y192" i="12"/>
  <c r="Z192" i="12"/>
  <c r="AA192" i="12"/>
  <c r="AB192" i="12"/>
  <c r="AC192" i="12"/>
  <c r="AD192" i="12"/>
  <c r="AE192" i="12"/>
  <c r="AF192" i="12"/>
  <c r="AG192" i="12"/>
  <c r="AH192" i="12"/>
  <c r="AI192" i="12"/>
  <c r="AJ192" i="12"/>
  <c r="AK192" i="12"/>
  <c r="AL192" i="12"/>
  <c r="AM192" i="12"/>
  <c r="AN192" i="12"/>
  <c r="AO192" i="12"/>
  <c r="AP192" i="12"/>
  <c r="AQ192" i="12"/>
  <c r="AR192" i="12"/>
  <c r="AS192" i="12"/>
  <c r="F171" i="12"/>
  <c r="F192" i="12"/>
  <c r="B187" i="12"/>
  <c r="D132" i="8" s="1"/>
  <c r="B166" i="12"/>
  <c r="D131" i="8" s="1"/>
  <c r="J129" i="10"/>
  <c r="K129" i="10"/>
  <c r="L129" i="10"/>
  <c r="M129" i="10"/>
  <c r="N129" i="10"/>
  <c r="O129" i="10"/>
  <c r="P129" i="10"/>
  <c r="Q129" i="10"/>
  <c r="R129"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J121" i="10"/>
  <c r="K121" i="10"/>
  <c r="L121" i="10"/>
  <c r="M121" i="10"/>
  <c r="N121" i="10"/>
  <c r="O121" i="10"/>
  <c r="P121" i="10"/>
  <c r="Q121" i="10"/>
  <c r="R121" i="10"/>
  <c r="S121" i="10"/>
  <c r="T121" i="10"/>
  <c r="U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B141" i="10"/>
  <c r="B152" i="10" s="1"/>
  <c r="B76" i="18"/>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B140" i="10"/>
  <c r="B151" i="10" s="1"/>
  <c r="B73" i="18"/>
  <c r="B146" i="10"/>
  <c r="B157" i="10" s="1"/>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AS88" i="10"/>
  <c r="B99" i="10"/>
  <c r="B105" i="10" s="1"/>
  <c r="B28" i="9" s="1"/>
  <c r="B60" i="18"/>
  <c r="B100" i="10"/>
  <c r="B106" i="10" s="1"/>
  <c r="B63" i="18"/>
  <c r="J50" i="10"/>
  <c r="B65" i="10"/>
  <c r="B73" i="10" s="1"/>
  <c r="B44" i="18"/>
  <c r="B68" i="10"/>
  <c r="B76" i="10" s="1"/>
  <c r="B50" i="18"/>
  <c r="B83" i="14" l="1"/>
  <c r="B99" i="9" s="1"/>
  <c r="AN72" i="25"/>
  <c r="AR34" i="10"/>
  <c r="AH34" i="10"/>
  <c r="AD72" i="25"/>
  <c r="X72" i="25"/>
  <c r="AB34" i="10"/>
  <c r="C200" i="9"/>
  <c r="B83" i="11"/>
  <c r="B205" i="11" s="1"/>
  <c r="B155" i="12" s="1"/>
  <c r="B46" i="9"/>
  <c r="B154" i="17" s="1"/>
  <c r="B78" i="11"/>
  <c r="B200" i="11" s="1"/>
  <c r="B150" i="12" s="1"/>
  <c r="C195" i="9"/>
  <c r="B41" i="9"/>
  <c r="B149" i="17" s="1"/>
  <c r="C194" i="9"/>
  <c r="B77" i="11"/>
  <c r="B199" i="11" s="1"/>
  <c r="B149" i="12" s="1"/>
  <c r="B40" i="9"/>
  <c r="B148" i="17" s="1"/>
  <c r="T72" i="25"/>
  <c r="J253" i="9"/>
  <c r="I72" i="13"/>
  <c r="C127" i="9" s="1"/>
  <c r="I59" i="13"/>
  <c r="I62" i="13"/>
  <c r="B256" i="9" s="1"/>
  <c r="I69" i="13"/>
  <c r="I70" i="13"/>
  <c r="B69" i="9" s="1"/>
  <c r="AQ253" i="9"/>
  <c r="AI253" i="9"/>
  <c r="AA253" i="9"/>
  <c r="S253" i="9"/>
  <c r="K253" i="9"/>
  <c r="AF253" i="9"/>
  <c r="X253" i="9"/>
  <c r="P253" i="9"/>
  <c r="AL253" i="9"/>
  <c r="AD253" i="9"/>
  <c r="V253" i="9"/>
  <c r="N253" i="9"/>
  <c r="AK253" i="9"/>
  <c r="AC253" i="9"/>
  <c r="U253" i="9"/>
  <c r="M253" i="9"/>
  <c r="B55" i="11"/>
  <c r="B177" i="11" s="1"/>
  <c r="B25" i="12" s="1"/>
  <c r="C177" i="9"/>
  <c r="B23" i="9"/>
  <c r="B133" i="17" s="1"/>
  <c r="B52" i="11"/>
  <c r="B174" i="11" s="1"/>
  <c r="B22" i="12" s="1"/>
  <c r="C174" i="9"/>
  <c r="B20" i="9"/>
  <c r="B130" i="17" s="1"/>
  <c r="B61" i="11"/>
  <c r="B183" i="11" s="1"/>
  <c r="B28" i="12" s="1"/>
  <c r="B37" i="9"/>
  <c r="B36" i="9"/>
  <c r="B60" i="11"/>
  <c r="B182" i="11" s="1"/>
  <c r="B27" i="12" s="1"/>
  <c r="C190" i="9"/>
  <c r="B89" i="12"/>
  <c r="B68" i="11"/>
  <c r="B190" i="11" s="1"/>
  <c r="B147" i="12" s="1"/>
  <c r="B29" i="9"/>
  <c r="B69" i="11"/>
  <c r="B191" i="11" s="1"/>
  <c r="B148" i="12" s="1"/>
  <c r="C191" i="9"/>
  <c r="B90" i="12"/>
  <c r="B30" i="9"/>
  <c r="C189" i="9"/>
  <c r="B88" i="12"/>
  <c r="B67" i="11"/>
  <c r="B189" i="11" s="1"/>
  <c r="B146" i="12" s="1"/>
  <c r="B71" i="14"/>
  <c r="K63" i="14"/>
  <c r="L54" i="14"/>
  <c r="M54" i="14"/>
  <c r="B80" i="14"/>
  <c r="B59" i="9" s="1"/>
  <c r="D147" i="8"/>
  <c r="B72" i="14"/>
  <c r="B79" i="14"/>
  <c r="B58" i="9" s="1"/>
  <c r="B75" i="14"/>
  <c r="B76" i="14"/>
  <c r="B211" i="12"/>
  <c r="B219" i="12"/>
  <c r="B227" i="12"/>
  <c r="B111" i="9" s="1"/>
  <c r="B218" i="12"/>
  <c r="B214" i="12"/>
  <c r="B222" i="12"/>
  <c r="C207" i="9" s="1"/>
  <c r="B226" i="12"/>
  <c r="B110" i="9" s="1"/>
  <c r="B210" i="12"/>
  <c r="B223" i="12"/>
  <c r="C208" i="9" s="1"/>
  <c r="B215" i="12"/>
  <c r="B67" i="10"/>
  <c r="B75" i="10" s="1"/>
  <c r="B47" i="18"/>
  <c r="B66" i="10"/>
  <c r="B74" i="10" s="1"/>
  <c r="I210" i="11"/>
  <c r="B145" i="10"/>
  <c r="B156" i="10" s="1"/>
  <c r="B88" i="18"/>
  <c r="B144" i="10"/>
  <c r="B155" i="10" s="1"/>
  <c r="B85" i="18"/>
  <c r="B143" i="10"/>
  <c r="B154" i="10" s="1"/>
  <c r="B82" i="18"/>
  <c r="AO72" i="25" l="1"/>
  <c r="AS34" i="10"/>
  <c r="AP72" i="25" s="1"/>
  <c r="AI34" i="10"/>
  <c r="AE72" i="25"/>
  <c r="AC34" i="10"/>
  <c r="Y72" i="25"/>
  <c r="B80" i="11"/>
  <c r="B202" i="11" s="1"/>
  <c r="B152" i="12" s="1"/>
  <c r="C197" i="9"/>
  <c r="B43" i="9"/>
  <c r="B151" i="17" s="1"/>
  <c r="B82" i="11"/>
  <c r="B204" i="11" s="1"/>
  <c r="B154" i="12" s="1"/>
  <c r="C199" i="9"/>
  <c r="B45" i="9"/>
  <c r="B153" i="17" s="1"/>
  <c r="C198" i="9"/>
  <c r="B81" i="11"/>
  <c r="B203" i="11" s="1"/>
  <c r="B153" i="12" s="1"/>
  <c r="B44" i="9"/>
  <c r="B152" i="17" s="1"/>
  <c r="B53" i="11"/>
  <c r="B175" i="11" s="1"/>
  <c r="B23" i="12" s="1"/>
  <c r="B21" i="9"/>
  <c r="B131" i="17" s="1"/>
  <c r="C175" i="9"/>
  <c r="B54" i="11"/>
  <c r="B176" i="11" s="1"/>
  <c r="B24" i="12" s="1"/>
  <c r="C176" i="9"/>
  <c r="B22" i="9"/>
  <c r="B132" i="17" s="1"/>
  <c r="L63" i="14"/>
  <c r="M63" i="14" s="1"/>
  <c r="N54" i="14"/>
  <c r="B92" i="11"/>
  <c r="B214" i="11" s="1"/>
  <c r="B242" i="9"/>
  <c r="B243" i="9"/>
  <c r="B93" i="11"/>
  <c r="B215" i="11" s="1"/>
  <c r="AF72" i="25" l="1"/>
  <c r="AJ34" i="10"/>
  <c r="Z72" i="25"/>
  <c r="AD34" i="10"/>
  <c r="AA72" i="25" s="1"/>
  <c r="N63" i="14"/>
  <c r="O54" i="14"/>
  <c r="AK34" i="10" l="1"/>
  <c r="AG72" i="25"/>
  <c r="O63" i="14"/>
  <c r="P63" i="14" s="1"/>
  <c r="P54" i="14"/>
  <c r="Q54" i="14" s="1"/>
  <c r="R54" i="14" s="1"/>
  <c r="J28" i="15"/>
  <c r="J29" i="15" s="1"/>
  <c r="K28" i="15"/>
  <c r="K29" i="15" s="1"/>
  <c r="L28" i="15"/>
  <c r="L29" i="15" s="1"/>
  <c r="M28" i="15"/>
  <c r="M29" i="15" s="1"/>
  <c r="N28" i="15"/>
  <c r="N29" i="15" s="1"/>
  <c r="O28" i="15"/>
  <c r="O29" i="15" s="1"/>
  <c r="P28" i="15"/>
  <c r="P29" i="15" s="1"/>
  <c r="Q28" i="15"/>
  <c r="Q29" i="15" s="1"/>
  <c r="R28" i="15"/>
  <c r="R29" i="15" s="1"/>
  <c r="S28" i="15"/>
  <c r="S29" i="15" s="1"/>
  <c r="T28" i="15"/>
  <c r="T29" i="15" s="1"/>
  <c r="U28" i="15"/>
  <c r="U29" i="15" s="1"/>
  <c r="V28" i="15"/>
  <c r="V29" i="15" s="1"/>
  <c r="W28" i="15"/>
  <c r="W29" i="15" s="1"/>
  <c r="X28" i="15"/>
  <c r="X29" i="15" s="1"/>
  <c r="Y28" i="15"/>
  <c r="Y29" i="15" s="1"/>
  <c r="Z28" i="15"/>
  <c r="Z29" i="15" s="1"/>
  <c r="AA28" i="15"/>
  <c r="AA29" i="15" s="1"/>
  <c r="AB28" i="15"/>
  <c r="AB29" i="15" s="1"/>
  <c r="AC28" i="15"/>
  <c r="AC29" i="15" s="1"/>
  <c r="AD28" i="15"/>
  <c r="AD29" i="15" s="1"/>
  <c r="AE28" i="15"/>
  <c r="AE29" i="15" s="1"/>
  <c r="AF28" i="15"/>
  <c r="AF29" i="15" s="1"/>
  <c r="AG28" i="15"/>
  <c r="AG29" i="15" s="1"/>
  <c r="AH28" i="15"/>
  <c r="AH29" i="15" s="1"/>
  <c r="AI28" i="15"/>
  <c r="AI29" i="15" s="1"/>
  <c r="AJ28" i="15"/>
  <c r="AJ29" i="15" s="1"/>
  <c r="AK28" i="15"/>
  <c r="AK29" i="15" s="1"/>
  <c r="AL28" i="15"/>
  <c r="AL29" i="15" s="1"/>
  <c r="AM28" i="15"/>
  <c r="AM29" i="15" s="1"/>
  <c r="AN28" i="15"/>
  <c r="AN29" i="15" s="1"/>
  <c r="AO28" i="15"/>
  <c r="AO29" i="15" s="1"/>
  <c r="AP28" i="15"/>
  <c r="AP29" i="15" s="1"/>
  <c r="AQ28" i="15"/>
  <c r="AQ29" i="15" s="1"/>
  <c r="AR28" i="15"/>
  <c r="AR29" i="15" s="1"/>
  <c r="AS28" i="15"/>
  <c r="AS29" i="15" s="1"/>
  <c r="J24" i="15"/>
  <c r="J25" i="15" s="1"/>
  <c r="K24" i="15"/>
  <c r="K25" i="15" s="1"/>
  <c r="L24" i="15"/>
  <c r="L25" i="15" s="1"/>
  <c r="M24" i="15"/>
  <c r="M25" i="15" s="1"/>
  <c r="N24" i="15"/>
  <c r="N25" i="15" s="1"/>
  <c r="O24" i="15"/>
  <c r="O25" i="15" s="1"/>
  <c r="P24" i="15"/>
  <c r="P25" i="15" s="1"/>
  <c r="Q24" i="15"/>
  <c r="Q25" i="15" s="1"/>
  <c r="R24" i="15"/>
  <c r="R25" i="15" s="1"/>
  <c r="S24" i="15"/>
  <c r="S25" i="15" s="1"/>
  <c r="T24" i="15"/>
  <c r="T25" i="15" s="1"/>
  <c r="U24" i="15"/>
  <c r="U25" i="15" s="1"/>
  <c r="V24" i="15"/>
  <c r="V25" i="15" s="1"/>
  <c r="W24" i="15"/>
  <c r="W25" i="15" s="1"/>
  <c r="X24" i="15"/>
  <c r="X25" i="15" s="1"/>
  <c r="Y24" i="15"/>
  <c r="Y25" i="15" s="1"/>
  <c r="Z24" i="15"/>
  <c r="Z25" i="15" s="1"/>
  <c r="AA24" i="15"/>
  <c r="AA25" i="15" s="1"/>
  <c r="AB24" i="15"/>
  <c r="AB25" i="15" s="1"/>
  <c r="AC24" i="15"/>
  <c r="AC25" i="15" s="1"/>
  <c r="AD24" i="15"/>
  <c r="AD25" i="15" s="1"/>
  <c r="AE24" i="15"/>
  <c r="AE25" i="15" s="1"/>
  <c r="AF24" i="15"/>
  <c r="AF25" i="15" s="1"/>
  <c r="AG24" i="15"/>
  <c r="AG25" i="15" s="1"/>
  <c r="AH24" i="15"/>
  <c r="AH25" i="15" s="1"/>
  <c r="AI24" i="15"/>
  <c r="AI25" i="15" s="1"/>
  <c r="AJ24" i="15"/>
  <c r="AJ25" i="15" s="1"/>
  <c r="AK24" i="15"/>
  <c r="AK25" i="15" s="1"/>
  <c r="AL24" i="15"/>
  <c r="AL25" i="15" s="1"/>
  <c r="AM24" i="15"/>
  <c r="AM25" i="15" s="1"/>
  <c r="AN24" i="15"/>
  <c r="AN25" i="15" s="1"/>
  <c r="AO24" i="15"/>
  <c r="AO25" i="15" s="1"/>
  <c r="AP24" i="15"/>
  <c r="AP25" i="15" s="1"/>
  <c r="AQ24" i="15"/>
  <c r="AQ25" i="15" s="1"/>
  <c r="AR24" i="15"/>
  <c r="AR25" i="15" s="1"/>
  <c r="AS24" i="15"/>
  <c r="AS25" i="15" s="1"/>
  <c r="J295" i="11"/>
  <c r="K295" i="11"/>
  <c r="L295" i="11"/>
  <c r="M295" i="11"/>
  <c r="N295" i="11"/>
  <c r="O295" i="11"/>
  <c r="P295" i="11"/>
  <c r="Q295" i="11"/>
  <c r="R295" i="11"/>
  <c r="S295" i="11"/>
  <c r="T295" i="11"/>
  <c r="U295" i="11"/>
  <c r="V295" i="11"/>
  <c r="W295" i="11"/>
  <c r="X295" i="11"/>
  <c r="Y295" i="11"/>
  <c r="Z295" i="11"/>
  <c r="AA295" i="11"/>
  <c r="AB295" i="11"/>
  <c r="AC295" i="11"/>
  <c r="AD295" i="11"/>
  <c r="AE295" i="11"/>
  <c r="AF295" i="11"/>
  <c r="AG295" i="11"/>
  <c r="AH295" i="11"/>
  <c r="AI295" i="11"/>
  <c r="AJ295" i="11"/>
  <c r="AK295" i="11"/>
  <c r="AL295" i="11"/>
  <c r="AM295" i="11"/>
  <c r="AN295" i="11"/>
  <c r="AO295" i="11"/>
  <c r="AP295" i="11"/>
  <c r="AQ295" i="11"/>
  <c r="AR295" i="11"/>
  <c r="AS295" i="11"/>
  <c r="J296" i="11"/>
  <c r="K296" i="11"/>
  <c r="L296" i="11"/>
  <c r="M296" i="11"/>
  <c r="N296" i="11"/>
  <c r="O296" i="11"/>
  <c r="P296" i="11"/>
  <c r="Q296" i="11"/>
  <c r="R296" i="11"/>
  <c r="S296" i="11"/>
  <c r="T296" i="11"/>
  <c r="U296" i="11"/>
  <c r="V296" i="11"/>
  <c r="W296" i="11"/>
  <c r="X296" i="11"/>
  <c r="Y296" i="11"/>
  <c r="Z296" i="11"/>
  <c r="AA296" i="11"/>
  <c r="AB296" i="11"/>
  <c r="AC296" i="11"/>
  <c r="AD296" i="11"/>
  <c r="AE296" i="11"/>
  <c r="AF296" i="11"/>
  <c r="AG296" i="11"/>
  <c r="AH296" i="11"/>
  <c r="AI296" i="11"/>
  <c r="AJ296" i="11"/>
  <c r="AK296" i="11"/>
  <c r="AL296" i="11"/>
  <c r="AM296" i="11"/>
  <c r="AN296" i="11"/>
  <c r="AO296" i="11"/>
  <c r="AP296" i="11"/>
  <c r="AQ296" i="11"/>
  <c r="AR296" i="11"/>
  <c r="AS296" i="11"/>
  <c r="J297" i="11"/>
  <c r="K297" i="11"/>
  <c r="L297" i="11"/>
  <c r="M297" i="11"/>
  <c r="N297" i="11"/>
  <c r="O297" i="11"/>
  <c r="P297" i="11"/>
  <c r="Q297" i="11"/>
  <c r="R297" i="11"/>
  <c r="S297" i="11"/>
  <c r="T297" i="11"/>
  <c r="U297" i="11"/>
  <c r="V297" i="11"/>
  <c r="W297" i="11"/>
  <c r="X297" i="11"/>
  <c r="Y297" i="11"/>
  <c r="Z297" i="11"/>
  <c r="AA297" i="11"/>
  <c r="AB297" i="11"/>
  <c r="AC297" i="11"/>
  <c r="AD297" i="11"/>
  <c r="AE297" i="11"/>
  <c r="AF297" i="11"/>
  <c r="AG297" i="11"/>
  <c r="AH297" i="11"/>
  <c r="AI297" i="11"/>
  <c r="AJ297" i="11"/>
  <c r="AK297" i="11"/>
  <c r="AL297" i="11"/>
  <c r="AM297" i="11"/>
  <c r="AN297" i="11"/>
  <c r="AO297" i="11"/>
  <c r="AP297" i="11"/>
  <c r="AQ297" i="11"/>
  <c r="AR297" i="11"/>
  <c r="AS297" i="11"/>
  <c r="J260" i="11"/>
  <c r="K260" i="11"/>
  <c r="L260" i="11"/>
  <c r="M260" i="11"/>
  <c r="N260" i="11"/>
  <c r="O260" i="11"/>
  <c r="P260" i="11"/>
  <c r="Q260" i="11"/>
  <c r="R260" i="11"/>
  <c r="S260" i="11"/>
  <c r="T260" i="11"/>
  <c r="U260" i="11"/>
  <c r="V260" i="11"/>
  <c r="W260" i="11"/>
  <c r="X260" i="11"/>
  <c r="Y260" i="11"/>
  <c r="Z260" i="11"/>
  <c r="AA260" i="11"/>
  <c r="AB260" i="11"/>
  <c r="AC260" i="11"/>
  <c r="AD260" i="11"/>
  <c r="AE260" i="11"/>
  <c r="AF260" i="11"/>
  <c r="AG260" i="11"/>
  <c r="AH260" i="11"/>
  <c r="AI260" i="11"/>
  <c r="AJ260" i="11"/>
  <c r="AK260" i="11"/>
  <c r="AL260" i="11"/>
  <c r="AM260" i="11"/>
  <c r="AN260" i="11"/>
  <c r="AO260" i="11"/>
  <c r="AP260" i="11"/>
  <c r="AQ260" i="11"/>
  <c r="AR260" i="11"/>
  <c r="AS260" i="11"/>
  <c r="J293" i="11"/>
  <c r="K293" i="11"/>
  <c r="L293" i="11"/>
  <c r="M293" i="11"/>
  <c r="N293" i="11"/>
  <c r="O293" i="11"/>
  <c r="P293" i="11"/>
  <c r="Q293" i="11"/>
  <c r="R293" i="11"/>
  <c r="S293" i="11"/>
  <c r="T293" i="11"/>
  <c r="U293" i="11"/>
  <c r="V293" i="11"/>
  <c r="W293" i="11"/>
  <c r="X293" i="11"/>
  <c r="Y293" i="11"/>
  <c r="Z293" i="11"/>
  <c r="AA293" i="11"/>
  <c r="AB293" i="11"/>
  <c r="AC293" i="11"/>
  <c r="AD293" i="11"/>
  <c r="AE293" i="11"/>
  <c r="AF293" i="11"/>
  <c r="AG293" i="11"/>
  <c r="AH293" i="11"/>
  <c r="AI293" i="11"/>
  <c r="AJ293" i="11"/>
  <c r="AK293" i="11"/>
  <c r="AL293" i="11"/>
  <c r="AM293" i="11"/>
  <c r="AN293" i="11"/>
  <c r="AO293" i="11"/>
  <c r="AP293" i="11"/>
  <c r="AQ293" i="11"/>
  <c r="AR293" i="11"/>
  <c r="AS293" i="11"/>
  <c r="J292" i="11"/>
  <c r="K292" i="11"/>
  <c r="L292" i="11"/>
  <c r="M292" i="11"/>
  <c r="N292" i="11"/>
  <c r="O292" i="11"/>
  <c r="P292" i="11"/>
  <c r="Q292" i="11"/>
  <c r="R292" i="11"/>
  <c r="S292" i="11"/>
  <c r="T292" i="11"/>
  <c r="U292" i="11"/>
  <c r="V292" i="11"/>
  <c r="W292" i="11"/>
  <c r="X292" i="11"/>
  <c r="Y292" i="11"/>
  <c r="Z292" i="11"/>
  <c r="AA292" i="11"/>
  <c r="AB292" i="11"/>
  <c r="AC292" i="11"/>
  <c r="AD292" i="11"/>
  <c r="AE292" i="11"/>
  <c r="AF292" i="11"/>
  <c r="AG292" i="11"/>
  <c r="AH292" i="11"/>
  <c r="AI292" i="11"/>
  <c r="AJ292" i="11"/>
  <c r="AK292" i="11"/>
  <c r="AL292" i="11"/>
  <c r="AM292" i="11"/>
  <c r="AN292" i="11"/>
  <c r="AO292" i="11"/>
  <c r="AP292" i="11"/>
  <c r="AQ292" i="11"/>
  <c r="AR292" i="11"/>
  <c r="AS292" i="11"/>
  <c r="J291" i="11"/>
  <c r="K291" i="11"/>
  <c r="L291" i="11"/>
  <c r="M291" i="11"/>
  <c r="N291" i="11"/>
  <c r="O291" i="11"/>
  <c r="P291" i="11"/>
  <c r="Q291" i="11"/>
  <c r="R291" i="11"/>
  <c r="S291" i="11"/>
  <c r="T291" i="11"/>
  <c r="U291" i="11"/>
  <c r="V291" i="11"/>
  <c r="W291" i="11"/>
  <c r="X291" i="11"/>
  <c r="Y291" i="11"/>
  <c r="Z291" i="11"/>
  <c r="AA291" i="11"/>
  <c r="AB291" i="11"/>
  <c r="AC291" i="11"/>
  <c r="AD291" i="11"/>
  <c r="AE291" i="11"/>
  <c r="AF291" i="11"/>
  <c r="AG291" i="11"/>
  <c r="AH291" i="11"/>
  <c r="AI291" i="11"/>
  <c r="AJ291" i="11"/>
  <c r="AK291" i="11"/>
  <c r="AL291" i="11"/>
  <c r="AM291" i="11"/>
  <c r="AN291" i="11"/>
  <c r="AO291" i="11"/>
  <c r="AP291" i="11"/>
  <c r="AQ291" i="11"/>
  <c r="AR291" i="11"/>
  <c r="AS291" i="11"/>
  <c r="J290" i="11"/>
  <c r="K290" i="11"/>
  <c r="L290" i="11"/>
  <c r="M290" i="11"/>
  <c r="N290" i="11"/>
  <c r="O290" i="11"/>
  <c r="P290" i="11"/>
  <c r="Q290" i="11"/>
  <c r="R290" i="11"/>
  <c r="S290" i="11"/>
  <c r="T290" i="11"/>
  <c r="U290" i="11"/>
  <c r="V290" i="11"/>
  <c r="W290" i="11"/>
  <c r="X290" i="11"/>
  <c r="Y290" i="11"/>
  <c r="Z290" i="11"/>
  <c r="AA290" i="11"/>
  <c r="AB290" i="11"/>
  <c r="AC290" i="11"/>
  <c r="AD290" i="11"/>
  <c r="AE290" i="11"/>
  <c r="AF290" i="11"/>
  <c r="AG290" i="11"/>
  <c r="AH290" i="11"/>
  <c r="AI290" i="11"/>
  <c r="AJ290" i="11"/>
  <c r="AK290" i="11"/>
  <c r="AL290" i="11"/>
  <c r="AM290" i="11"/>
  <c r="AN290" i="11"/>
  <c r="AO290" i="11"/>
  <c r="AP290" i="11"/>
  <c r="AQ290" i="11"/>
  <c r="AR290" i="11"/>
  <c r="AS290" i="11"/>
  <c r="J145" i="11"/>
  <c r="K145" i="11"/>
  <c r="L145" i="11"/>
  <c r="M145" i="11"/>
  <c r="N145" i="11"/>
  <c r="O145" i="11"/>
  <c r="P145" i="11"/>
  <c r="Q145" i="11"/>
  <c r="R145" i="11"/>
  <c r="S145" i="11"/>
  <c r="T145" i="11"/>
  <c r="U145" i="11"/>
  <c r="V145" i="11"/>
  <c r="W145" i="11"/>
  <c r="X145" i="11"/>
  <c r="Y145" i="11"/>
  <c r="Z145" i="11"/>
  <c r="AA145" i="11"/>
  <c r="AB145" i="11"/>
  <c r="AC145" i="11"/>
  <c r="AD145" i="11"/>
  <c r="AE145" i="11"/>
  <c r="AF145" i="11"/>
  <c r="AG145" i="11"/>
  <c r="AH145" i="11"/>
  <c r="AI145" i="11"/>
  <c r="AJ145" i="11"/>
  <c r="AK145" i="11"/>
  <c r="AL145" i="11"/>
  <c r="AM145" i="11"/>
  <c r="AN145" i="11"/>
  <c r="AO145" i="11"/>
  <c r="AP145" i="11"/>
  <c r="AQ145" i="11"/>
  <c r="AR145" i="11"/>
  <c r="AS145" i="11"/>
  <c r="J132" i="11"/>
  <c r="K132" i="11"/>
  <c r="L132" i="11"/>
  <c r="M132" i="11"/>
  <c r="N132" i="11"/>
  <c r="O132" i="11"/>
  <c r="P132" i="11"/>
  <c r="Q132" i="11"/>
  <c r="R132" i="11"/>
  <c r="S132" i="11"/>
  <c r="T132" i="11"/>
  <c r="U132" i="11"/>
  <c r="V132" i="11"/>
  <c r="W132" i="11"/>
  <c r="X132" i="11"/>
  <c r="Y132" i="11"/>
  <c r="Z132" i="11"/>
  <c r="AA132" i="11"/>
  <c r="AB132" i="11"/>
  <c r="AC132" i="11"/>
  <c r="AD132" i="11"/>
  <c r="AE132" i="11"/>
  <c r="AF132" i="11"/>
  <c r="AG132" i="11"/>
  <c r="AH132" i="11"/>
  <c r="AI132" i="11"/>
  <c r="AJ132" i="11"/>
  <c r="AK132" i="11"/>
  <c r="AL132" i="11"/>
  <c r="AM132" i="11"/>
  <c r="AN132" i="11"/>
  <c r="AO132" i="11"/>
  <c r="AP132" i="11"/>
  <c r="AQ132" i="11"/>
  <c r="AR132" i="11"/>
  <c r="AS132"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J155" i="13"/>
  <c r="K155" i="13"/>
  <c r="L155" i="13"/>
  <c r="L261" i="9" s="1"/>
  <c r="L285" i="9" s="1"/>
  <c r="M155" i="13"/>
  <c r="N155" i="13"/>
  <c r="O155" i="13"/>
  <c r="P155" i="13"/>
  <c r="Q155" i="13"/>
  <c r="Q261" i="9" s="1"/>
  <c r="Q285" i="9" s="1"/>
  <c r="R155" i="13"/>
  <c r="S155" i="13"/>
  <c r="T155" i="13"/>
  <c r="T261" i="9" s="1"/>
  <c r="T285" i="9" s="1"/>
  <c r="U155" i="13"/>
  <c r="V155" i="13"/>
  <c r="W155" i="13"/>
  <c r="X155" i="13"/>
  <c r="Y155" i="13"/>
  <c r="Y261" i="9" s="1"/>
  <c r="Y285" i="9" s="1"/>
  <c r="Z155" i="13"/>
  <c r="AA155" i="13"/>
  <c r="AB155" i="13"/>
  <c r="AB261" i="9" s="1"/>
  <c r="AB285" i="9" s="1"/>
  <c r="AC155" i="13"/>
  <c r="AD155" i="13"/>
  <c r="AE155" i="13"/>
  <c r="AF155" i="13"/>
  <c r="AG155" i="13"/>
  <c r="AG261" i="9" s="1"/>
  <c r="AG285" i="9" s="1"/>
  <c r="AH155" i="13"/>
  <c r="AI155" i="13"/>
  <c r="AJ155" i="13"/>
  <c r="AJ261" i="9" s="1"/>
  <c r="AJ285" i="9" s="1"/>
  <c r="AK155" i="13"/>
  <c r="AL155" i="13"/>
  <c r="AM155" i="13"/>
  <c r="AN155" i="13"/>
  <c r="AO155" i="13"/>
  <c r="AO261" i="9" s="1"/>
  <c r="AO285" i="9" s="1"/>
  <c r="AP155" i="13"/>
  <c r="AQ155" i="13"/>
  <c r="AR155" i="13"/>
  <c r="AR261" i="9" s="1"/>
  <c r="AR285" i="9" s="1"/>
  <c r="AS155" i="13"/>
  <c r="J154" i="13"/>
  <c r="K154" i="13"/>
  <c r="L154" i="13"/>
  <c r="M154" i="13"/>
  <c r="M259" i="9" s="1"/>
  <c r="M284" i="9" s="1"/>
  <c r="N154" i="13"/>
  <c r="O154" i="13"/>
  <c r="P154" i="13"/>
  <c r="P259" i="9" s="1"/>
  <c r="P284" i="9" s="1"/>
  <c r="Q154" i="13"/>
  <c r="R154" i="13"/>
  <c r="S154" i="13"/>
  <c r="T154" i="13"/>
  <c r="U154" i="13"/>
  <c r="U259" i="9" s="1"/>
  <c r="U284" i="9" s="1"/>
  <c r="V154" i="13"/>
  <c r="W154" i="13"/>
  <c r="X154" i="13"/>
  <c r="X259" i="9" s="1"/>
  <c r="X284" i="9" s="1"/>
  <c r="Y154" i="13"/>
  <c r="Z154" i="13"/>
  <c r="AA154" i="13"/>
  <c r="AB154" i="13"/>
  <c r="AC154" i="13"/>
  <c r="AC259" i="9" s="1"/>
  <c r="AC284" i="9" s="1"/>
  <c r="AD154" i="13"/>
  <c r="AE154" i="13"/>
  <c r="AF154" i="13"/>
  <c r="AF259" i="9" s="1"/>
  <c r="AF284" i="9" s="1"/>
  <c r="AG154" i="13"/>
  <c r="AH154" i="13"/>
  <c r="AI154" i="13"/>
  <c r="AJ154" i="13"/>
  <c r="AK154" i="13"/>
  <c r="AK259" i="9" s="1"/>
  <c r="AK284" i="9" s="1"/>
  <c r="AL154" i="13"/>
  <c r="AM154" i="13"/>
  <c r="AN154" i="13"/>
  <c r="AN259" i="9" s="1"/>
  <c r="AN284" i="9" s="1"/>
  <c r="AO154" i="13"/>
  <c r="AP154" i="13"/>
  <c r="AQ154" i="13"/>
  <c r="AR154" i="13"/>
  <c r="AS154" i="13"/>
  <c r="AS259" i="9" s="1"/>
  <c r="AS284" i="9" s="1"/>
  <c r="J41" i="13"/>
  <c r="K41" i="13"/>
  <c r="L41" i="13"/>
  <c r="M41" i="13"/>
  <c r="N41" i="13"/>
  <c r="O41" i="13"/>
  <c r="P41" i="13"/>
  <c r="Q41" i="13"/>
  <c r="R41" i="13"/>
  <c r="S41" i="13"/>
  <c r="T41" i="13"/>
  <c r="U41" i="13"/>
  <c r="V41" i="13"/>
  <c r="W41" i="13"/>
  <c r="X41" i="13"/>
  <c r="Y41" i="13"/>
  <c r="Z41" i="13"/>
  <c r="AA41" i="13"/>
  <c r="AB41" i="13"/>
  <c r="AC41" i="13"/>
  <c r="AD41" i="13"/>
  <c r="AE41" i="13"/>
  <c r="AF41" i="13"/>
  <c r="AG41" i="13"/>
  <c r="AH41" i="13"/>
  <c r="AI41" i="13"/>
  <c r="AJ41" i="13"/>
  <c r="AK41" i="13"/>
  <c r="AL41" i="13"/>
  <c r="AM41" i="13"/>
  <c r="AN41" i="13"/>
  <c r="AO41" i="13"/>
  <c r="AP41" i="13"/>
  <c r="AQ41" i="13"/>
  <c r="AR41" i="13"/>
  <c r="AS41" i="13"/>
  <c r="J36" i="13"/>
  <c r="J255" i="9" s="1"/>
  <c r="J257" i="9" s="1"/>
  <c r="K36" i="13"/>
  <c r="K255" i="9" s="1"/>
  <c r="K257" i="9" s="1"/>
  <c r="L36" i="13"/>
  <c r="L255" i="9" s="1"/>
  <c r="L257" i="9" s="1"/>
  <c r="L281" i="9" s="1"/>
  <c r="M36" i="13"/>
  <c r="M255" i="9" s="1"/>
  <c r="M257" i="9" s="1"/>
  <c r="M281" i="9" s="1"/>
  <c r="N36" i="13"/>
  <c r="N255" i="9" s="1"/>
  <c r="N257" i="9" s="1"/>
  <c r="O36" i="13"/>
  <c r="O255" i="9" s="1"/>
  <c r="O257" i="9" s="1"/>
  <c r="P36" i="13"/>
  <c r="P255" i="9" s="1"/>
  <c r="P257" i="9" s="1"/>
  <c r="Q36" i="13"/>
  <c r="Q255" i="9" s="1"/>
  <c r="Q257" i="9" s="1"/>
  <c r="Q281" i="9" s="1"/>
  <c r="R36" i="13"/>
  <c r="R255" i="9" s="1"/>
  <c r="R257" i="9" s="1"/>
  <c r="S36" i="13"/>
  <c r="S255" i="9" s="1"/>
  <c r="S257" i="9" s="1"/>
  <c r="S281" i="9" s="1"/>
  <c r="T36" i="13"/>
  <c r="T255" i="9" s="1"/>
  <c r="T257" i="9" s="1"/>
  <c r="T281" i="9" s="1"/>
  <c r="U36" i="13"/>
  <c r="U255" i="9" s="1"/>
  <c r="U257" i="9" s="1"/>
  <c r="V36" i="13"/>
  <c r="V255" i="9" s="1"/>
  <c r="V257" i="9" s="1"/>
  <c r="W36" i="13"/>
  <c r="W255" i="9" s="1"/>
  <c r="W257" i="9" s="1"/>
  <c r="X36" i="13"/>
  <c r="X255" i="9" s="1"/>
  <c r="X257" i="9" s="1"/>
  <c r="Y36" i="13"/>
  <c r="Y255" i="9" s="1"/>
  <c r="Y257" i="9" s="1"/>
  <c r="Y281" i="9" s="1"/>
  <c r="Z36" i="13"/>
  <c r="Z255" i="9" s="1"/>
  <c r="Z257" i="9" s="1"/>
  <c r="AA36" i="13"/>
  <c r="AA255" i="9" s="1"/>
  <c r="AA257" i="9" s="1"/>
  <c r="AB36" i="13"/>
  <c r="AB255" i="9" s="1"/>
  <c r="AB257" i="9" s="1"/>
  <c r="AB281" i="9" s="1"/>
  <c r="AC36" i="13"/>
  <c r="AC255" i="9" s="1"/>
  <c r="AC257" i="9" s="1"/>
  <c r="AD36" i="13"/>
  <c r="AD255" i="9" s="1"/>
  <c r="AD257" i="9" s="1"/>
  <c r="AE36" i="13"/>
  <c r="AE255" i="9" s="1"/>
  <c r="AE257" i="9" s="1"/>
  <c r="AF36" i="13"/>
  <c r="AF255" i="9" s="1"/>
  <c r="AF257" i="9" s="1"/>
  <c r="AG36" i="13"/>
  <c r="AG255" i="9" s="1"/>
  <c r="AG257" i="9" s="1"/>
  <c r="AG281" i="9" s="1"/>
  <c r="AH36" i="13"/>
  <c r="AH255" i="9" s="1"/>
  <c r="AH257" i="9" s="1"/>
  <c r="AI36" i="13"/>
  <c r="AI255" i="9" s="1"/>
  <c r="AI257" i="9" s="1"/>
  <c r="AJ36" i="13"/>
  <c r="AJ255" i="9" s="1"/>
  <c r="AJ257" i="9" s="1"/>
  <c r="AJ281" i="9" s="1"/>
  <c r="AK36" i="13"/>
  <c r="AK255" i="9" s="1"/>
  <c r="AK257" i="9" s="1"/>
  <c r="AK281" i="9" s="1"/>
  <c r="AL36" i="13"/>
  <c r="AL255" i="9" s="1"/>
  <c r="AL257" i="9" s="1"/>
  <c r="AM36" i="13"/>
  <c r="AM255" i="9" s="1"/>
  <c r="AM257" i="9" s="1"/>
  <c r="AN36" i="13"/>
  <c r="AN255" i="9" s="1"/>
  <c r="AN257" i="9" s="1"/>
  <c r="AO36" i="13"/>
  <c r="AO255" i="9" s="1"/>
  <c r="AO257" i="9" s="1"/>
  <c r="AO281" i="9" s="1"/>
  <c r="AP36" i="13"/>
  <c r="AP255" i="9" s="1"/>
  <c r="AP257" i="9" s="1"/>
  <c r="AQ36" i="13"/>
  <c r="AQ255" i="9" s="1"/>
  <c r="AQ257" i="9" s="1"/>
  <c r="AQ281" i="9" s="1"/>
  <c r="AR36" i="13"/>
  <c r="AR255" i="9" s="1"/>
  <c r="AR257" i="9" s="1"/>
  <c r="AR281" i="9" s="1"/>
  <c r="AS36" i="13"/>
  <c r="AS255" i="9" s="1"/>
  <c r="AS257" i="9" s="1"/>
  <c r="K26" i="13"/>
  <c r="K27" i="13" s="1"/>
  <c r="L26" i="13"/>
  <c r="L27" i="13" s="1"/>
  <c r="M26" i="13"/>
  <c r="M27" i="13" s="1"/>
  <c r="N26" i="13"/>
  <c r="N27" i="13" s="1"/>
  <c r="O26" i="13"/>
  <c r="O27" i="13" s="1"/>
  <c r="P26" i="13"/>
  <c r="P27" i="13" s="1"/>
  <c r="Q26" i="13"/>
  <c r="Q27" i="13" s="1"/>
  <c r="R26" i="13"/>
  <c r="R27" i="13" s="1"/>
  <c r="S26" i="13"/>
  <c r="S27" i="13" s="1"/>
  <c r="T26" i="13"/>
  <c r="T27" i="13" s="1"/>
  <c r="U26" i="13"/>
  <c r="U27" i="13" s="1"/>
  <c r="V26" i="13"/>
  <c r="V27" i="13" s="1"/>
  <c r="W26" i="13"/>
  <c r="W27" i="13" s="1"/>
  <c r="X26" i="13"/>
  <c r="X27" i="13" s="1"/>
  <c r="Y26" i="13"/>
  <c r="Y27" i="13" s="1"/>
  <c r="Z26" i="13"/>
  <c r="Z27" i="13" s="1"/>
  <c r="AA26" i="13"/>
  <c r="AA27" i="13" s="1"/>
  <c r="AB26" i="13"/>
  <c r="AB27" i="13" s="1"/>
  <c r="AC26" i="13"/>
  <c r="AC27" i="13" s="1"/>
  <c r="AD26" i="13"/>
  <c r="AD27" i="13" s="1"/>
  <c r="AE26" i="13"/>
  <c r="AE27" i="13" s="1"/>
  <c r="AF26" i="13"/>
  <c r="AF27" i="13" s="1"/>
  <c r="AG26" i="13"/>
  <c r="AG27" i="13" s="1"/>
  <c r="AH26" i="13"/>
  <c r="AH27" i="13" s="1"/>
  <c r="AI26" i="13"/>
  <c r="AI27" i="13" s="1"/>
  <c r="AJ26" i="13"/>
  <c r="AJ27" i="13" s="1"/>
  <c r="AK26" i="13"/>
  <c r="AK27" i="13" s="1"/>
  <c r="AL26" i="13"/>
  <c r="AL27" i="13" s="1"/>
  <c r="AM26" i="13"/>
  <c r="AM27" i="13" s="1"/>
  <c r="AN26" i="13"/>
  <c r="AN27" i="13" s="1"/>
  <c r="AO26" i="13"/>
  <c r="AO27" i="13" s="1"/>
  <c r="AP26" i="13"/>
  <c r="AP27" i="13" s="1"/>
  <c r="AQ26" i="13"/>
  <c r="AQ27" i="13" s="1"/>
  <c r="AR26" i="13"/>
  <c r="AR27" i="13" s="1"/>
  <c r="AS26" i="13"/>
  <c r="AS27" i="13" s="1"/>
  <c r="J23" i="13"/>
  <c r="K23" i="13"/>
  <c r="L23" i="13"/>
  <c r="M23" i="13"/>
  <c r="N23" i="13"/>
  <c r="O23" i="13"/>
  <c r="P23" i="13"/>
  <c r="Q23" i="13"/>
  <c r="R23" i="13"/>
  <c r="S23" i="13"/>
  <c r="T23" i="13"/>
  <c r="U23" i="13"/>
  <c r="V23" i="13"/>
  <c r="W23" i="13"/>
  <c r="X23" i="13"/>
  <c r="Y23" i="13"/>
  <c r="Z23" i="13"/>
  <c r="AA23" i="13"/>
  <c r="AB23" i="13"/>
  <c r="AC23" i="13"/>
  <c r="AD23" i="13"/>
  <c r="AE23" i="13"/>
  <c r="AF23" i="13"/>
  <c r="AG23" i="13"/>
  <c r="AH23" i="13"/>
  <c r="AI23" i="13"/>
  <c r="AJ23" i="13"/>
  <c r="AK23" i="13"/>
  <c r="AL23" i="13"/>
  <c r="AM23" i="13"/>
  <c r="AN23" i="13"/>
  <c r="AO23" i="13"/>
  <c r="AP23" i="13"/>
  <c r="AQ23" i="13"/>
  <c r="AR23" i="13"/>
  <c r="AS23" i="13"/>
  <c r="J257" i="12"/>
  <c r="K257" i="12"/>
  <c r="L257" i="12"/>
  <c r="M257" i="12"/>
  <c r="N257" i="12"/>
  <c r="O257" i="12"/>
  <c r="P257" i="12"/>
  <c r="Q257" i="12"/>
  <c r="R257" i="12"/>
  <c r="S257" i="12"/>
  <c r="T257" i="12"/>
  <c r="U257" i="12"/>
  <c r="V257" i="12"/>
  <c r="W257" i="12"/>
  <c r="X257" i="12"/>
  <c r="Y257" i="12"/>
  <c r="Z257" i="12"/>
  <c r="AA257" i="12"/>
  <c r="AB257" i="12"/>
  <c r="AC257" i="12"/>
  <c r="AD257" i="12"/>
  <c r="AE257" i="12"/>
  <c r="AF257" i="12"/>
  <c r="AG257" i="12"/>
  <c r="AH257" i="12"/>
  <c r="AI257" i="12"/>
  <c r="AJ257" i="12"/>
  <c r="AK257" i="12"/>
  <c r="AL257" i="12"/>
  <c r="AM257" i="12"/>
  <c r="AN257" i="12"/>
  <c r="AO257" i="12"/>
  <c r="AP257" i="12"/>
  <c r="AQ257" i="12"/>
  <c r="AR257" i="12"/>
  <c r="AS257" i="12"/>
  <c r="J255" i="12"/>
  <c r="K255" i="12"/>
  <c r="L255" i="12"/>
  <c r="M255" i="12"/>
  <c r="N255" i="12"/>
  <c r="O255" i="12"/>
  <c r="P255" i="12"/>
  <c r="Q255" i="12"/>
  <c r="R255" i="12"/>
  <c r="S255" i="12"/>
  <c r="T255" i="12"/>
  <c r="U255" i="12"/>
  <c r="V255" i="12"/>
  <c r="W255" i="12"/>
  <c r="X255" i="12"/>
  <c r="Y255" i="12"/>
  <c r="Z255" i="12"/>
  <c r="AA255" i="12"/>
  <c r="AB255" i="12"/>
  <c r="AC255" i="12"/>
  <c r="AD255" i="12"/>
  <c r="AE255" i="12"/>
  <c r="AF255" i="12"/>
  <c r="AG255" i="12"/>
  <c r="AH255" i="12"/>
  <c r="AI255" i="12"/>
  <c r="AJ255" i="12"/>
  <c r="AK255" i="12"/>
  <c r="AL255" i="12"/>
  <c r="AM255" i="12"/>
  <c r="AN255" i="12"/>
  <c r="AO255" i="12"/>
  <c r="AP255" i="12"/>
  <c r="AQ255" i="12"/>
  <c r="AR255" i="12"/>
  <c r="AS255" i="12"/>
  <c r="J254" i="12"/>
  <c r="J278" i="12" s="1"/>
  <c r="J279" i="12" s="1"/>
  <c r="K254" i="12"/>
  <c r="L254" i="12"/>
  <c r="L278" i="12" s="1"/>
  <c r="L279" i="12" s="1"/>
  <c r="M254" i="12"/>
  <c r="M278" i="12" s="1"/>
  <c r="M279" i="12" s="1"/>
  <c r="N254" i="12"/>
  <c r="O254" i="12"/>
  <c r="P254" i="12"/>
  <c r="Q254" i="12"/>
  <c r="R254" i="12"/>
  <c r="R278" i="12" s="1"/>
  <c r="R279" i="12" s="1"/>
  <c r="S254" i="12"/>
  <c r="T254" i="12"/>
  <c r="U254" i="12"/>
  <c r="V254" i="12"/>
  <c r="W254" i="12"/>
  <c r="W278" i="12" s="1"/>
  <c r="W279" i="12" s="1"/>
  <c r="X254" i="12"/>
  <c r="X278" i="12" s="1"/>
  <c r="X279" i="12" s="1"/>
  <c r="Y254" i="12"/>
  <c r="Z254" i="12"/>
  <c r="Z278" i="12" s="1"/>
  <c r="Z279" i="12" s="1"/>
  <c r="AA254" i="12"/>
  <c r="AB254" i="12"/>
  <c r="AC254" i="12"/>
  <c r="AD254" i="12"/>
  <c r="AE254" i="12"/>
  <c r="AF254" i="12"/>
  <c r="AG254" i="12"/>
  <c r="AG278" i="12" s="1"/>
  <c r="AG279" i="12" s="1"/>
  <c r="AH254" i="12"/>
  <c r="AH278" i="12" s="1"/>
  <c r="AH279" i="12" s="1"/>
  <c r="AI254" i="12"/>
  <c r="AJ254" i="12"/>
  <c r="AK254" i="12"/>
  <c r="AL254" i="12"/>
  <c r="AM254" i="12"/>
  <c r="AN254" i="12"/>
  <c r="AO254" i="12"/>
  <c r="AP254" i="12"/>
  <c r="AP278" i="12" s="1"/>
  <c r="AP279" i="12" s="1"/>
  <c r="AQ254" i="12"/>
  <c r="AR254" i="12"/>
  <c r="AR278" i="12" s="1"/>
  <c r="AR279" i="12" s="1"/>
  <c r="AS254" i="12"/>
  <c r="AS278" i="12" s="1"/>
  <c r="AS279" i="12" s="1"/>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J124" i="12"/>
  <c r="K124" i="12"/>
  <c r="L124" i="12"/>
  <c r="M124" i="12"/>
  <c r="N124" i="12"/>
  <c r="N125" i="12" s="1"/>
  <c r="O124" i="12"/>
  <c r="P124" i="12"/>
  <c r="Q124" i="12"/>
  <c r="R124" i="12"/>
  <c r="S124" i="12"/>
  <c r="T124" i="12"/>
  <c r="U124" i="12"/>
  <c r="V124" i="12"/>
  <c r="W124" i="12"/>
  <c r="X124" i="12"/>
  <c r="Y124" i="12"/>
  <c r="Z124" i="12"/>
  <c r="AA124" i="12"/>
  <c r="AB124" i="12"/>
  <c r="AC124" i="12"/>
  <c r="AD124" i="12"/>
  <c r="AE124" i="12"/>
  <c r="AF124" i="12"/>
  <c r="AG124" i="12"/>
  <c r="AH124" i="12"/>
  <c r="AI124" i="12"/>
  <c r="AI125" i="12" s="1"/>
  <c r="AJ124" i="12"/>
  <c r="AK124" i="12"/>
  <c r="AL124" i="12"/>
  <c r="AM124" i="12"/>
  <c r="AN124" i="12"/>
  <c r="AO124" i="12"/>
  <c r="AP124" i="12"/>
  <c r="AQ124" i="12"/>
  <c r="AR124" i="12"/>
  <c r="AS124"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P63" i="12"/>
  <c r="P64" i="12" s="1"/>
  <c r="J63" i="12"/>
  <c r="J64" i="12" s="1"/>
  <c r="Q63" i="12"/>
  <c r="Q64" i="12" s="1"/>
  <c r="R63" i="12"/>
  <c r="R64" i="12" s="1"/>
  <c r="X63" i="12"/>
  <c r="X64" i="12" s="1"/>
  <c r="Y63" i="12"/>
  <c r="Y64" i="12" s="1"/>
  <c r="Z63" i="12"/>
  <c r="Z64" i="12" s="1"/>
  <c r="AF63" i="12"/>
  <c r="AF64" i="12" s="1"/>
  <c r="AG63" i="12"/>
  <c r="AG64" i="12" s="1"/>
  <c r="AH63" i="12"/>
  <c r="AH64" i="12" s="1"/>
  <c r="AN63" i="12"/>
  <c r="AN64" i="12" s="1"/>
  <c r="AO63" i="12"/>
  <c r="AO64" i="12" s="1"/>
  <c r="AP63" i="12"/>
  <c r="AP64" i="12" s="1"/>
  <c r="J196" i="10"/>
  <c r="J200" i="10" s="1"/>
  <c r="K196" i="10"/>
  <c r="K200" i="10" s="1"/>
  <c r="L196" i="10"/>
  <c r="L200" i="10" s="1"/>
  <c r="M196" i="10"/>
  <c r="M200" i="10" s="1"/>
  <c r="N196" i="10"/>
  <c r="N200" i="10" s="1"/>
  <c r="O196" i="10"/>
  <c r="O200" i="10" s="1"/>
  <c r="P196" i="10"/>
  <c r="P200" i="10" s="1"/>
  <c r="Q196" i="10"/>
  <c r="Q200" i="10" s="1"/>
  <c r="R196" i="10"/>
  <c r="R200" i="10" s="1"/>
  <c r="S196" i="10"/>
  <c r="S200" i="10" s="1"/>
  <c r="T196" i="10"/>
  <c r="T200" i="10" s="1"/>
  <c r="U196" i="10"/>
  <c r="U200" i="10" s="1"/>
  <c r="V196" i="10"/>
  <c r="V200" i="10" s="1"/>
  <c r="W196" i="10"/>
  <c r="W200" i="10" s="1"/>
  <c r="X196" i="10"/>
  <c r="X200" i="10" s="1"/>
  <c r="Y196" i="10"/>
  <c r="Y200" i="10" s="1"/>
  <c r="Z196" i="10"/>
  <c r="Z200" i="10" s="1"/>
  <c r="AA196" i="10"/>
  <c r="AA200" i="10" s="1"/>
  <c r="AB196" i="10"/>
  <c r="AB200" i="10" s="1"/>
  <c r="AC196" i="10"/>
  <c r="AC200" i="10" s="1"/>
  <c r="AD196" i="10"/>
  <c r="AD200" i="10" s="1"/>
  <c r="AE196" i="10"/>
  <c r="AE200" i="10" s="1"/>
  <c r="AF196" i="10"/>
  <c r="AF200" i="10" s="1"/>
  <c r="AG196" i="10"/>
  <c r="AG200" i="10" s="1"/>
  <c r="AH196" i="10"/>
  <c r="AH200" i="10" s="1"/>
  <c r="AI196" i="10"/>
  <c r="AI200" i="10" s="1"/>
  <c r="AJ196" i="10"/>
  <c r="AJ200" i="10" s="1"/>
  <c r="AK196" i="10"/>
  <c r="AK200" i="10" s="1"/>
  <c r="AL196" i="10"/>
  <c r="AL200" i="10" s="1"/>
  <c r="AM196" i="10"/>
  <c r="AM200" i="10" s="1"/>
  <c r="AN196" i="10"/>
  <c r="AN200" i="10" s="1"/>
  <c r="AO196" i="10"/>
  <c r="AO200" i="10" s="1"/>
  <c r="AP196" i="10"/>
  <c r="AP200" i="10" s="1"/>
  <c r="AQ196" i="10"/>
  <c r="AQ200" i="10" s="1"/>
  <c r="AR196" i="10"/>
  <c r="AR200" i="10" s="1"/>
  <c r="AS196" i="10"/>
  <c r="AS200" i="10" s="1"/>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J8" i="9"/>
  <c r="K8" i="9"/>
  <c r="L8" i="9"/>
  <c r="M8" i="9"/>
  <c r="N8" i="9"/>
  <c r="K63" i="25" s="1"/>
  <c r="O8" i="9"/>
  <c r="P8" i="9"/>
  <c r="Q8" i="9"/>
  <c r="R8" i="9"/>
  <c r="S8" i="9"/>
  <c r="T8" i="9"/>
  <c r="U8" i="9"/>
  <c r="V8" i="9"/>
  <c r="W8" i="9"/>
  <c r="X8" i="9"/>
  <c r="Y8" i="9"/>
  <c r="Z8" i="9"/>
  <c r="AA8" i="9"/>
  <c r="AB8" i="9"/>
  <c r="AC8" i="9"/>
  <c r="AD8" i="9"/>
  <c r="AE8" i="9"/>
  <c r="AF8" i="9"/>
  <c r="AG8" i="9"/>
  <c r="AH8" i="9"/>
  <c r="AI8" i="9"/>
  <c r="AJ8" i="9"/>
  <c r="AK8" i="9"/>
  <c r="AL8" i="9"/>
  <c r="AM8" i="9"/>
  <c r="AN8" i="9"/>
  <c r="AO8" i="9"/>
  <c r="AP8" i="9"/>
  <c r="AQ8" i="9"/>
  <c r="AR8" i="9"/>
  <c r="AS8" i="9"/>
  <c r="N6" i="9"/>
  <c r="N7" i="9" s="1"/>
  <c r="J8" i="15"/>
  <c r="J6" i="15" s="1"/>
  <c r="K8" i="15"/>
  <c r="K6" i="15" s="1"/>
  <c r="L8" i="15"/>
  <c r="L6" i="15" s="1"/>
  <c r="M8" i="15"/>
  <c r="M6" i="15" s="1"/>
  <c r="N8" i="15"/>
  <c r="N6" i="15" s="1"/>
  <c r="O8" i="15"/>
  <c r="O6" i="15" s="1"/>
  <c r="P8" i="15"/>
  <c r="Q8" i="15"/>
  <c r="Q6" i="15" s="1"/>
  <c r="R8" i="15"/>
  <c r="R6" i="15" s="1"/>
  <c r="S8" i="15"/>
  <c r="S6" i="15" s="1"/>
  <c r="T8" i="15"/>
  <c r="T6" i="15" s="1"/>
  <c r="U8" i="15"/>
  <c r="U6" i="15" s="1"/>
  <c r="V8" i="15"/>
  <c r="V6" i="15" s="1"/>
  <c r="W8" i="15"/>
  <c r="W6" i="15" s="1"/>
  <c r="X8" i="15"/>
  <c r="Y8" i="15"/>
  <c r="Y6" i="15" s="1"/>
  <c r="Z8" i="15"/>
  <c r="Z6" i="15" s="1"/>
  <c r="AA8" i="15"/>
  <c r="AA6" i="15" s="1"/>
  <c r="AB8" i="15"/>
  <c r="AB6" i="15" s="1"/>
  <c r="AC8" i="15"/>
  <c r="AC6" i="15" s="1"/>
  <c r="AD8" i="15"/>
  <c r="AD6" i="15" s="1"/>
  <c r="AE8" i="15"/>
  <c r="AE6" i="15" s="1"/>
  <c r="AF8" i="15"/>
  <c r="AG8" i="15"/>
  <c r="AG6" i="15" s="1"/>
  <c r="AH8" i="15"/>
  <c r="AH6" i="15" s="1"/>
  <c r="AI8" i="15"/>
  <c r="AI6" i="15" s="1"/>
  <c r="AJ8" i="15"/>
  <c r="AJ6" i="15" s="1"/>
  <c r="AK8" i="15"/>
  <c r="AK6" i="15" s="1"/>
  <c r="AL8" i="15"/>
  <c r="AL6" i="15" s="1"/>
  <c r="AM8" i="15"/>
  <c r="AM6" i="15" s="1"/>
  <c r="AN8" i="15"/>
  <c r="AO8" i="15"/>
  <c r="AO6" i="15" s="1"/>
  <c r="AP8" i="15"/>
  <c r="AP6" i="15" s="1"/>
  <c r="AQ8" i="15"/>
  <c r="AQ6" i="15" s="1"/>
  <c r="AR8" i="15"/>
  <c r="AR6" i="15" s="1"/>
  <c r="AS8" i="15"/>
  <c r="AS6" i="15" s="1"/>
  <c r="J8" i="11"/>
  <c r="K8" i="11"/>
  <c r="K6" i="11" s="1"/>
  <c r="K7" i="11" s="1"/>
  <c r="L8" i="11"/>
  <c r="L6" i="11" s="1"/>
  <c r="M8" i="11"/>
  <c r="M6" i="11" s="1"/>
  <c r="M7" i="11" s="1"/>
  <c r="M10" i="11" s="1"/>
  <c r="N8" i="11"/>
  <c r="N6" i="11" s="1"/>
  <c r="N7" i="11" s="1"/>
  <c r="O8" i="11"/>
  <c r="O6" i="11" s="1"/>
  <c r="P8" i="11"/>
  <c r="Q8" i="11"/>
  <c r="Q6" i="11" s="1"/>
  <c r="Q7" i="11" s="1"/>
  <c r="R8" i="11"/>
  <c r="R6" i="11" s="1"/>
  <c r="S8" i="11"/>
  <c r="S6" i="11" s="1"/>
  <c r="T8" i="11"/>
  <c r="T6" i="11" s="1"/>
  <c r="U8" i="11"/>
  <c r="U6" i="11" s="1"/>
  <c r="U7" i="11" s="1"/>
  <c r="U10" i="11" s="1"/>
  <c r="V8" i="11"/>
  <c r="V6" i="11" s="1"/>
  <c r="W8" i="11"/>
  <c r="W6" i="11" s="1"/>
  <c r="X8" i="11"/>
  <c r="Y8" i="11"/>
  <c r="Y6" i="11" s="1"/>
  <c r="Y7" i="11" s="1"/>
  <c r="Y126" i="11" s="1"/>
  <c r="Z8" i="11"/>
  <c r="Z6" i="11" s="1"/>
  <c r="AA8" i="11"/>
  <c r="AA6" i="11" s="1"/>
  <c r="AB8" i="11"/>
  <c r="AB6" i="11" s="1"/>
  <c r="AC8" i="11"/>
  <c r="AC6" i="11" s="1"/>
  <c r="AC7" i="11" s="1"/>
  <c r="AC10" i="11" s="1"/>
  <c r="AD8" i="11"/>
  <c r="AD6" i="11" s="1"/>
  <c r="AE8" i="11"/>
  <c r="AE6" i="11" s="1"/>
  <c r="AE7" i="11" s="1"/>
  <c r="AE314" i="11" s="1"/>
  <c r="AF8" i="11"/>
  <c r="AG8" i="11"/>
  <c r="AG6" i="11" s="1"/>
  <c r="AG7" i="11" s="1"/>
  <c r="AG100" i="11" s="1"/>
  <c r="AG33" i="11" s="1"/>
  <c r="AH8" i="11"/>
  <c r="AH6" i="11" s="1"/>
  <c r="AI8" i="11"/>
  <c r="AI6" i="11" s="1"/>
  <c r="AJ8" i="11"/>
  <c r="AJ6" i="11" s="1"/>
  <c r="AK8" i="11"/>
  <c r="AK6" i="11" s="1"/>
  <c r="AK7" i="11" s="1"/>
  <c r="AK10" i="11" s="1"/>
  <c r="AL8" i="11"/>
  <c r="AL6" i="11" s="1"/>
  <c r="AM8" i="11"/>
  <c r="AM6" i="11" s="1"/>
  <c r="AM7" i="11" s="1"/>
  <c r="AM314" i="11" s="1"/>
  <c r="AN8" i="11"/>
  <c r="AO8" i="11"/>
  <c r="AO6" i="11" s="1"/>
  <c r="AO7" i="11" s="1"/>
  <c r="AO126" i="11" s="1"/>
  <c r="AP8" i="11"/>
  <c r="AQ8" i="11"/>
  <c r="AQ6" i="11" s="1"/>
  <c r="AQ7" i="11" s="1"/>
  <c r="AR8" i="11"/>
  <c r="AR6" i="11" s="1"/>
  <c r="AR7" i="11" s="1"/>
  <c r="AR126" i="11" s="1"/>
  <c r="AS8" i="11"/>
  <c r="AS6" i="11" s="1"/>
  <c r="AS7" i="11" s="1"/>
  <c r="AS10" i="11" s="1"/>
  <c r="J8" i="13"/>
  <c r="J33" i="13" s="1"/>
  <c r="K8" i="13"/>
  <c r="L8" i="13"/>
  <c r="M8" i="13"/>
  <c r="N8" i="13"/>
  <c r="O8" i="13"/>
  <c r="P8" i="13"/>
  <c r="Q8" i="13"/>
  <c r="R8" i="13"/>
  <c r="S8" i="13"/>
  <c r="T8" i="13"/>
  <c r="U8" i="13"/>
  <c r="V8" i="13"/>
  <c r="W8" i="13"/>
  <c r="X8" i="13"/>
  <c r="Y8" i="13"/>
  <c r="Z8" i="13"/>
  <c r="AA8" i="13"/>
  <c r="AB8" i="13"/>
  <c r="AC8" i="13"/>
  <c r="AD8" i="13"/>
  <c r="AE8" i="13"/>
  <c r="AF8" i="13"/>
  <c r="AG8" i="13"/>
  <c r="AH8" i="13"/>
  <c r="AI8" i="13"/>
  <c r="AJ8" i="13"/>
  <c r="AJ161" i="13" s="1"/>
  <c r="AK8" i="13"/>
  <c r="AL8" i="13"/>
  <c r="AM8" i="13"/>
  <c r="AN8" i="13"/>
  <c r="AO8" i="13"/>
  <c r="AP8" i="13"/>
  <c r="AQ8" i="13"/>
  <c r="AR8" i="13"/>
  <c r="AS8" i="13"/>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AP8" i="14"/>
  <c r="AQ8" i="14"/>
  <c r="AR8" i="14"/>
  <c r="AS8" i="14"/>
  <c r="J8" i="12"/>
  <c r="J38" i="12" s="1"/>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J8" i="10"/>
  <c r="J22" i="10" s="1"/>
  <c r="J61" i="10" s="1"/>
  <c r="J91" i="10" s="1"/>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H161" i="13"/>
  <c r="J153" i="13"/>
  <c r="J7" i="15"/>
  <c r="O7" i="15"/>
  <c r="O9" i="15" s="1"/>
  <c r="Q7" i="15"/>
  <c r="Q10" i="15" s="1"/>
  <c r="R7" i="15"/>
  <c r="W7" i="15"/>
  <c r="W9" i="15" s="1"/>
  <c r="Y7" i="15"/>
  <c r="Y10" i="15" s="1"/>
  <c r="Z7" i="15"/>
  <c r="AE7" i="15"/>
  <c r="AE9" i="15" s="1"/>
  <c r="AG7" i="15"/>
  <c r="AG10" i="15" s="1"/>
  <c r="AH7" i="15"/>
  <c r="AI7" i="15"/>
  <c r="AM7" i="15"/>
  <c r="AM9" i="15" s="1"/>
  <c r="AO7" i="15"/>
  <c r="AO10" i="15" s="1"/>
  <c r="AP7" i="15"/>
  <c r="AR7" i="15"/>
  <c r="O7" i="11"/>
  <c r="W7" i="11"/>
  <c r="W126" i="11" s="1"/>
  <c r="J261" i="9"/>
  <c r="J285" i="9" s="1"/>
  <c r="K261" i="9"/>
  <c r="K285" i="9" s="1"/>
  <c r="M261" i="9"/>
  <c r="M285" i="9" s="1"/>
  <c r="N261" i="9"/>
  <c r="N285" i="9" s="1"/>
  <c r="O261" i="9"/>
  <c r="O285" i="9" s="1"/>
  <c r="P261" i="9"/>
  <c r="P285" i="9" s="1"/>
  <c r="R261" i="9"/>
  <c r="R285" i="9" s="1"/>
  <c r="S261" i="9"/>
  <c r="S285" i="9" s="1"/>
  <c r="U261" i="9"/>
  <c r="U285" i="9" s="1"/>
  <c r="V261" i="9"/>
  <c r="V285" i="9" s="1"/>
  <c r="W261" i="9"/>
  <c r="W285" i="9" s="1"/>
  <c r="X261" i="9"/>
  <c r="X285" i="9" s="1"/>
  <c r="Z261" i="9"/>
  <c r="Z285" i="9" s="1"/>
  <c r="AA261" i="9"/>
  <c r="AA285" i="9" s="1"/>
  <c r="AC261" i="9"/>
  <c r="AC285" i="9" s="1"/>
  <c r="AD261" i="9"/>
  <c r="AD285" i="9" s="1"/>
  <c r="AE261" i="9"/>
  <c r="AE285" i="9" s="1"/>
  <c r="AF261" i="9"/>
  <c r="AF285" i="9" s="1"/>
  <c r="AH261" i="9"/>
  <c r="AH285" i="9" s="1"/>
  <c r="AI261" i="9"/>
  <c r="AI285" i="9" s="1"/>
  <c r="AK261" i="9"/>
  <c r="AK285" i="9" s="1"/>
  <c r="AL261" i="9"/>
  <c r="AL285" i="9" s="1"/>
  <c r="AM261" i="9"/>
  <c r="AM285" i="9" s="1"/>
  <c r="AN261" i="9"/>
  <c r="AN285" i="9" s="1"/>
  <c r="AP261" i="9"/>
  <c r="AP285" i="9" s="1"/>
  <c r="AQ261" i="9"/>
  <c r="AQ285" i="9" s="1"/>
  <c r="AS261" i="9"/>
  <c r="AS285" i="9" s="1"/>
  <c r="J259" i="9"/>
  <c r="J284" i="9" s="1"/>
  <c r="K259" i="9"/>
  <c r="K284" i="9" s="1"/>
  <c r="L259" i="9"/>
  <c r="L284" i="9" s="1"/>
  <c r="N259" i="9"/>
  <c r="N284" i="9" s="1"/>
  <c r="O259" i="9"/>
  <c r="O284" i="9" s="1"/>
  <c r="Q259" i="9"/>
  <c r="Q284" i="9" s="1"/>
  <c r="R259" i="9"/>
  <c r="R284" i="9" s="1"/>
  <c r="S259" i="9"/>
  <c r="S284" i="9" s="1"/>
  <c r="T259" i="9"/>
  <c r="T284" i="9" s="1"/>
  <c r="V259" i="9"/>
  <c r="V284" i="9" s="1"/>
  <c r="W259" i="9"/>
  <c r="W284" i="9" s="1"/>
  <c r="Y259" i="9"/>
  <c r="Y284" i="9" s="1"/>
  <c r="Z259" i="9"/>
  <c r="Z284" i="9" s="1"/>
  <c r="AA259" i="9"/>
  <c r="AA284" i="9" s="1"/>
  <c r="AB259" i="9"/>
  <c r="AB284" i="9" s="1"/>
  <c r="AD259" i="9"/>
  <c r="AD284" i="9" s="1"/>
  <c r="AE259" i="9"/>
  <c r="AE284" i="9" s="1"/>
  <c r="AG259" i="9"/>
  <c r="AG284" i="9" s="1"/>
  <c r="AH259" i="9"/>
  <c r="AH284" i="9" s="1"/>
  <c r="AI259" i="9"/>
  <c r="AI284" i="9" s="1"/>
  <c r="AJ259" i="9"/>
  <c r="AJ284" i="9" s="1"/>
  <c r="AL259" i="9"/>
  <c r="AL284" i="9" s="1"/>
  <c r="AM259" i="9"/>
  <c r="AM284" i="9" s="1"/>
  <c r="AO259" i="9"/>
  <c r="AO284" i="9" s="1"/>
  <c r="AP259" i="9"/>
  <c r="AP284" i="9" s="1"/>
  <c r="AQ259" i="9"/>
  <c r="AQ284" i="9" s="1"/>
  <c r="AR259" i="9"/>
  <c r="AR284" i="9" s="1"/>
  <c r="J281" i="9"/>
  <c r="K281" i="9"/>
  <c r="N281" i="9"/>
  <c r="O281" i="9"/>
  <c r="P281" i="9"/>
  <c r="R281" i="9"/>
  <c r="U281" i="9"/>
  <c r="V281" i="9"/>
  <c r="W281" i="9"/>
  <c r="X281" i="9"/>
  <c r="Z281" i="9"/>
  <c r="AA281" i="9"/>
  <c r="AC281" i="9"/>
  <c r="AD281" i="9"/>
  <c r="AE281" i="9"/>
  <c r="AF281" i="9"/>
  <c r="AH281" i="9"/>
  <c r="AI281" i="9"/>
  <c r="AL281" i="9"/>
  <c r="AM281" i="9"/>
  <c r="AN281" i="9"/>
  <c r="AP281" i="9"/>
  <c r="AS281" i="9"/>
  <c r="K226" i="9"/>
  <c r="K227" i="9" s="1"/>
  <c r="L226" i="9"/>
  <c r="L227" i="9" s="1"/>
  <c r="M226" i="9"/>
  <c r="M227" i="9" s="1"/>
  <c r="O226" i="9"/>
  <c r="O227" i="9" s="1"/>
  <c r="P226" i="9"/>
  <c r="P227" i="9" s="1"/>
  <c r="R226" i="9"/>
  <c r="R227" i="9" s="1"/>
  <c r="S226" i="9"/>
  <c r="S227" i="9" s="1"/>
  <c r="T226" i="9"/>
  <c r="T227" i="9" s="1"/>
  <c r="U226" i="9"/>
  <c r="U227" i="9" s="1"/>
  <c r="W226" i="9"/>
  <c r="W227" i="9" s="1"/>
  <c r="X226" i="9"/>
  <c r="X227" i="9" s="1"/>
  <c r="Z226" i="9"/>
  <c r="Z227" i="9" s="1"/>
  <c r="AA226" i="9"/>
  <c r="AA227" i="9" s="1"/>
  <c r="AB226" i="9"/>
  <c r="AB227" i="9" s="1"/>
  <c r="AC226" i="9"/>
  <c r="AC227" i="9" s="1"/>
  <c r="AE226" i="9"/>
  <c r="AE227" i="9" s="1"/>
  <c r="AF226" i="9"/>
  <c r="AF227" i="9" s="1"/>
  <c r="AH226" i="9"/>
  <c r="AH227" i="9" s="1"/>
  <c r="AI226" i="9"/>
  <c r="AI227" i="9" s="1"/>
  <c r="AJ226" i="9"/>
  <c r="AJ227" i="9" s="1"/>
  <c r="AK226" i="9"/>
  <c r="AK227" i="9" s="1"/>
  <c r="AM226" i="9"/>
  <c r="AM227" i="9" s="1"/>
  <c r="AN226" i="9"/>
  <c r="AN227" i="9" s="1"/>
  <c r="AP226" i="9"/>
  <c r="AP227" i="9" s="1"/>
  <c r="AQ226" i="9"/>
  <c r="AQ227" i="9" s="1"/>
  <c r="AR226" i="9"/>
  <c r="AR227" i="9" s="1"/>
  <c r="AS226" i="9"/>
  <c r="AS227" i="9" s="1"/>
  <c r="J123" i="9"/>
  <c r="J124" i="9" s="1"/>
  <c r="K123" i="9"/>
  <c r="K124" i="9" s="1"/>
  <c r="L123" i="9"/>
  <c r="L124" i="9" s="1"/>
  <c r="M123" i="9"/>
  <c r="M124" i="9" s="1"/>
  <c r="N123" i="9"/>
  <c r="N124" i="9" s="1"/>
  <c r="O123" i="9"/>
  <c r="O124" i="9" s="1"/>
  <c r="P123" i="9"/>
  <c r="P124" i="9" s="1"/>
  <c r="Q123" i="9"/>
  <c r="Q124" i="9" s="1"/>
  <c r="R123" i="9"/>
  <c r="R124" i="9" s="1"/>
  <c r="S123" i="9"/>
  <c r="S124" i="9" s="1"/>
  <c r="T123" i="9"/>
  <c r="T124" i="9" s="1"/>
  <c r="U123" i="9"/>
  <c r="U124" i="9" s="1"/>
  <c r="V123" i="9"/>
  <c r="V124" i="9" s="1"/>
  <c r="W123" i="9"/>
  <c r="W124" i="9" s="1"/>
  <c r="X123" i="9"/>
  <c r="X124" i="9" s="1"/>
  <c r="Y123" i="9"/>
  <c r="Y124" i="9" s="1"/>
  <c r="Z123" i="9"/>
  <c r="Z124" i="9" s="1"/>
  <c r="AA123" i="9"/>
  <c r="AA124" i="9" s="1"/>
  <c r="AB123" i="9"/>
  <c r="AB124" i="9" s="1"/>
  <c r="AC123" i="9"/>
  <c r="AC124" i="9" s="1"/>
  <c r="AD123" i="9"/>
  <c r="AD124" i="9" s="1"/>
  <c r="AE123" i="9"/>
  <c r="AE124" i="9" s="1"/>
  <c r="AF123" i="9"/>
  <c r="AF124" i="9" s="1"/>
  <c r="AG123" i="9"/>
  <c r="AG124" i="9" s="1"/>
  <c r="AH123" i="9"/>
  <c r="AH124" i="9" s="1"/>
  <c r="AI123" i="9"/>
  <c r="AI124" i="9" s="1"/>
  <c r="AJ123" i="9"/>
  <c r="AJ124" i="9" s="1"/>
  <c r="AK123" i="9"/>
  <c r="AK124" i="9" s="1"/>
  <c r="AL123" i="9"/>
  <c r="AL124" i="9" s="1"/>
  <c r="AM123" i="9"/>
  <c r="AM124" i="9" s="1"/>
  <c r="AN123" i="9"/>
  <c r="AN124" i="9" s="1"/>
  <c r="AO123" i="9"/>
  <c r="AO124" i="9" s="1"/>
  <c r="AP123" i="9"/>
  <c r="AP124" i="9" s="1"/>
  <c r="AQ123" i="9"/>
  <c r="AQ124" i="9" s="1"/>
  <c r="AR123" i="9"/>
  <c r="AR124" i="9" s="1"/>
  <c r="AS123" i="9"/>
  <c r="AS124" i="9" s="1"/>
  <c r="J329" i="11"/>
  <c r="K329" i="11"/>
  <c r="L329" i="11"/>
  <c r="M329" i="11"/>
  <c r="N329" i="11"/>
  <c r="O329" i="11"/>
  <c r="P329" i="11"/>
  <c r="Q329" i="11"/>
  <c r="R329" i="11"/>
  <c r="S329" i="11"/>
  <c r="T329" i="11"/>
  <c r="U329" i="11"/>
  <c r="V329" i="11"/>
  <c r="W329" i="11"/>
  <c r="X329" i="11"/>
  <c r="Y329" i="11"/>
  <c r="Z329" i="11"/>
  <c r="AA329" i="11"/>
  <c r="AB329" i="11"/>
  <c r="AC329" i="11"/>
  <c r="AD329" i="11"/>
  <c r="AE329" i="11"/>
  <c r="AF329" i="11"/>
  <c r="AG329" i="11"/>
  <c r="AH329" i="11"/>
  <c r="AI329" i="11"/>
  <c r="AJ329" i="11"/>
  <c r="AK329" i="11"/>
  <c r="AL329" i="11"/>
  <c r="AM329" i="11"/>
  <c r="AN329" i="11"/>
  <c r="AO329" i="11"/>
  <c r="AP329" i="11"/>
  <c r="AQ329" i="11"/>
  <c r="AR329" i="11"/>
  <c r="AS329" i="11"/>
  <c r="K85" i="2"/>
  <c r="K58" i="2"/>
  <c r="K42" i="2"/>
  <c r="B266" i="9"/>
  <c r="I174" i="15"/>
  <c r="B174" i="15"/>
  <c r="B161" i="15" s="1"/>
  <c r="B177" i="15"/>
  <c r="B175" i="15"/>
  <c r="B169" i="15"/>
  <c r="B179" i="15" s="1"/>
  <c r="B265" i="9"/>
  <c r="I144" i="15"/>
  <c r="I138" i="15" s="1"/>
  <c r="J138" i="15" s="1"/>
  <c r="B144" i="15"/>
  <c r="B138" i="15" s="1"/>
  <c r="B128" i="15" s="1"/>
  <c r="B147" i="15"/>
  <c r="B145" i="15"/>
  <c r="B139" i="15"/>
  <c r="B149" i="15" s="1"/>
  <c r="C215" i="9"/>
  <c r="I114" i="15"/>
  <c r="B114" i="15"/>
  <c r="B101" i="15" s="1"/>
  <c r="B117" i="15"/>
  <c r="B115" i="15"/>
  <c r="B109" i="15"/>
  <c r="B119" i="15" s="1"/>
  <c r="B246" i="9"/>
  <c r="I84" i="15"/>
  <c r="I78" i="15" s="1"/>
  <c r="J78" i="15" s="1"/>
  <c r="B84" i="15"/>
  <c r="B87" i="15"/>
  <c r="B85" i="15"/>
  <c r="B79" i="15"/>
  <c r="B89" i="15" s="1"/>
  <c r="B237" i="9"/>
  <c r="I54" i="15"/>
  <c r="I55" i="15" s="1"/>
  <c r="B54" i="15"/>
  <c r="B57" i="15"/>
  <c r="B55" i="15"/>
  <c r="B49" i="15"/>
  <c r="B59" i="15" s="1"/>
  <c r="B27" i="14"/>
  <c r="B32" i="14" s="1"/>
  <c r="B46" i="14" s="1"/>
  <c r="B111" i="18"/>
  <c r="B26" i="14"/>
  <c r="B31" i="14" s="1"/>
  <c r="B45" i="14" s="1"/>
  <c r="B108" i="18"/>
  <c r="B30" i="14"/>
  <c r="B28" i="14"/>
  <c r="B33" i="14" s="1"/>
  <c r="B25" i="14"/>
  <c r="B196" i="10"/>
  <c r="B200" i="10" s="1"/>
  <c r="B203" i="10"/>
  <c r="C214" i="9" s="1"/>
  <c r="B199" i="10"/>
  <c r="B197" i="10"/>
  <c r="B201" i="10" s="1"/>
  <c r="B195" i="10"/>
  <c r="B147" i="10"/>
  <c r="B158" i="10" s="1"/>
  <c r="B91" i="18"/>
  <c r="B150" i="10"/>
  <c r="B148" i="10"/>
  <c r="B159" i="10" s="1"/>
  <c r="B139" i="10"/>
  <c r="B104" i="10"/>
  <c r="B102" i="10"/>
  <c r="B108" i="10" s="1"/>
  <c r="B98" i="10"/>
  <c r="B69" i="10"/>
  <c r="B77" i="10" s="1"/>
  <c r="B53" i="18"/>
  <c r="B72" i="10"/>
  <c r="B70" i="10"/>
  <c r="B78" i="10" s="1"/>
  <c r="B64" i="10"/>
  <c r="AH72" i="25" l="1"/>
  <c r="AL34" i="10"/>
  <c r="B84" i="11"/>
  <c r="B206" i="11" s="1"/>
  <c r="B156" i="12" s="1"/>
  <c r="C201" i="9"/>
  <c r="B47" i="9"/>
  <c r="B155" i="17" s="1"/>
  <c r="G76" i="25"/>
  <c r="J131" i="10"/>
  <c r="K33" i="10"/>
  <c r="V6" i="9"/>
  <c r="S63" i="25"/>
  <c r="AM6" i="9"/>
  <c r="AM7" i="9" s="1"/>
  <c r="AM13" i="9" s="1"/>
  <c r="AM14" i="9" s="1"/>
  <c r="AJ63" i="25"/>
  <c r="AE6" i="9"/>
  <c r="AE7" i="9" s="1"/>
  <c r="AE10" i="9" s="1"/>
  <c r="AB63" i="25"/>
  <c r="W6" i="9"/>
  <c r="W7" i="9" s="1"/>
  <c r="W13" i="9" s="1"/>
  <c r="W14" i="9" s="1"/>
  <c r="T63" i="25"/>
  <c r="O6" i="9"/>
  <c r="O7" i="9" s="1"/>
  <c r="L63" i="25"/>
  <c r="AS6" i="9"/>
  <c r="AP63" i="25"/>
  <c r="AK6" i="9"/>
  <c r="AH63" i="25"/>
  <c r="AC6" i="9"/>
  <c r="AC7" i="9" s="1"/>
  <c r="AC10" i="9" s="1"/>
  <c r="AC5" i="9" s="1"/>
  <c r="Z63" i="25"/>
  <c r="U6" i="9"/>
  <c r="U7" i="9" s="1"/>
  <c r="R63" i="25"/>
  <c r="M6" i="9"/>
  <c r="J63" i="25"/>
  <c r="AD6" i="9"/>
  <c r="AD7" i="9" s="1"/>
  <c r="AD10" i="9" s="1"/>
  <c r="AA63" i="25"/>
  <c r="AR6" i="9"/>
  <c r="AR7" i="9" s="1"/>
  <c r="AR13" i="9" s="1"/>
  <c r="AR14" i="9" s="1"/>
  <c r="AO63" i="25"/>
  <c r="AJ6" i="9"/>
  <c r="AG63" i="25"/>
  <c r="AB6" i="9"/>
  <c r="Y63" i="25"/>
  <c r="T6" i="9"/>
  <c r="T7" i="9" s="1"/>
  <c r="T13" i="9" s="1"/>
  <c r="T14" i="9" s="1"/>
  <c r="Q63" i="25"/>
  <c r="L6" i="9"/>
  <c r="L7" i="9" s="1"/>
  <c r="L13" i="9" s="1"/>
  <c r="L14" i="9" s="1"/>
  <c r="I63" i="25"/>
  <c r="AQ6" i="9"/>
  <c r="AQ7" i="9" s="1"/>
  <c r="AQ9" i="9" s="1"/>
  <c r="AN63" i="25"/>
  <c r="AI6" i="9"/>
  <c r="AI7" i="9" s="1"/>
  <c r="AI9" i="9" s="1"/>
  <c r="AF63" i="25"/>
  <c r="AA6" i="9"/>
  <c r="AA7" i="9" s="1"/>
  <c r="AA9" i="9" s="1"/>
  <c r="X63" i="25"/>
  <c r="S6" i="9"/>
  <c r="S7" i="9" s="1"/>
  <c r="S9" i="9" s="1"/>
  <c r="P63" i="25"/>
  <c r="K6" i="9"/>
  <c r="K7" i="9" s="1"/>
  <c r="K9" i="9" s="1"/>
  <c r="H63" i="25"/>
  <c r="AP6" i="9"/>
  <c r="AP7" i="9" s="1"/>
  <c r="AP10" i="9" s="1"/>
  <c r="AM63" i="25"/>
  <c r="AH6" i="9"/>
  <c r="AH7" i="9" s="1"/>
  <c r="AH4" i="9" s="1"/>
  <c r="AE63" i="25"/>
  <c r="Z6" i="9"/>
  <c r="Z7" i="9" s="1"/>
  <c r="Z10" i="9" s="1"/>
  <c r="Z5" i="9" s="1"/>
  <c r="W63" i="25"/>
  <c r="R6" i="9"/>
  <c r="R7" i="9" s="1"/>
  <c r="R10" i="9" s="1"/>
  <c r="O63" i="25"/>
  <c r="J6" i="9"/>
  <c r="J7" i="9" s="1"/>
  <c r="J10" i="9" s="1"/>
  <c r="G63" i="25"/>
  <c r="AO6" i="9"/>
  <c r="AO7" i="9" s="1"/>
  <c r="AO9" i="9" s="1"/>
  <c r="AL63" i="25"/>
  <c r="AG6" i="9"/>
  <c r="AG7" i="9" s="1"/>
  <c r="AG9" i="9" s="1"/>
  <c r="AD63" i="25"/>
  <c r="Y6" i="9"/>
  <c r="Y7" i="9" s="1"/>
  <c r="Y9" i="9" s="1"/>
  <c r="V63" i="25"/>
  <c r="Q6" i="9"/>
  <c r="Q7" i="9" s="1"/>
  <c r="Q9" i="9" s="1"/>
  <c r="N63" i="25"/>
  <c r="AL6" i="9"/>
  <c r="AL7" i="9" s="1"/>
  <c r="AL13" i="9" s="1"/>
  <c r="AL14" i="9" s="1"/>
  <c r="AI63" i="25"/>
  <c r="AN6" i="9"/>
  <c r="AN7" i="9" s="1"/>
  <c r="AN13" i="9" s="1"/>
  <c r="AN14" i="9" s="1"/>
  <c r="AK63" i="25"/>
  <c r="AF6" i="9"/>
  <c r="AF7" i="9" s="1"/>
  <c r="AC63" i="25"/>
  <c r="X6" i="9"/>
  <c r="U63" i="25"/>
  <c r="P6" i="9"/>
  <c r="P7" i="9" s="1"/>
  <c r="P13" i="9" s="1"/>
  <c r="P14" i="9" s="1"/>
  <c r="M63" i="25"/>
  <c r="B78" i="15"/>
  <c r="B68" i="15" s="1"/>
  <c r="Z6" i="13"/>
  <c r="Z7" i="13" s="1"/>
  <c r="AG6" i="13"/>
  <c r="Q6" i="13"/>
  <c r="AO226" i="9"/>
  <c r="AO227" i="9" s="1"/>
  <c r="AG226" i="9"/>
  <c r="AG227" i="9" s="1"/>
  <c r="Y226" i="9"/>
  <c r="Y227" i="9" s="1"/>
  <c r="Q226" i="9"/>
  <c r="Q227" i="9" s="1"/>
  <c r="AN6" i="13"/>
  <c r="AN7" i="13" s="1"/>
  <c r="AF6" i="13"/>
  <c r="X6" i="13"/>
  <c r="X7" i="13" s="1"/>
  <c r="X10" i="13" s="1"/>
  <c r="P6" i="13"/>
  <c r="T6" i="13"/>
  <c r="AQ161" i="13"/>
  <c r="AM6" i="13"/>
  <c r="AE6" i="13"/>
  <c r="AE7" i="13" s="1"/>
  <c r="W6" i="13"/>
  <c r="W7" i="13" s="1"/>
  <c r="AB6" i="13"/>
  <c r="AR6" i="13"/>
  <c r="AR7" i="13" s="1"/>
  <c r="AA161" i="13"/>
  <c r="O6" i="13"/>
  <c r="O7" i="13" s="1"/>
  <c r="O9" i="13" s="1"/>
  <c r="AR161" i="13"/>
  <c r="AL226" i="9"/>
  <c r="AL227" i="9" s="1"/>
  <c r="AD226" i="9"/>
  <c r="AD227" i="9" s="1"/>
  <c r="V226" i="9"/>
  <c r="V227" i="9" s="1"/>
  <c r="N226" i="9"/>
  <c r="N227" i="9" s="1"/>
  <c r="AS6" i="13"/>
  <c r="AK6" i="13"/>
  <c r="AK7" i="13" s="1"/>
  <c r="AC6" i="13"/>
  <c r="U6" i="13"/>
  <c r="M6" i="13"/>
  <c r="L6" i="13"/>
  <c r="K161" i="13"/>
  <c r="AJ6" i="13"/>
  <c r="L161" i="13"/>
  <c r="AP6" i="13"/>
  <c r="AP7" i="13" s="1"/>
  <c r="AH6" i="13"/>
  <c r="AH7" i="13" s="1"/>
  <c r="J6" i="13"/>
  <c r="J59" i="13"/>
  <c r="J69" i="13"/>
  <c r="AB161" i="13"/>
  <c r="B48" i="15"/>
  <c r="B38" i="15" s="1"/>
  <c r="R6" i="13"/>
  <c r="R7" i="13" s="1"/>
  <c r="AO6" i="13"/>
  <c r="Y6" i="13"/>
  <c r="B56" i="11"/>
  <c r="B178" i="11" s="1"/>
  <c r="B26" i="12" s="1"/>
  <c r="B24" i="9"/>
  <c r="B134" i="17" s="1"/>
  <c r="C178" i="9"/>
  <c r="J55" i="14"/>
  <c r="AS56" i="14" s="1"/>
  <c r="J64" i="14"/>
  <c r="Q63" i="14"/>
  <c r="R63" i="14" s="1"/>
  <c r="S54" i="14"/>
  <c r="T54" i="14" s="1"/>
  <c r="U54" i="14" s="1"/>
  <c r="V54" i="14" s="1"/>
  <c r="W54" i="14" s="1"/>
  <c r="X54" i="14" s="1"/>
  <c r="Y54" i="14" s="1"/>
  <c r="Z54" i="14" s="1"/>
  <c r="AA54" i="14" s="1"/>
  <c r="AB54" i="14" s="1"/>
  <c r="AC54" i="14" s="1"/>
  <c r="AD54" i="14" s="1"/>
  <c r="AE54" i="14" s="1"/>
  <c r="AF54" i="14" s="1"/>
  <c r="AG54" i="14" s="1"/>
  <c r="AH54" i="14" s="1"/>
  <c r="AI54" i="14" s="1"/>
  <c r="AJ54" i="14" s="1"/>
  <c r="AK54" i="14" s="1"/>
  <c r="AL54" i="14" s="1"/>
  <c r="AM54" i="14" s="1"/>
  <c r="AS6" i="14"/>
  <c r="AS7" i="14" s="1"/>
  <c r="AS10" i="14" s="1"/>
  <c r="AK6" i="14"/>
  <c r="AK7" i="14" s="1"/>
  <c r="AC6" i="14"/>
  <c r="AC7" i="14" s="1"/>
  <c r="AC10" i="14" s="1"/>
  <c r="AC5" i="14" s="1"/>
  <c r="U6" i="14"/>
  <c r="M6" i="14"/>
  <c r="M7" i="14" s="1"/>
  <c r="M10" i="14" s="1"/>
  <c r="AM225" i="11"/>
  <c r="AE225" i="11"/>
  <c r="W225" i="11"/>
  <c r="O225" i="11"/>
  <c r="AR6" i="14"/>
  <c r="AR7" i="14" s="1"/>
  <c r="AJ6" i="14"/>
  <c r="AJ7" i="14" s="1"/>
  <c r="AB6" i="14"/>
  <c r="AB7" i="14" s="1"/>
  <c r="T6" i="14"/>
  <c r="T7" i="14" s="1"/>
  <c r="T10" i="14" s="1"/>
  <c r="L6" i="14"/>
  <c r="AL225" i="11"/>
  <c r="AD225" i="11"/>
  <c r="V225" i="11"/>
  <c r="N225" i="11"/>
  <c r="AQ6" i="14"/>
  <c r="AI6" i="14"/>
  <c r="AA6" i="14"/>
  <c r="S6" i="14"/>
  <c r="S7" i="14" s="1"/>
  <c r="K6" i="14"/>
  <c r="AS225" i="11"/>
  <c r="AK225" i="11"/>
  <c r="AC225" i="11"/>
  <c r="U225" i="11"/>
  <c r="M225" i="11"/>
  <c r="R6" i="14"/>
  <c r="R7" i="14" s="1"/>
  <c r="R10" i="14" s="1"/>
  <c r="AR225" i="11"/>
  <c r="AJ225" i="11"/>
  <c r="AB225" i="11"/>
  <c r="T225" i="11"/>
  <c r="L225" i="11"/>
  <c r="AP6" i="14"/>
  <c r="AP7" i="14" s="1"/>
  <c r="AP10" i="14" s="1"/>
  <c r="AP5" i="14" s="1"/>
  <c r="AH6" i="14"/>
  <c r="AH7" i="14" s="1"/>
  <c r="Z6" i="14"/>
  <c r="Z7" i="14" s="1"/>
  <c r="J6" i="14"/>
  <c r="J7" i="14" s="1"/>
  <c r="J10" i="14" s="1"/>
  <c r="J5" i="14" s="1"/>
  <c r="J61" i="14"/>
  <c r="J52" i="14"/>
  <c r="AO6" i="14"/>
  <c r="AO7" i="14" s="1"/>
  <c r="AO9" i="14" s="1"/>
  <c r="AG6" i="14"/>
  <c r="AG7" i="14" s="1"/>
  <c r="AG9" i="14" s="1"/>
  <c r="Y6" i="14"/>
  <c r="Y7" i="14" s="1"/>
  <c r="Y9" i="14" s="1"/>
  <c r="Q6" i="14"/>
  <c r="Q7" i="14" s="1"/>
  <c r="Q9" i="14" s="1"/>
  <c r="AQ225" i="11"/>
  <c r="AI225" i="11"/>
  <c r="AA225" i="11"/>
  <c r="S225" i="11"/>
  <c r="K225" i="11"/>
  <c r="AN6" i="14"/>
  <c r="AF6" i="14"/>
  <c r="AF7" i="14" s="1"/>
  <c r="X6" i="14"/>
  <c r="X7" i="14" s="1"/>
  <c r="P6" i="14"/>
  <c r="P7" i="14" s="1"/>
  <c r="AP225" i="11"/>
  <c r="AH225" i="11"/>
  <c r="Z225" i="11"/>
  <c r="R225" i="11"/>
  <c r="J225" i="11"/>
  <c r="AK126" i="11"/>
  <c r="AE6" i="14"/>
  <c r="AO225" i="11"/>
  <c r="AG225" i="11"/>
  <c r="Y225" i="11"/>
  <c r="Q225" i="11"/>
  <c r="AL6" i="14"/>
  <c r="AL7" i="14" s="1"/>
  <c r="AD6" i="14"/>
  <c r="V6" i="14"/>
  <c r="N6" i="14"/>
  <c r="AN225" i="11"/>
  <c r="AF225" i="11"/>
  <c r="X225" i="11"/>
  <c r="P225" i="11"/>
  <c r="AP6" i="12"/>
  <c r="AP7" i="12" s="1"/>
  <c r="AP13" i="12" s="1"/>
  <c r="AP14" i="12" s="1"/>
  <c r="AH6" i="12"/>
  <c r="AH7" i="12" s="1"/>
  <c r="AH248" i="12" s="1"/>
  <c r="Z6" i="12"/>
  <c r="Z7" i="12" s="1"/>
  <c r="Z248" i="12" s="1"/>
  <c r="J6" i="12"/>
  <c r="J188" i="12"/>
  <c r="J167" i="12"/>
  <c r="AO6" i="12"/>
  <c r="AO7" i="12" s="1"/>
  <c r="AG6" i="12"/>
  <c r="Y6" i="12"/>
  <c r="Q6" i="12"/>
  <c r="AN6" i="12"/>
  <c r="AN7" i="12" s="1"/>
  <c r="AF6" i="12"/>
  <c r="X6" i="12"/>
  <c r="X7" i="12" s="1"/>
  <c r="P6" i="12"/>
  <c r="P7" i="12" s="1"/>
  <c r="P9" i="12" s="1"/>
  <c r="AM6" i="12"/>
  <c r="AM7" i="12" s="1"/>
  <c r="AE6" i="12"/>
  <c r="W6" i="12"/>
  <c r="W7" i="12" s="1"/>
  <c r="W9" i="12" s="1"/>
  <c r="O6" i="12"/>
  <c r="O7" i="12" s="1"/>
  <c r="O33" i="12" s="1"/>
  <c r="V6" i="12"/>
  <c r="V7" i="12" s="1"/>
  <c r="V10" i="12" s="1"/>
  <c r="V5" i="12" s="1"/>
  <c r="AL6" i="12"/>
  <c r="AL7" i="12" s="1"/>
  <c r="AD6" i="12"/>
  <c r="AD7" i="12" s="1"/>
  <c r="N6" i="12"/>
  <c r="N7" i="12" s="1"/>
  <c r="N162" i="12" s="1"/>
  <c r="AS6" i="12"/>
  <c r="AK6" i="12"/>
  <c r="AC6" i="12"/>
  <c r="U6" i="12"/>
  <c r="U7" i="12" s="1"/>
  <c r="M6" i="12"/>
  <c r="M7" i="12" s="1"/>
  <c r="AR6" i="12"/>
  <c r="AJ6" i="12"/>
  <c r="AJ7" i="12" s="1"/>
  <c r="AJ13" i="12" s="1"/>
  <c r="AJ14" i="12" s="1"/>
  <c r="AB6" i="12"/>
  <c r="AB7" i="12" s="1"/>
  <c r="T6" i="12"/>
  <c r="T7" i="12" s="1"/>
  <c r="L6" i="12"/>
  <c r="L7" i="12" s="1"/>
  <c r="L95" i="12" s="1"/>
  <c r="AQ6" i="12"/>
  <c r="AQ7" i="12" s="1"/>
  <c r="AI6" i="12"/>
  <c r="AA6" i="12"/>
  <c r="S6" i="12"/>
  <c r="K6" i="12"/>
  <c r="K7" i="12" s="1"/>
  <c r="R6" i="12"/>
  <c r="R7" i="12" s="1"/>
  <c r="R248" i="12" s="1"/>
  <c r="J84" i="9"/>
  <c r="U161" i="13"/>
  <c r="M161" i="13"/>
  <c r="AS161" i="13"/>
  <c r="T6" i="10"/>
  <c r="T7" i="10" s="1"/>
  <c r="T13" i="10" s="1"/>
  <c r="T14" i="10" s="1"/>
  <c r="K6" i="10"/>
  <c r="K7" i="10" s="1"/>
  <c r="K13" i="10" s="1"/>
  <c r="K14" i="10" s="1"/>
  <c r="AL6" i="10"/>
  <c r="AL7" i="10" s="1"/>
  <c r="AL9" i="10" s="1"/>
  <c r="AD6" i="10"/>
  <c r="AD7" i="10" s="1"/>
  <c r="AD9" i="10" s="1"/>
  <c r="V6" i="10"/>
  <c r="V7" i="10" s="1"/>
  <c r="V9" i="10" s="1"/>
  <c r="N6" i="10"/>
  <c r="N7" i="10" s="1"/>
  <c r="N9" i="10" s="1"/>
  <c r="L6" i="10"/>
  <c r="L7" i="10" s="1"/>
  <c r="AQ6" i="10"/>
  <c r="AQ7" i="10" s="1"/>
  <c r="AQ13" i="10" s="1"/>
  <c r="AQ14" i="10" s="1"/>
  <c r="AS6" i="10"/>
  <c r="AS7" i="10" s="1"/>
  <c r="AS10" i="10" s="1"/>
  <c r="AS5" i="10" s="1"/>
  <c r="AK6" i="10"/>
  <c r="AK7" i="10" s="1"/>
  <c r="AK10" i="10" s="1"/>
  <c r="AK5" i="10" s="1"/>
  <c r="AC6" i="10"/>
  <c r="AC7" i="10" s="1"/>
  <c r="AC10" i="10" s="1"/>
  <c r="AC5" i="10" s="1"/>
  <c r="U6" i="10"/>
  <c r="U7" i="10" s="1"/>
  <c r="U10" i="10" s="1"/>
  <c r="U5" i="10" s="1"/>
  <c r="M6" i="10"/>
  <c r="M7" i="10" s="1"/>
  <c r="M10" i="10" s="1"/>
  <c r="M5" i="10" s="1"/>
  <c r="AI6" i="10"/>
  <c r="AI7" i="10" s="1"/>
  <c r="AI13" i="10" s="1"/>
  <c r="AI14" i="10" s="1"/>
  <c r="AP6" i="10"/>
  <c r="AP7" i="10" s="1"/>
  <c r="AP10" i="10" s="1"/>
  <c r="AP5" i="10" s="1"/>
  <c r="AH6" i="10"/>
  <c r="AH7" i="10" s="1"/>
  <c r="AH10" i="10" s="1"/>
  <c r="AH5" i="10" s="1"/>
  <c r="Z6" i="10"/>
  <c r="Z7" i="10" s="1"/>
  <c r="Z10" i="10" s="1"/>
  <c r="Z5" i="10" s="1"/>
  <c r="R6" i="10"/>
  <c r="R7" i="10" s="1"/>
  <c r="R10" i="10" s="1"/>
  <c r="R5" i="10" s="1"/>
  <c r="J6" i="10"/>
  <c r="J7" i="10" s="1"/>
  <c r="J10" i="10" s="1"/>
  <c r="J5" i="10" s="1"/>
  <c r="AR6" i="10"/>
  <c r="AR7" i="10" s="1"/>
  <c r="AR13" i="10" s="1"/>
  <c r="AR14" i="10" s="1"/>
  <c r="S6" i="10"/>
  <c r="S7" i="10" s="1"/>
  <c r="S13" i="10" s="1"/>
  <c r="S14" i="10" s="1"/>
  <c r="AO6" i="10"/>
  <c r="AO7" i="10" s="1"/>
  <c r="AO9" i="10" s="1"/>
  <c r="AG6" i="10"/>
  <c r="AG7" i="10" s="1"/>
  <c r="AG9" i="10" s="1"/>
  <c r="Y6" i="10"/>
  <c r="Y7" i="10" s="1"/>
  <c r="Y9" i="10" s="1"/>
  <c r="Q6" i="10"/>
  <c r="Q7" i="10" s="1"/>
  <c r="Q9" i="10" s="1"/>
  <c r="AB6" i="10"/>
  <c r="AB7" i="10" s="1"/>
  <c r="AN6" i="10"/>
  <c r="AN7" i="10" s="1"/>
  <c r="AN9" i="10" s="1"/>
  <c r="AF6" i="10"/>
  <c r="AF7" i="10" s="1"/>
  <c r="AF9" i="10" s="1"/>
  <c r="X6" i="10"/>
  <c r="X7" i="10" s="1"/>
  <c r="X9" i="10" s="1"/>
  <c r="P6" i="10"/>
  <c r="P7" i="10" s="1"/>
  <c r="P9" i="10" s="1"/>
  <c r="AJ6" i="10"/>
  <c r="AJ7" i="10" s="1"/>
  <c r="AJ13" i="10" s="1"/>
  <c r="AJ14" i="10" s="1"/>
  <c r="AA6" i="10"/>
  <c r="AA7" i="10" s="1"/>
  <c r="AA13" i="10" s="1"/>
  <c r="AA14" i="10" s="1"/>
  <c r="AM6" i="10"/>
  <c r="AM7" i="10" s="1"/>
  <c r="AM13" i="10" s="1"/>
  <c r="AM14" i="10" s="1"/>
  <c r="AE6" i="10"/>
  <c r="AE7" i="10" s="1"/>
  <c r="AE13" i="10" s="1"/>
  <c r="AE14" i="10" s="1"/>
  <c r="W6" i="10"/>
  <c r="W7" i="10" s="1"/>
  <c r="W13" i="10" s="1"/>
  <c r="W14" i="10" s="1"/>
  <c r="O6" i="10"/>
  <c r="O7" i="10" s="1"/>
  <c r="O13" i="10" s="1"/>
  <c r="O14" i="10" s="1"/>
  <c r="K7" i="15"/>
  <c r="K13" i="15"/>
  <c r="K14" i="15" s="1"/>
  <c r="AJ7" i="13"/>
  <c r="AJ13" i="13" s="1"/>
  <c r="AJ14" i="13" s="1"/>
  <c r="AM7" i="13"/>
  <c r="AM9" i="13" s="1"/>
  <c r="O13" i="13"/>
  <c r="O14" i="13" s="1"/>
  <c r="AO13" i="15"/>
  <c r="AO14" i="15" s="1"/>
  <c r="AG13" i="15"/>
  <c r="AG14" i="15" s="1"/>
  <c r="Y13" i="15"/>
  <c r="Y14" i="15" s="1"/>
  <c r="Q13" i="15"/>
  <c r="Q14" i="15" s="1"/>
  <c r="AS7" i="13"/>
  <c r="AS9" i="13" s="1"/>
  <c r="AC7" i="13"/>
  <c r="AC9" i="13" s="1"/>
  <c r="U7" i="13"/>
  <c r="U9" i="13" s="1"/>
  <c r="M7" i="13"/>
  <c r="M9" i="13" s="1"/>
  <c r="M96" i="13" s="1"/>
  <c r="AM13" i="15"/>
  <c r="AM14" i="15" s="1"/>
  <c r="AE13" i="15"/>
  <c r="AE14" i="15" s="1"/>
  <c r="W13" i="15"/>
  <c r="W14" i="15" s="1"/>
  <c r="O13" i="15"/>
  <c r="O14" i="15" s="1"/>
  <c r="AB7" i="13"/>
  <c r="AB13" i="13" s="1"/>
  <c r="AB14" i="13" s="1"/>
  <c r="T7" i="13"/>
  <c r="T13" i="13" s="1"/>
  <c r="T14" i="13" s="1"/>
  <c r="L7" i="13"/>
  <c r="L13" i="13" s="1"/>
  <c r="L14" i="13" s="1"/>
  <c r="AL7" i="15"/>
  <c r="AL13" i="15" s="1"/>
  <c r="AL14" i="15" s="1"/>
  <c r="AD7" i="15"/>
  <c r="AD13" i="15" s="1"/>
  <c r="AD14" i="15" s="1"/>
  <c r="V7" i="15"/>
  <c r="V13" i="15"/>
  <c r="V14" i="15" s="1"/>
  <c r="N7" i="15"/>
  <c r="N13" i="15" s="1"/>
  <c r="N14" i="15" s="1"/>
  <c r="AS7" i="15"/>
  <c r="AS9" i="15" s="1"/>
  <c r="AK7" i="15"/>
  <c r="AK9" i="15" s="1"/>
  <c r="AC7" i="15"/>
  <c r="AC9" i="15" s="1"/>
  <c r="U7" i="15"/>
  <c r="U9" i="15" s="1"/>
  <c r="U13" i="15"/>
  <c r="U14" i="15" s="1"/>
  <c r="M7" i="15"/>
  <c r="M9" i="15" s="1"/>
  <c r="AP13" i="13"/>
  <c r="AP14" i="13" s="1"/>
  <c r="Z13" i="13"/>
  <c r="Z14" i="13" s="1"/>
  <c r="R13" i="13"/>
  <c r="R14" i="13" s="1"/>
  <c r="J7" i="13"/>
  <c r="J13" i="13" s="1"/>
  <c r="J14" i="13" s="1"/>
  <c r="AR13" i="15"/>
  <c r="AR14" i="15" s="1"/>
  <c r="AJ7" i="15"/>
  <c r="AJ13" i="15" s="1"/>
  <c r="AJ14" i="15" s="1"/>
  <c r="AB7" i="15"/>
  <c r="AB13" i="15"/>
  <c r="AB14" i="15" s="1"/>
  <c r="T7" i="15"/>
  <c r="T13" i="15" s="1"/>
  <c r="T14" i="15" s="1"/>
  <c r="L7" i="15"/>
  <c r="L13" i="15"/>
  <c r="L14" i="15" s="1"/>
  <c r="AO7" i="13"/>
  <c r="AO10" i="13" s="1"/>
  <c r="AG7" i="13"/>
  <c r="AG10" i="13" s="1"/>
  <c r="AG13" i="13"/>
  <c r="AG14" i="13" s="1"/>
  <c r="Y7" i="13"/>
  <c r="Y10" i="13" s="1"/>
  <c r="AQ7" i="15"/>
  <c r="AQ13" i="15" s="1"/>
  <c r="AQ14" i="15" s="1"/>
  <c r="AI13" i="15"/>
  <c r="AI14" i="15" s="1"/>
  <c r="AA7" i="15"/>
  <c r="AA13" i="15" s="1"/>
  <c r="AA14" i="15" s="1"/>
  <c r="S7" i="15"/>
  <c r="S13" i="15"/>
  <c r="S14" i="15" s="1"/>
  <c r="AN13" i="13"/>
  <c r="AN14" i="13" s="1"/>
  <c r="AF7" i="13"/>
  <c r="AF13" i="13" s="1"/>
  <c r="AF14" i="13" s="1"/>
  <c r="X13" i="13"/>
  <c r="X14" i="13" s="1"/>
  <c r="P7" i="13"/>
  <c r="P10" i="13" s="1"/>
  <c r="AP13" i="15"/>
  <c r="AP14" i="15" s="1"/>
  <c r="AH13" i="15"/>
  <c r="AH14" i="15" s="1"/>
  <c r="Z13" i="15"/>
  <c r="Z14" i="15" s="1"/>
  <c r="R13" i="15"/>
  <c r="R14" i="15" s="1"/>
  <c r="J13" i="15"/>
  <c r="J14" i="15" s="1"/>
  <c r="AF13" i="14"/>
  <c r="AF14" i="14" s="1"/>
  <c r="AE7" i="14"/>
  <c r="AE13" i="14" s="1"/>
  <c r="AE14" i="14" s="1"/>
  <c r="AC13" i="14"/>
  <c r="AC14" i="14" s="1"/>
  <c r="U7" i="14"/>
  <c r="U10" i="14" s="1"/>
  <c r="U13" i="14"/>
  <c r="U14" i="14" s="1"/>
  <c r="AD7" i="14"/>
  <c r="AD13" i="14" s="1"/>
  <c r="AD14" i="14" s="1"/>
  <c r="AS13" i="14"/>
  <c r="AS14" i="14" s="1"/>
  <c r="AN7" i="14"/>
  <c r="AN13" i="14" s="1"/>
  <c r="AN14" i="14" s="1"/>
  <c r="AJ13" i="14"/>
  <c r="AJ14" i="14" s="1"/>
  <c r="L7" i="14"/>
  <c r="L10" i="14" s="1"/>
  <c r="V7" i="14"/>
  <c r="V13" i="14" s="1"/>
  <c r="V14" i="14" s="1"/>
  <c r="AQ7" i="14"/>
  <c r="AQ9" i="14" s="1"/>
  <c r="AI7" i="14"/>
  <c r="AI9" i="14" s="1"/>
  <c r="AA7" i="14"/>
  <c r="AA9" i="14" s="1"/>
  <c r="K7" i="14"/>
  <c r="K9" i="14" s="1"/>
  <c r="AP13" i="14"/>
  <c r="AP14" i="14" s="1"/>
  <c r="AH13" i="14"/>
  <c r="AH14" i="14" s="1"/>
  <c r="Z13" i="14"/>
  <c r="Z14" i="14" s="1"/>
  <c r="N7" i="14"/>
  <c r="N13" i="14" s="1"/>
  <c r="N14" i="14" s="1"/>
  <c r="AO13" i="14"/>
  <c r="AO14" i="14" s="1"/>
  <c r="Y13" i="14"/>
  <c r="Y14" i="14" s="1"/>
  <c r="Q13" i="14"/>
  <c r="Q14" i="14" s="1"/>
  <c r="S50" i="9"/>
  <c r="S51" i="9" s="1"/>
  <c r="S88" i="11"/>
  <c r="S201" i="10"/>
  <c r="S203" i="10" s="1"/>
  <c r="S214" i="9" s="1"/>
  <c r="AP201" i="10"/>
  <c r="AP203" i="10" s="1"/>
  <c r="AP214" i="9" s="1"/>
  <c r="AP50" i="9"/>
  <c r="AP51" i="9" s="1"/>
  <c r="AP88" i="11"/>
  <c r="AH201" i="10"/>
  <c r="AH203" i="10" s="1"/>
  <c r="AH214" i="9" s="1"/>
  <c r="AH88" i="11"/>
  <c r="AH50" i="9"/>
  <c r="AH51" i="9" s="1"/>
  <c r="Z201" i="10"/>
  <c r="Z203" i="10" s="1"/>
  <c r="Z214" i="9" s="1"/>
  <c r="Z88" i="11"/>
  <c r="Z50" i="9"/>
  <c r="Z51" i="9" s="1"/>
  <c r="R201" i="10"/>
  <c r="R203" i="10" s="1"/>
  <c r="R214" i="9" s="1"/>
  <c r="R88" i="11"/>
  <c r="R50" i="9"/>
  <c r="R51" i="9" s="1"/>
  <c r="J201" i="10"/>
  <c r="J203" i="10" s="1"/>
  <c r="J214" i="9" s="1"/>
  <c r="J88" i="11"/>
  <c r="J50" i="9"/>
  <c r="J51" i="9" s="1"/>
  <c r="AA50" i="9"/>
  <c r="AA51" i="9" s="1"/>
  <c r="AA88" i="11"/>
  <c r="AA201" i="10"/>
  <c r="AA203" i="10" s="1"/>
  <c r="AA214" i="9" s="1"/>
  <c r="AO88" i="11"/>
  <c r="AO50" i="9"/>
  <c r="AO51" i="9" s="1"/>
  <c r="AO201" i="10"/>
  <c r="AO203" i="10" s="1"/>
  <c r="AO214" i="9" s="1"/>
  <c r="AG88" i="11"/>
  <c r="AG201" i="10"/>
  <c r="AG203" i="10" s="1"/>
  <c r="AG214" i="9" s="1"/>
  <c r="AG50" i="9"/>
  <c r="AG51" i="9" s="1"/>
  <c r="Y88" i="11"/>
  <c r="Y50" i="9"/>
  <c r="Y51" i="9" s="1"/>
  <c r="Y201" i="10"/>
  <c r="Y203" i="10" s="1"/>
  <c r="Y214" i="9" s="1"/>
  <c r="Q88" i="11"/>
  <c r="Q201" i="10"/>
  <c r="Q203" i="10" s="1"/>
  <c r="Q214" i="9" s="1"/>
  <c r="Q50" i="9"/>
  <c r="Q51" i="9" s="1"/>
  <c r="AI50" i="9"/>
  <c r="AI51" i="9" s="1"/>
  <c r="AI88" i="11"/>
  <c r="AI201" i="10"/>
  <c r="AI203" i="10" s="1"/>
  <c r="AI214" i="9" s="1"/>
  <c r="AN88" i="11"/>
  <c r="AN50" i="9"/>
  <c r="AN51" i="9" s="1"/>
  <c r="AN201" i="10"/>
  <c r="AN203" i="10" s="1"/>
  <c r="AN214" i="9" s="1"/>
  <c r="AF88" i="11"/>
  <c r="AF50" i="9"/>
  <c r="AF51" i="9" s="1"/>
  <c r="AF201" i="10"/>
  <c r="AF203" i="10" s="1"/>
  <c r="AF214" i="9" s="1"/>
  <c r="X88" i="11"/>
  <c r="X50" i="9"/>
  <c r="X51" i="9" s="1"/>
  <c r="X201" i="10"/>
  <c r="X203" i="10" s="1"/>
  <c r="X214" i="9" s="1"/>
  <c r="P88" i="11"/>
  <c r="P50" i="9"/>
  <c r="P51" i="9" s="1"/>
  <c r="P201" i="10"/>
  <c r="P203" i="10" s="1"/>
  <c r="P214" i="9" s="1"/>
  <c r="AQ50" i="9"/>
  <c r="AQ51" i="9" s="1"/>
  <c r="AQ88" i="11"/>
  <c r="AQ201" i="10"/>
  <c r="AQ203" i="10" s="1"/>
  <c r="AQ214" i="9" s="1"/>
  <c r="AM201" i="10"/>
  <c r="AM203" i="10" s="1"/>
  <c r="AM214" i="9" s="1"/>
  <c r="AM50" i="9"/>
  <c r="AM51" i="9" s="1"/>
  <c r="AM88" i="11"/>
  <c r="AE201" i="10"/>
  <c r="AE203" i="10" s="1"/>
  <c r="AE214" i="9" s="1"/>
  <c r="AE88" i="11"/>
  <c r="AE50" i="9"/>
  <c r="AE51" i="9" s="1"/>
  <c r="W201" i="10"/>
  <c r="W203" i="10" s="1"/>
  <c r="W214" i="9" s="1"/>
  <c r="W50" i="9"/>
  <c r="W51" i="9" s="1"/>
  <c r="W88" i="11"/>
  <c r="O88" i="11"/>
  <c r="O201" i="10"/>
  <c r="O203" i="10" s="1"/>
  <c r="O214" i="9" s="1"/>
  <c r="O50" i="9"/>
  <c r="O51" i="9" s="1"/>
  <c r="K50" i="9"/>
  <c r="K51" i="9" s="1"/>
  <c r="K88" i="11"/>
  <c r="K201" i="10"/>
  <c r="K203" i="10" s="1"/>
  <c r="K214" i="9" s="1"/>
  <c r="AL88" i="11"/>
  <c r="AL50" i="9"/>
  <c r="AL51" i="9" s="1"/>
  <c r="AL201" i="10"/>
  <c r="AL203" i="10" s="1"/>
  <c r="AL214" i="9" s="1"/>
  <c r="AD88" i="11"/>
  <c r="AD50" i="9"/>
  <c r="AD51" i="9" s="1"/>
  <c r="AD201" i="10"/>
  <c r="AD203" i="10" s="1"/>
  <c r="AD214" i="9" s="1"/>
  <c r="V88" i="11"/>
  <c r="V50" i="9"/>
  <c r="V51" i="9" s="1"/>
  <c r="V201" i="10"/>
  <c r="V203" i="10" s="1"/>
  <c r="V214" i="9" s="1"/>
  <c r="N88" i="11"/>
  <c r="N50" i="9"/>
  <c r="N51" i="9" s="1"/>
  <c r="N201" i="10"/>
  <c r="N203" i="10" s="1"/>
  <c r="N214" i="9" s="1"/>
  <c r="AS50" i="9"/>
  <c r="AS51" i="9" s="1"/>
  <c r="AS201" i="10"/>
  <c r="AS203" i="10" s="1"/>
  <c r="AS214" i="9" s="1"/>
  <c r="AS88" i="11"/>
  <c r="AK50" i="9"/>
  <c r="AK51" i="9" s="1"/>
  <c r="AK201" i="10"/>
  <c r="AK203" i="10" s="1"/>
  <c r="AK214" i="9" s="1"/>
  <c r="AK88" i="11"/>
  <c r="AC50" i="9"/>
  <c r="AC51" i="9" s="1"/>
  <c r="AC201" i="10"/>
  <c r="AC203" i="10" s="1"/>
  <c r="AC214" i="9" s="1"/>
  <c r="AC88" i="11"/>
  <c r="U50" i="9"/>
  <c r="U51" i="9" s="1"/>
  <c r="U201" i="10"/>
  <c r="U203" i="10" s="1"/>
  <c r="U214" i="9" s="1"/>
  <c r="U88" i="11"/>
  <c r="M50" i="9"/>
  <c r="M51" i="9" s="1"/>
  <c r="M201" i="10"/>
  <c r="M203" i="10" s="1"/>
  <c r="M214" i="9" s="1"/>
  <c r="M88" i="11"/>
  <c r="B88" i="11"/>
  <c r="B210" i="11" s="1"/>
  <c r="B157" i="12" s="1"/>
  <c r="B50" i="9"/>
  <c r="AR201" i="10"/>
  <c r="AR203" i="10" s="1"/>
  <c r="AR214" i="9" s="1"/>
  <c r="AR88" i="11"/>
  <c r="AR50" i="9"/>
  <c r="AR51" i="9" s="1"/>
  <c r="AJ201" i="10"/>
  <c r="AJ203" i="10" s="1"/>
  <c r="AJ214" i="9" s="1"/>
  <c r="AJ88" i="11"/>
  <c r="AJ50" i="9"/>
  <c r="AJ51" i="9" s="1"/>
  <c r="AB201" i="10"/>
  <c r="AB203" i="10" s="1"/>
  <c r="AB214" i="9" s="1"/>
  <c r="AB88" i="11"/>
  <c r="AB50" i="9"/>
  <c r="AB51" i="9" s="1"/>
  <c r="T201" i="10"/>
  <c r="T203" i="10" s="1"/>
  <c r="T214" i="9" s="1"/>
  <c r="T88" i="11"/>
  <c r="T50" i="9"/>
  <c r="T51" i="9" s="1"/>
  <c r="L201" i="10"/>
  <c r="L203" i="10" s="1"/>
  <c r="L214" i="9" s="1"/>
  <c r="L88" i="11"/>
  <c r="L50" i="9"/>
  <c r="L51" i="9" s="1"/>
  <c r="K9" i="11"/>
  <c r="K126" i="11"/>
  <c r="AC126" i="11"/>
  <c r="AL7" i="11"/>
  <c r="AL126" i="11" s="1"/>
  <c r="AQ13" i="11"/>
  <c r="AQ14" i="11" s="1"/>
  <c r="AI7" i="11"/>
  <c r="AI13" i="11" s="1"/>
  <c r="AI14" i="11" s="1"/>
  <c r="AA7" i="11"/>
  <c r="AA352" i="11" s="1"/>
  <c r="AA359" i="11" s="1"/>
  <c r="S7" i="11"/>
  <c r="S126" i="11" s="1"/>
  <c r="K13" i="11"/>
  <c r="K14" i="11" s="1"/>
  <c r="N13" i="9"/>
  <c r="N14" i="9" s="1"/>
  <c r="V7" i="9"/>
  <c r="V13" i="9" s="1"/>
  <c r="V14" i="9" s="1"/>
  <c r="AH7" i="11"/>
  <c r="AH13" i="11" s="1"/>
  <c r="AH14" i="11" s="1"/>
  <c r="Z7" i="11"/>
  <c r="Z13" i="11" s="1"/>
  <c r="Z14" i="11" s="1"/>
  <c r="R7" i="11"/>
  <c r="R13" i="11" s="1"/>
  <c r="R14" i="11" s="1"/>
  <c r="AS7" i="9"/>
  <c r="AS10" i="9" s="1"/>
  <c r="AS5" i="9" s="1"/>
  <c r="AK7" i="9"/>
  <c r="AK10" i="9" s="1"/>
  <c r="AK5" i="9" s="1"/>
  <c r="M7" i="9"/>
  <c r="M10" i="9" s="1"/>
  <c r="M5" i="9" s="1"/>
  <c r="AB7" i="11"/>
  <c r="AB13" i="11" s="1"/>
  <c r="AB14" i="11" s="1"/>
  <c r="T7" i="11"/>
  <c r="T126" i="11" s="1"/>
  <c r="AS13" i="11"/>
  <c r="AS14" i="11" s="1"/>
  <c r="AO13" i="11"/>
  <c r="AO14" i="11" s="1"/>
  <c r="AG13" i="11"/>
  <c r="AG14" i="11" s="1"/>
  <c r="Y13" i="11"/>
  <c r="Y14" i="11" s="1"/>
  <c r="Q13" i="11"/>
  <c r="Q14" i="11" s="1"/>
  <c r="AJ7" i="9"/>
  <c r="AJ13" i="9" s="1"/>
  <c r="AJ14" i="9" s="1"/>
  <c r="AB7" i="9"/>
  <c r="AB13" i="9" s="1"/>
  <c r="AB14" i="9" s="1"/>
  <c r="AA13" i="9"/>
  <c r="AA14" i="9" s="1"/>
  <c r="K13" i="9"/>
  <c r="K14" i="9" s="1"/>
  <c r="V7" i="11"/>
  <c r="V126" i="11" s="1"/>
  <c r="AM13" i="11"/>
  <c r="AM14" i="11" s="1"/>
  <c r="AE13" i="11"/>
  <c r="AE14" i="11" s="1"/>
  <c r="W13" i="11"/>
  <c r="W14" i="11" s="1"/>
  <c r="O13" i="11"/>
  <c r="O14" i="11" s="1"/>
  <c r="AP13" i="9"/>
  <c r="AP14" i="9" s="1"/>
  <c r="R13" i="9"/>
  <c r="R14" i="9" s="1"/>
  <c r="J13" i="9"/>
  <c r="J14" i="9" s="1"/>
  <c r="AR13" i="11"/>
  <c r="AR14" i="11" s="1"/>
  <c r="N13" i="11"/>
  <c r="N14" i="11" s="1"/>
  <c r="AD7" i="11"/>
  <c r="AD126" i="11" s="1"/>
  <c r="Y13" i="9"/>
  <c r="Y14" i="9" s="1"/>
  <c r="Q13" i="9"/>
  <c r="Q14" i="9" s="1"/>
  <c r="AJ7" i="11"/>
  <c r="AJ13" i="11" s="1"/>
  <c r="AJ14" i="11" s="1"/>
  <c r="L7" i="11"/>
  <c r="L13" i="11" s="1"/>
  <c r="L14" i="11" s="1"/>
  <c r="AK13" i="11"/>
  <c r="AK14" i="11" s="1"/>
  <c r="AC13" i="11"/>
  <c r="AC14" i="11" s="1"/>
  <c r="U13" i="11"/>
  <c r="U14" i="11" s="1"/>
  <c r="M13" i="11"/>
  <c r="M14" i="11" s="1"/>
  <c r="X7" i="9"/>
  <c r="X13" i="9" s="1"/>
  <c r="X14" i="9" s="1"/>
  <c r="AE7" i="12"/>
  <c r="AE13" i="12" s="1"/>
  <c r="AE14" i="12" s="1"/>
  <c r="W13" i="12"/>
  <c r="W14" i="12" s="1"/>
  <c r="AS7" i="12"/>
  <c r="AS33" i="12" s="1"/>
  <c r="AK7" i="12"/>
  <c r="AK13" i="12" s="1"/>
  <c r="AK14" i="12" s="1"/>
  <c r="AC7" i="12"/>
  <c r="AC9" i="12" s="1"/>
  <c r="AR7" i="12"/>
  <c r="AR248" i="12" s="1"/>
  <c r="AI7" i="12"/>
  <c r="AI13" i="12" s="1"/>
  <c r="AI14" i="12" s="1"/>
  <c r="AA7" i="12"/>
  <c r="AA13" i="12" s="1"/>
  <c r="AA14" i="12" s="1"/>
  <c r="S7" i="12"/>
  <c r="S13" i="12" s="1"/>
  <c r="S14" i="12" s="1"/>
  <c r="J7" i="12"/>
  <c r="J13" i="12" s="1"/>
  <c r="J14" i="12" s="1"/>
  <c r="AF7" i="12"/>
  <c r="AF95" i="12" s="1"/>
  <c r="AG7" i="12"/>
  <c r="AG10" i="12" s="1"/>
  <c r="AG5" i="12" s="1"/>
  <c r="Y7" i="12"/>
  <c r="Y13" i="12" s="1"/>
  <c r="Y14" i="12" s="1"/>
  <c r="Q7" i="12"/>
  <c r="Q13" i="12" s="1"/>
  <c r="Q14" i="12" s="1"/>
  <c r="J96" i="12"/>
  <c r="J249" i="12"/>
  <c r="J258" i="12" s="1"/>
  <c r="J34" i="12"/>
  <c r="J43" i="12" s="1"/>
  <c r="J43" i="13"/>
  <c r="AE161" i="13"/>
  <c r="J159" i="13"/>
  <c r="J161" i="13" s="1"/>
  <c r="Z161" i="13"/>
  <c r="AA6" i="13"/>
  <c r="W161" i="13"/>
  <c r="AM161" i="13"/>
  <c r="T161" i="13"/>
  <c r="O161" i="13"/>
  <c r="AO161" i="13"/>
  <c r="AC161" i="13"/>
  <c r="R161" i="13"/>
  <c r="AN161" i="13"/>
  <c r="Q161" i="13"/>
  <c r="P161" i="13"/>
  <c r="AK161" i="13"/>
  <c r="Y161" i="13"/>
  <c r="AG161" i="13"/>
  <c r="X161" i="13"/>
  <c r="I85" i="15"/>
  <c r="AS126" i="11"/>
  <c r="AP29" i="13"/>
  <c r="AH29" i="13"/>
  <c r="Z29" i="13"/>
  <c r="AF161" i="13"/>
  <c r="AE29" i="13"/>
  <c r="W29" i="13"/>
  <c r="O29" i="13"/>
  <c r="AI29" i="13"/>
  <c r="AR95" i="12"/>
  <c r="W33" i="12"/>
  <c r="AM126" i="11"/>
  <c r="J163" i="12"/>
  <c r="U126" i="11"/>
  <c r="J253" i="12"/>
  <c r="Z256" i="12" s="1"/>
  <c r="AP298" i="11"/>
  <c r="AP300" i="11" s="1"/>
  <c r="J298" i="11"/>
  <c r="J300" i="11" s="1"/>
  <c r="M126" i="11"/>
  <c r="AQ197" i="10"/>
  <c r="AI197" i="10"/>
  <c r="AA197" i="10"/>
  <c r="S197" i="10"/>
  <c r="K197" i="10"/>
  <c r="AM197" i="10"/>
  <c r="AE197" i="10"/>
  <c r="W197" i="10"/>
  <c r="O197" i="10"/>
  <c r="X9" i="13"/>
  <c r="X15" i="13" s="1"/>
  <c r="K6" i="13"/>
  <c r="R29" i="13"/>
  <c r="AO197" i="10"/>
  <c r="AG197" i="10"/>
  <c r="Y197" i="10"/>
  <c r="Q197" i="10"/>
  <c r="AS197" i="10"/>
  <c r="AK197" i="10"/>
  <c r="AC197" i="10"/>
  <c r="U197" i="10"/>
  <c r="AO29" i="13"/>
  <c r="J100" i="12"/>
  <c r="J118" i="12" s="1"/>
  <c r="J119" i="12" s="1"/>
  <c r="AP161" i="13"/>
  <c r="AN29" i="13"/>
  <c r="AF29" i="13"/>
  <c r="X29" i="13"/>
  <c r="P29" i="13"/>
  <c r="K315" i="11"/>
  <c r="K266" i="11" s="1"/>
  <c r="R9" i="9"/>
  <c r="R12" i="9" s="1"/>
  <c r="K352" i="11"/>
  <c r="K359" i="11" s="1"/>
  <c r="K100" i="11"/>
  <c r="K33" i="11" s="1"/>
  <c r="T9" i="14"/>
  <c r="AM6" i="14"/>
  <c r="W6" i="14"/>
  <c r="O6" i="14"/>
  <c r="AH9" i="11"/>
  <c r="J6" i="11"/>
  <c r="J322" i="11"/>
  <c r="J305" i="11"/>
  <c r="J127" i="11"/>
  <c r="J146" i="11" s="1"/>
  <c r="J79" i="15"/>
  <c r="K78" i="15"/>
  <c r="B148" i="15"/>
  <c r="B143" i="9" s="1"/>
  <c r="J88" i="15"/>
  <c r="J103" i="9" s="1"/>
  <c r="J104" i="9" s="1"/>
  <c r="O9" i="12"/>
  <c r="O95" i="12"/>
  <c r="AR10" i="11"/>
  <c r="AR315" i="11"/>
  <c r="AR266" i="11" s="1"/>
  <c r="AR9" i="11"/>
  <c r="AR352" i="11"/>
  <c r="AR277" i="11" s="1"/>
  <c r="AR100" i="11"/>
  <c r="AR33" i="11" s="1"/>
  <c r="J139" i="15"/>
  <c r="K138" i="15"/>
  <c r="J148" i="15"/>
  <c r="K131" i="15" s="1"/>
  <c r="K132" i="15" s="1"/>
  <c r="I168" i="15"/>
  <c r="J161" i="15"/>
  <c r="J162" i="15" s="1"/>
  <c r="I108" i="15"/>
  <c r="J101" i="15"/>
  <c r="J102" i="15" s="1"/>
  <c r="AF10" i="13"/>
  <c r="AF9" i="13"/>
  <c r="Z352" i="11"/>
  <c r="Z359" i="11" s="1"/>
  <c r="N95" i="12"/>
  <c r="N33" i="12"/>
  <c r="N248" i="12"/>
  <c r="AQ9" i="11"/>
  <c r="AQ315" i="11"/>
  <c r="AQ266" i="11" s="1"/>
  <c r="AQ126" i="11"/>
  <c r="AQ352" i="11"/>
  <c r="AQ357" i="11" s="1"/>
  <c r="AQ100" i="11"/>
  <c r="AQ33" i="11" s="1"/>
  <c r="B131" i="15"/>
  <c r="B71" i="15"/>
  <c r="AE126" i="11"/>
  <c r="Q9" i="11"/>
  <c r="Q126" i="11"/>
  <c r="Q100" i="11"/>
  <c r="Q33" i="11" s="1"/>
  <c r="AL10" i="15"/>
  <c r="AL12" i="15" s="1"/>
  <c r="AL9" i="15"/>
  <c r="AD10" i="15"/>
  <c r="AD5" i="15" s="1"/>
  <c r="AD9" i="15"/>
  <c r="V10" i="15"/>
  <c r="V11" i="15" s="1"/>
  <c r="V9" i="15"/>
  <c r="I48" i="15"/>
  <c r="J48" i="15" s="1"/>
  <c r="J58" i="15" s="1"/>
  <c r="J59" i="15" s="1"/>
  <c r="J41" i="15"/>
  <c r="J42" i="15" s="1"/>
  <c r="B88" i="15"/>
  <c r="B103" i="9" s="1"/>
  <c r="I115" i="15"/>
  <c r="I145" i="15"/>
  <c r="R9" i="14"/>
  <c r="O314" i="11"/>
  <c r="O265" i="11" s="1"/>
  <c r="O126" i="11"/>
  <c r="AH315" i="11"/>
  <c r="AH266" i="11" s="1"/>
  <c r="L9" i="14"/>
  <c r="L11" i="14" s="1"/>
  <c r="AA126" i="11"/>
  <c r="AO9" i="11"/>
  <c r="AO100" i="11"/>
  <c r="AO33" i="11" s="1"/>
  <c r="N314" i="11"/>
  <c r="N265" i="11" s="1"/>
  <c r="N126" i="11"/>
  <c r="AH9" i="9"/>
  <c r="AP9" i="9"/>
  <c r="AP12" i="9" s="1"/>
  <c r="T10" i="11"/>
  <c r="T5" i="11" s="1"/>
  <c r="AJ10" i="14"/>
  <c r="AJ5" i="14" s="1"/>
  <c r="AJ9" i="14"/>
  <c r="Z10" i="14"/>
  <c r="Z9" i="14"/>
  <c r="AN10" i="13"/>
  <c r="AN5" i="13" s="1"/>
  <c r="AN9" i="13"/>
  <c r="AN96" i="13" s="1"/>
  <c r="Y9" i="11"/>
  <c r="Y100" i="11"/>
  <c r="Y33" i="11" s="1"/>
  <c r="AL161" i="13"/>
  <c r="AL6" i="13"/>
  <c r="AD161" i="13"/>
  <c r="AD6" i="13"/>
  <c r="V161" i="13"/>
  <c r="V6" i="13"/>
  <c r="N161" i="13"/>
  <c r="N6" i="13"/>
  <c r="W248" i="12"/>
  <c r="AH10" i="14"/>
  <c r="AH5" i="14" s="1"/>
  <c r="AH9" i="14"/>
  <c r="W162" i="12"/>
  <c r="L248" i="12"/>
  <c r="AQ6" i="13"/>
  <c r="W95" i="12"/>
  <c r="AG9" i="11"/>
  <c r="AG126" i="11"/>
  <c r="AP9" i="14"/>
  <c r="AI6" i="13"/>
  <c r="AI161" i="13"/>
  <c r="S6" i="13"/>
  <c r="S161" i="13"/>
  <c r="L352" i="11"/>
  <c r="L359" i="11" s="1"/>
  <c r="AE298" i="11"/>
  <c r="AE300" i="11" s="1"/>
  <c r="O298" i="11"/>
  <c r="O300" i="11" s="1"/>
  <c r="S29" i="13"/>
  <c r="M197" i="10"/>
  <c r="AL29" i="13"/>
  <c r="AD29" i="13"/>
  <c r="V29" i="13"/>
  <c r="N29" i="13"/>
  <c r="AR197" i="10"/>
  <c r="AJ197" i="10"/>
  <c r="AB197" i="10"/>
  <c r="T197" i="10"/>
  <c r="L197" i="10"/>
  <c r="AN197" i="10"/>
  <c r="AF197" i="10"/>
  <c r="X197" i="10"/>
  <c r="P197" i="10"/>
  <c r="AS29" i="13"/>
  <c r="AK29" i="13"/>
  <c r="AC29" i="13"/>
  <c r="U29" i="13"/>
  <c r="M29" i="13"/>
  <c r="AG29" i="13"/>
  <c r="Q29" i="13"/>
  <c r="AK298" i="11"/>
  <c r="AK300" i="11" s="1"/>
  <c r="U298" i="11"/>
  <c r="U300" i="11" s="1"/>
  <c r="AR29" i="13"/>
  <c r="AJ29" i="13"/>
  <c r="AB29" i="13"/>
  <c r="T29" i="13"/>
  <c r="L29" i="13"/>
  <c r="AP197" i="10"/>
  <c r="AH197" i="10"/>
  <c r="Z197" i="10"/>
  <c r="R197" i="10"/>
  <c r="J197" i="10"/>
  <c r="AL197" i="10"/>
  <c r="AD197" i="10"/>
  <c r="V197" i="10"/>
  <c r="N197" i="10"/>
  <c r="AQ29" i="13"/>
  <c r="AA29" i="13"/>
  <c r="K29" i="13"/>
  <c r="AM29" i="13"/>
  <c r="Z298" i="11"/>
  <c r="Z300" i="11" s="1"/>
  <c r="J89" i="15"/>
  <c r="K71" i="15"/>
  <c r="K72" i="15" s="1"/>
  <c r="J143" i="9"/>
  <c r="J144" i="9" s="1"/>
  <c r="AE265" i="11"/>
  <c r="AM265" i="11"/>
  <c r="AM280" i="9"/>
  <c r="AE280" i="9"/>
  <c r="W280" i="9"/>
  <c r="O280" i="9"/>
  <c r="J162" i="12"/>
  <c r="AD10" i="14"/>
  <c r="V10" i="14"/>
  <c r="V9" i="14"/>
  <c r="N10" i="14"/>
  <c r="N9" i="14"/>
  <c r="AP10" i="13"/>
  <c r="AP4" i="13"/>
  <c r="AP9" i="13"/>
  <c r="AH10" i="13"/>
  <c r="AH4" i="13"/>
  <c r="AH9" i="13"/>
  <c r="Z10" i="13"/>
  <c r="Z4" i="13"/>
  <c r="Z9" i="13"/>
  <c r="R10" i="13"/>
  <c r="R4" i="13"/>
  <c r="R9" i="13"/>
  <c r="J10" i="13"/>
  <c r="J4" i="13"/>
  <c r="AK5" i="11"/>
  <c r="AC5" i="11"/>
  <c r="U5" i="11"/>
  <c r="M5" i="11"/>
  <c r="AO5" i="15"/>
  <c r="V5" i="15"/>
  <c r="V12" i="15"/>
  <c r="V15" i="15"/>
  <c r="AM99" i="11"/>
  <c r="W314" i="11"/>
  <c r="AL280" i="9"/>
  <c r="AD280" i="9"/>
  <c r="V280" i="9"/>
  <c r="N280" i="9"/>
  <c r="AS5" i="14"/>
  <c r="U5" i="14"/>
  <c r="M5" i="14"/>
  <c r="AO97" i="13"/>
  <c r="AO5" i="13"/>
  <c r="AO118" i="13"/>
  <c r="AG97" i="13"/>
  <c r="AG5" i="13"/>
  <c r="AG118" i="13"/>
  <c r="Y97" i="13"/>
  <c r="Y5" i="13"/>
  <c r="Y118" i="13"/>
  <c r="AS5" i="11"/>
  <c r="L10" i="15"/>
  <c r="L4" i="15"/>
  <c r="L9" i="15"/>
  <c r="O99" i="11"/>
  <c r="T15" i="14"/>
  <c r="T11" i="14"/>
  <c r="T5" i="14"/>
  <c r="T12" i="14"/>
  <c r="L5" i="14"/>
  <c r="AN118" i="13"/>
  <c r="AN12" i="13"/>
  <c r="X97" i="13"/>
  <c r="X11" i="13"/>
  <c r="X5" i="13"/>
  <c r="X118" i="13"/>
  <c r="X12" i="13"/>
  <c r="P118" i="13"/>
  <c r="AL5" i="15"/>
  <c r="AL15" i="15"/>
  <c r="AL11" i="15"/>
  <c r="T10" i="15"/>
  <c r="T4" i="15"/>
  <c r="T9" i="15"/>
  <c r="K10" i="15"/>
  <c r="K4" i="15"/>
  <c r="K9" i="15"/>
  <c r="O10" i="9"/>
  <c r="O4" i="9"/>
  <c r="O9" i="9"/>
  <c r="N99" i="11"/>
  <c r="AR280" i="9"/>
  <c r="AJ280" i="9"/>
  <c r="AB280" i="9"/>
  <c r="T280" i="9"/>
  <c r="L280" i="9"/>
  <c r="AM117" i="13"/>
  <c r="AM96" i="13"/>
  <c r="O117" i="13"/>
  <c r="O96" i="13"/>
  <c r="AB10" i="15"/>
  <c r="AB4" i="15"/>
  <c r="AB9" i="15"/>
  <c r="S10" i="15"/>
  <c r="S4" i="15"/>
  <c r="S9" i="15"/>
  <c r="J10" i="15"/>
  <c r="J4" i="15"/>
  <c r="J9" i="15"/>
  <c r="AD9" i="9"/>
  <c r="N10" i="9"/>
  <c r="N4" i="9"/>
  <c r="N9" i="9"/>
  <c r="AE99" i="11"/>
  <c r="AL314" i="11"/>
  <c r="AQ280" i="9"/>
  <c r="AI280" i="9"/>
  <c r="AA280" i="9"/>
  <c r="S280" i="9"/>
  <c r="K280" i="9"/>
  <c r="Z5" i="14"/>
  <c r="AJ10" i="15"/>
  <c r="AJ4" i="15"/>
  <c r="AJ9" i="15"/>
  <c r="AA10" i="15"/>
  <c r="AA4" i="15"/>
  <c r="AA9" i="15"/>
  <c r="R10" i="15"/>
  <c r="R4" i="15"/>
  <c r="R9" i="15"/>
  <c r="V4" i="14"/>
  <c r="AP280" i="9"/>
  <c r="AH280" i="9"/>
  <c r="Z280" i="9"/>
  <c r="R280" i="9"/>
  <c r="J280" i="9"/>
  <c r="AS96" i="13"/>
  <c r="AS117" i="13"/>
  <c r="AC96" i="13"/>
  <c r="AC117" i="13"/>
  <c r="U96" i="13"/>
  <c r="U117" i="13"/>
  <c r="AR10" i="15"/>
  <c r="AR4" i="15"/>
  <c r="AR9" i="15"/>
  <c r="AI10" i="15"/>
  <c r="AI4" i="15"/>
  <c r="AI9" i="15"/>
  <c r="Z10" i="15"/>
  <c r="Z4" i="15"/>
  <c r="Z9" i="15"/>
  <c r="Q5" i="15"/>
  <c r="N4" i="14"/>
  <c r="AO280" i="9"/>
  <c r="AG280" i="9"/>
  <c r="Y280" i="9"/>
  <c r="Q280" i="9"/>
  <c r="AR10" i="12"/>
  <c r="AR9" i="12"/>
  <c r="AR162" i="12"/>
  <c r="AR33" i="12"/>
  <c r="L9" i="12"/>
  <c r="L162" i="12"/>
  <c r="AN10" i="14"/>
  <c r="AN4" i="14"/>
  <c r="AN9" i="14"/>
  <c r="AF10" i="14"/>
  <c r="AF4" i="14"/>
  <c r="AF9" i="14"/>
  <c r="AJ10" i="13"/>
  <c r="AJ4" i="13"/>
  <c r="AJ9" i="13"/>
  <c r="L10" i="13"/>
  <c r="L4" i="13"/>
  <c r="L9" i="13"/>
  <c r="AM10" i="11"/>
  <c r="AM4" i="11"/>
  <c r="AM9" i="11"/>
  <c r="AM352" i="11"/>
  <c r="AM315" i="11"/>
  <c r="AM100" i="11"/>
  <c r="AM33" i="11" s="1"/>
  <c r="AE10" i="11"/>
  <c r="AE4" i="11"/>
  <c r="AE9" i="11"/>
  <c r="AE352" i="11"/>
  <c r="AE315" i="11"/>
  <c r="AE100" i="11"/>
  <c r="AE33" i="11" s="1"/>
  <c r="W10" i="11"/>
  <c r="W4" i="11"/>
  <c r="W9" i="11"/>
  <c r="W352" i="11"/>
  <c r="W315" i="11"/>
  <c r="W100" i="11"/>
  <c r="W33" i="11" s="1"/>
  <c r="O10" i="11"/>
  <c r="O4" i="11"/>
  <c r="O9" i="11"/>
  <c r="O352" i="11"/>
  <c r="O315" i="11"/>
  <c r="O100" i="11"/>
  <c r="O33" i="11" s="1"/>
  <c r="AQ10" i="15"/>
  <c r="AQ4" i="15"/>
  <c r="AQ9" i="15"/>
  <c r="AH10" i="15"/>
  <c r="AH4" i="15"/>
  <c r="AH9" i="15"/>
  <c r="Y5" i="15"/>
  <c r="W99" i="11"/>
  <c r="AI4" i="12"/>
  <c r="AI9" i="12"/>
  <c r="AE4" i="14"/>
  <c r="AL315" i="11"/>
  <c r="AD315" i="11"/>
  <c r="N10" i="11"/>
  <c r="N4" i="11"/>
  <c r="N9" i="11"/>
  <c r="N352" i="11"/>
  <c r="N315" i="11"/>
  <c r="N100" i="11"/>
  <c r="N33" i="11" s="1"/>
  <c r="AP10" i="15"/>
  <c r="AP4" i="15"/>
  <c r="AP9" i="15"/>
  <c r="AG5" i="15"/>
  <c r="AP5" i="9"/>
  <c r="R5" i="9"/>
  <c r="J5" i="9"/>
  <c r="AR4" i="12"/>
  <c r="AN280" i="9"/>
  <c r="AF280" i="9"/>
  <c r="X280" i="9"/>
  <c r="P280" i="9"/>
  <c r="AR99" i="11"/>
  <c r="T99" i="11"/>
  <c r="L99" i="11"/>
  <c r="AR314" i="11"/>
  <c r="L314" i="11"/>
  <c r="AJ4" i="14"/>
  <c r="T4" i="14"/>
  <c r="L4" i="14"/>
  <c r="AN4" i="13"/>
  <c r="AF4" i="13"/>
  <c r="X4" i="13"/>
  <c r="AR4" i="11"/>
  <c r="T4" i="11"/>
  <c r="L4" i="11"/>
  <c r="AP6" i="11"/>
  <c r="AQ99" i="11"/>
  <c r="K99" i="11"/>
  <c r="AQ314" i="11"/>
  <c r="K314" i="11"/>
  <c r="W4" i="12"/>
  <c r="O4" i="12"/>
  <c r="W10" i="12"/>
  <c r="O10" i="12"/>
  <c r="AQ4" i="14"/>
  <c r="AI4" i="14"/>
  <c r="AA4" i="14"/>
  <c r="AI10" i="14"/>
  <c r="AA10" i="14"/>
  <c r="AM4" i="13"/>
  <c r="O4" i="13"/>
  <c r="AM10" i="13"/>
  <c r="O10" i="13"/>
  <c r="AQ4" i="11"/>
  <c r="K4" i="11"/>
  <c r="AQ10" i="11"/>
  <c r="K10" i="11"/>
  <c r="AM4" i="15"/>
  <c r="AE4" i="15"/>
  <c r="W4" i="15"/>
  <c r="O4" i="15"/>
  <c r="AM10" i="15"/>
  <c r="AE10" i="15"/>
  <c r="W10" i="15"/>
  <c r="O10" i="15"/>
  <c r="AQ4" i="9"/>
  <c r="AA4" i="9"/>
  <c r="AA10" i="9"/>
  <c r="S10" i="9"/>
  <c r="AN6" i="15"/>
  <c r="AF6" i="15"/>
  <c r="X6" i="15"/>
  <c r="P6" i="15"/>
  <c r="Z99" i="11"/>
  <c r="Z314" i="11"/>
  <c r="R314" i="11"/>
  <c r="N4" i="12"/>
  <c r="AP4" i="14"/>
  <c r="AH4" i="14"/>
  <c r="Z4" i="14"/>
  <c r="R4" i="14"/>
  <c r="AL4" i="15"/>
  <c r="AD4" i="15"/>
  <c r="V4" i="15"/>
  <c r="N4" i="15"/>
  <c r="AP4" i="9"/>
  <c r="R4" i="9"/>
  <c r="J4" i="9"/>
  <c r="J60" i="12"/>
  <c r="J61" i="12" s="1"/>
  <c r="J275" i="12"/>
  <c r="J276" i="12" s="1"/>
  <c r="AD256" i="12"/>
  <c r="AL256" i="12"/>
  <c r="Q256" i="12"/>
  <c r="T256" i="12"/>
  <c r="W256" i="12"/>
  <c r="AG256" i="12"/>
  <c r="AR256" i="12"/>
  <c r="Y256" i="12"/>
  <c r="J44" i="13"/>
  <c r="J68" i="9" s="1"/>
  <c r="J37" i="13"/>
  <c r="J139" i="9" s="1"/>
  <c r="AN6" i="11"/>
  <c r="AF6" i="11"/>
  <c r="X6" i="11"/>
  <c r="P6" i="11"/>
  <c r="AS280" i="9"/>
  <c r="AK280" i="9"/>
  <c r="AC280" i="9"/>
  <c r="U280" i="9"/>
  <c r="M280" i="9"/>
  <c r="Q33" i="12"/>
  <c r="Q162" i="12"/>
  <c r="AO99" i="11"/>
  <c r="AG99" i="11"/>
  <c r="Y99" i="11"/>
  <c r="Q99" i="11"/>
  <c r="AS100" i="11"/>
  <c r="AS33" i="11" s="1"/>
  <c r="AK100" i="11"/>
  <c r="AK33" i="11" s="1"/>
  <c r="AC100" i="11"/>
  <c r="AC33" i="11" s="1"/>
  <c r="U100" i="11"/>
  <c r="U33" i="11" s="1"/>
  <c r="M100" i="11"/>
  <c r="M33" i="11" s="1"/>
  <c r="AO314" i="11"/>
  <c r="AG314" i="11"/>
  <c r="Y314" i="11"/>
  <c r="Q314" i="11"/>
  <c r="AS315" i="11"/>
  <c r="AK315" i="11"/>
  <c r="AC315" i="11"/>
  <c r="U315" i="11"/>
  <c r="M315" i="11"/>
  <c r="AS352" i="11"/>
  <c r="AK352" i="11"/>
  <c r="AC352" i="11"/>
  <c r="U352" i="11"/>
  <c r="M352" i="11"/>
  <c r="Q9" i="12"/>
  <c r="AO4" i="14"/>
  <c r="AG4" i="14"/>
  <c r="Y4" i="14"/>
  <c r="AS9" i="14"/>
  <c r="AS15" i="14" s="1"/>
  <c r="AC9" i="14"/>
  <c r="U9" i="14"/>
  <c r="U15" i="14" s="1"/>
  <c r="M9" i="14"/>
  <c r="M15" i="14" s="1"/>
  <c r="AO10" i="14"/>
  <c r="AG10" i="14"/>
  <c r="Y10" i="14"/>
  <c r="AS4" i="13"/>
  <c r="AC4" i="13"/>
  <c r="U4" i="13"/>
  <c r="AO9" i="13"/>
  <c r="AO11" i="13" s="1"/>
  <c r="AG9" i="13"/>
  <c r="AG12" i="13" s="1"/>
  <c r="Y9" i="13"/>
  <c r="Y15" i="13" s="1"/>
  <c r="AS10" i="13"/>
  <c r="AC10" i="13"/>
  <c r="U10" i="13"/>
  <c r="AO4" i="11"/>
  <c r="AG4" i="11"/>
  <c r="Y4" i="11"/>
  <c r="Q4" i="11"/>
  <c r="AS9" i="11"/>
  <c r="AS15" i="11" s="1"/>
  <c r="AK9" i="11"/>
  <c r="AK12" i="11" s="1"/>
  <c r="AC9" i="11"/>
  <c r="AC15" i="11" s="1"/>
  <c r="U9" i="11"/>
  <c r="U12" i="11" s="1"/>
  <c r="M9" i="11"/>
  <c r="M15" i="11" s="1"/>
  <c r="AO10" i="11"/>
  <c r="AG10" i="11"/>
  <c r="Y10" i="11"/>
  <c r="Q10" i="11"/>
  <c r="AS4" i="15"/>
  <c r="AK4" i="15"/>
  <c r="AC4" i="15"/>
  <c r="U4" i="15"/>
  <c r="M4" i="15"/>
  <c r="AO9" i="15"/>
  <c r="AO12" i="15" s="1"/>
  <c r="AG9" i="15"/>
  <c r="AG15" i="15" s="1"/>
  <c r="Y9" i="15"/>
  <c r="Y15" i="15" s="1"/>
  <c r="Q9" i="15"/>
  <c r="Q11" i="15" s="1"/>
  <c r="AS10" i="15"/>
  <c r="AK10" i="15"/>
  <c r="AC10" i="15"/>
  <c r="U10" i="15"/>
  <c r="M10" i="15"/>
  <c r="AG4" i="9"/>
  <c r="Y4" i="9"/>
  <c r="AK9" i="9"/>
  <c r="AK12" i="9" s="1"/>
  <c r="AF96" i="13"/>
  <c r="X117" i="13"/>
  <c r="X96" i="13"/>
  <c r="AQ353" i="11"/>
  <c r="AQ360" i="11"/>
  <c r="AQ354" i="11"/>
  <c r="AQ356" i="11"/>
  <c r="AA277" i="11"/>
  <c r="AA353" i="11"/>
  <c r="AA357" i="11"/>
  <c r="AA356" i="11"/>
  <c r="J88" i="13"/>
  <c r="J156" i="13"/>
  <c r="AS99" i="11"/>
  <c r="AK99" i="11"/>
  <c r="AC99" i="11"/>
  <c r="U99" i="11"/>
  <c r="M99" i="11"/>
  <c r="AS314" i="11"/>
  <c r="AK314" i="11"/>
  <c r="AC314" i="11"/>
  <c r="U314" i="11"/>
  <c r="M314" i="11"/>
  <c r="AO315" i="11"/>
  <c r="AG315" i="11"/>
  <c r="Y315" i="11"/>
  <c r="Q315" i="11"/>
  <c r="AO352" i="11"/>
  <c r="AG352" i="11"/>
  <c r="Y352" i="11"/>
  <c r="Q352" i="11"/>
  <c r="Q4" i="12"/>
  <c r="AS4" i="14"/>
  <c r="AC4" i="14"/>
  <c r="U4" i="14"/>
  <c r="M4" i="14"/>
  <c r="AO4" i="13"/>
  <c r="AG4" i="13"/>
  <c r="Y4" i="13"/>
  <c r="AS4" i="11"/>
  <c r="AK4" i="11"/>
  <c r="AC4" i="11"/>
  <c r="U4" i="11"/>
  <c r="M4" i="11"/>
  <c r="AO4" i="15"/>
  <c r="AG4" i="15"/>
  <c r="Y4" i="15"/>
  <c r="Q4" i="15"/>
  <c r="J71" i="15"/>
  <c r="J72" i="15" s="1"/>
  <c r="J131" i="15"/>
  <c r="J132" i="15" s="1"/>
  <c r="AM125" i="12"/>
  <c r="AE125" i="12"/>
  <c r="W125" i="12"/>
  <c r="O125" i="12"/>
  <c r="AL125" i="12"/>
  <c r="AM63" i="12"/>
  <c r="AM64" i="12" s="1"/>
  <c r="AS125" i="12"/>
  <c r="AK125" i="12"/>
  <c r="AC125" i="12"/>
  <c r="U125" i="12"/>
  <c r="M125" i="12"/>
  <c r="AS63" i="12"/>
  <c r="AS64" i="12" s="1"/>
  <c r="AK63" i="12"/>
  <c r="AK64" i="12" s="1"/>
  <c r="AA125" i="12"/>
  <c r="AH125" i="12"/>
  <c r="Z125" i="12"/>
  <c r="R125" i="12"/>
  <c r="AQ63" i="12"/>
  <c r="AQ64" i="12" s="1"/>
  <c r="AI63" i="12"/>
  <c r="AI64" i="12" s="1"/>
  <c r="AA63" i="12"/>
  <c r="AA64" i="12" s="1"/>
  <c r="S63" i="12"/>
  <c r="S64" i="12" s="1"/>
  <c r="K63" i="12"/>
  <c r="K64" i="12" s="1"/>
  <c r="AO125" i="12"/>
  <c r="AG125" i="12"/>
  <c r="Y125" i="12"/>
  <c r="Q125" i="12"/>
  <c r="AE63" i="12"/>
  <c r="AE64" i="12" s="1"/>
  <c r="W63" i="12"/>
  <c r="W64" i="12" s="1"/>
  <c r="O63" i="12"/>
  <c r="O64" i="12" s="1"/>
  <c r="AQ125" i="12"/>
  <c r="V125" i="12"/>
  <c r="K125" i="12"/>
  <c r="AL63" i="12"/>
  <c r="AL64" i="12" s="1"/>
  <c r="AD63" i="12"/>
  <c r="AD64" i="12" s="1"/>
  <c r="V63" i="12"/>
  <c r="V64" i="12" s="1"/>
  <c r="N63" i="12"/>
  <c r="N64" i="12" s="1"/>
  <c r="AR125" i="12"/>
  <c r="AJ125" i="12"/>
  <c r="AB125" i="12"/>
  <c r="T125" i="12"/>
  <c r="L125" i="12"/>
  <c r="AP125" i="12"/>
  <c r="J125" i="12"/>
  <c r="AC63" i="12"/>
  <c r="AC64" i="12" s="1"/>
  <c r="U63" i="12"/>
  <c r="U64" i="12" s="1"/>
  <c r="M63" i="12"/>
  <c r="M64" i="12" s="1"/>
  <c r="AD125" i="12"/>
  <c r="S125" i="12"/>
  <c r="AR63" i="12"/>
  <c r="AR64" i="12" s="1"/>
  <c r="AJ63" i="12"/>
  <c r="AJ64" i="12" s="1"/>
  <c r="AB63" i="12"/>
  <c r="AB64" i="12" s="1"/>
  <c r="T63" i="12"/>
  <c r="T64" i="12" s="1"/>
  <c r="L63" i="12"/>
  <c r="L64" i="12" s="1"/>
  <c r="AN125" i="12"/>
  <c r="AF125" i="12"/>
  <c r="X125" i="12"/>
  <c r="P125" i="12"/>
  <c r="AQ278" i="12"/>
  <c r="AQ279" i="12" s="1"/>
  <c r="AF278" i="12"/>
  <c r="AF279" i="12" s="1"/>
  <c r="U278" i="12"/>
  <c r="U279" i="12" s="1"/>
  <c r="K278" i="12"/>
  <c r="K279" i="12" s="1"/>
  <c r="AO278" i="12"/>
  <c r="AO279" i="12" s="1"/>
  <c r="AE278" i="12"/>
  <c r="AE279" i="12" s="1"/>
  <c r="T278" i="12"/>
  <c r="T279" i="12" s="1"/>
  <c r="AN278" i="12"/>
  <c r="AN279" i="12" s="1"/>
  <c r="AC278" i="12"/>
  <c r="AC279" i="12" s="1"/>
  <c r="S278" i="12"/>
  <c r="S279" i="12" s="1"/>
  <c r="AM278" i="12"/>
  <c r="AM279" i="12" s="1"/>
  <c r="AB278" i="12"/>
  <c r="AB279" i="12" s="1"/>
  <c r="Q278" i="12"/>
  <c r="Q279" i="12" s="1"/>
  <c r="AK278" i="12"/>
  <c r="AK279" i="12" s="1"/>
  <c r="AA278" i="12"/>
  <c r="AA279" i="12" s="1"/>
  <c r="P278" i="12"/>
  <c r="P279" i="12" s="1"/>
  <c r="AJ278" i="12"/>
  <c r="AJ279" i="12" s="1"/>
  <c r="Y278" i="12"/>
  <c r="Y279" i="12" s="1"/>
  <c r="O278" i="12"/>
  <c r="O279" i="12" s="1"/>
  <c r="AI278" i="12"/>
  <c r="AI279" i="12" s="1"/>
  <c r="Y29" i="13"/>
  <c r="AL278" i="12"/>
  <c r="AL279" i="12" s="1"/>
  <c r="AD278" i="12"/>
  <c r="AD279" i="12" s="1"/>
  <c r="V278" i="12"/>
  <c r="V279" i="12" s="1"/>
  <c r="N278" i="12"/>
  <c r="N279" i="12" s="1"/>
  <c r="AL298" i="11"/>
  <c r="AL300" i="11" s="1"/>
  <c r="AD298" i="11"/>
  <c r="AD300" i="11" s="1"/>
  <c r="V298" i="11"/>
  <c r="V300" i="11" s="1"/>
  <c r="N298" i="11"/>
  <c r="N300" i="11" s="1"/>
  <c r="AS298" i="11"/>
  <c r="AS300" i="11" s="1"/>
  <c r="AC298" i="11"/>
  <c r="AC300" i="11" s="1"/>
  <c r="M298" i="11"/>
  <c r="M300" i="11" s="1"/>
  <c r="AQ298" i="11"/>
  <c r="AQ300" i="11" s="1"/>
  <c r="AI298" i="11"/>
  <c r="AI300" i="11" s="1"/>
  <c r="AA298" i="11"/>
  <c r="AA300" i="11" s="1"/>
  <c r="S298" i="11"/>
  <c r="S300" i="11" s="1"/>
  <c r="K298" i="11"/>
  <c r="K300" i="11" s="1"/>
  <c r="AH298" i="11"/>
  <c r="AH300" i="11" s="1"/>
  <c r="R298" i="11"/>
  <c r="R300" i="11" s="1"/>
  <c r="AO298" i="11"/>
  <c r="AO300" i="11" s="1"/>
  <c r="AG298" i="11"/>
  <c r="AG300" i="11" s="1"/>
  <c r="Y298" i="11"/>
  <c r="Y300" i="11" s="1"/>
  <c r="Q298" i="11"/>
  <c r="Q300" i="11" s="1"/>
  <c r="AM298" i="11"/>
  <c r="AM300" i="11" s="1"/>
  <c r="W298" i="11"/>
  <c r="W300" i="11" s="1"/>
  <c r="AR298" i="11"/>
  <c r="AR300" i="11" s="1"/>
  <c r="AJ298" i="11"/>
  <c r="AJ300" i="11" s="1"/>
  <c r="AB298" i="11"/>
  <c r="AB300" i="11" s="1"/>
  <c r="T298" i="11"/>
  <c r="T300" i="11" s="1"/>
  <c r="L298" i="11"/>
  <c r="L300" i="11" s="1"/>
  <c r="J49" i="15"/>
  <c r="K48" i="15"/>
  <c r="AN298" i="11"/>
  <c r="AN300" i="11" s="1"/>
  <c r="AF298" i="11"/>
  <c r="AF300" i="11" s="1"/>
  <c r="X298" i="11"/>
  <c r="X300" i="11" s="1"/>
  <c r="P298" i="11"/>
  <c r="P300" i="11" s="1"/>
  <c r="I79" i="15"/>
  <c r="B74" i="15"/>
  <c r="B134" i="15"/>
  <c r="I49" i="15"/>
  <c r="B41" i="15"/>
  <c r="B118" i="15"/>
  <c r="B134" i="9" s="1"/>
  <c r="B104" i="15"/>
  <c r="I139" i="15"/>
  <c r="B44" i="15"/>
  <c r="B58" i="15"/>
  <c r="B94" i="9" s="1"/>
  <c r="B168" i="15"/>
  <c r="B158" i="15" s="1"/>
  <c r="B178" i="15"/>
  <c r="B154" i="9" s="1"/>
  <c r="B164" i="15"/>
  <c r="B108" i="15"/>
  <c r="B98" i="15" s="1"/>
  <c r="I175" i="15"/>
  <c r="I22" i="13"/>
  <c r="J26" i="13" s="1"/>
  <c r="B22" i="13"/>
  <c r="C123" i="9" s="1"/>
  <c r="J44" i="16"/>
  <c r="J69" i="16"/>
  <c r="J58" i="16"/>
  <c r="J49" i="16"/>
  <c r="F257" i="12"/>
  <c r="B252" i="12"/>
  <c r="D139" i="8" s="1"/>
  <c r="J35" i="16"/>
  <c r="J24" i="16"/>
  <c r="J15" i="16"/>
  <c r="I195" i="11"/>
  <c r="B99" i="12"/>
  <c r="J12" i="16"/>
  <c r="F42" i="12"/>
  <c r="B37" i="12"/>
  <c r="B72" i="12" s="1"/>
  <c r="B88" i="9" s="1"/>
  <c r="J9" i="16"/>
  <c r="AM34" i="10" l="1"/>
  <c r="AI72" i="25"/>
  <c r="AE89" i="10"/>
  <c r="AA89" i="10"/>
  <c r="AR89" i="10"/>
  <c r="AI89" i="10"/>
  <c r="AQ89" i="10"/>
  <c r="K89" i="10"/>
  <c r="AJ89" i="10"/>
  <c r="T89" i="10"/>
  <c r="O89" i="10"/>
  <c r="AM89" i="10"/>
  <c r="S89" i="10"/>
  <c r="W89" i="10"/>
  <c r="AL33" i="12"/>
  <c r="AL4" i="12"/>
  <c r="AQ13" i="12"/>
  <c r="AQ14" i="12" s="1"/>
  <c r="AQ4" i="12"/>
  <c r="AF13" i="9"/>
  <c r="AF14" i="9" s="1"/>
  <c r="AF4" i="9"/>
  <c r="U13" i="12"/>
  <c r="U14" i="12" s="1"/>
  <c r="U10" i="12"/>
  <c r="U4" i="12"/>
  <c r="AM13" i="12"/>
  <c r="AM14" i="12" s="1"/>
  <c r="AM10" i="12"/>
  <c r="AM5" i="12" s="1"/>
  <c r="U10" i="9"/>
  <c r="U5" i="9" s="1"/>
  <c r="U9" i="9"/>
  <c r="J133" i="11"/>
  <c r="K10" i="9"/>
  <c r="Q10" i="9"/>
  <c r="Q5" i="9" s="1"/>
  <c r="S99" i="11"/>
  <c r="S32" i="11" s="1"/>
  <c r="Y10" i="9"/>
  <c r="Y11" i="9" s="1"/>
  <c r="AA99" i="11"/>
  <c r="L10" i="12"/>
  <c r="AD4" i="9"/>
  <c r="AE9" i="9"/>
  <c r="AE12" i="9" s="1"/>
  <c r="AH10" i="9"/>
  <c r="AH5" i="9" s="1"/>
  <c r="AA315" i="11"/>
  <c r="AA266" i="11" s="1"/>
  <c r="AA354" i="11"/>
  <c r="AO10" i="9"/>
  <c r="AO4" i="9"/>
  <c r="AC10" i="12"/>
  <c r="AC5" i="12" s="1"/>
  <c r="P256" i="12"/>
  <c r="AO256" i="12"/>
  <c r="R256" i="12"/>
  <c r="R4" i="11"/>
  <c r="AQ10" i="9"/>
  <c r="T314" i="11"/>
  <c r="T265" i="11" s="1"/>
  <c r="AE4" i="9"/>
  <c r="J10" i="12"/>
  <c r="J5" i="12" s="1"/>
  <c r="AA9" i="11"/>
  <c r="O162" i="12"/>
  <c r="O248" i="12"/>
  <c r="Z9" i="11"/>
  <c r="L13" i="12"/>
  <c r="L14" i="12" s="1"/>
  <c r="O13" i="9"/>
  <c r="O14" i="9" s="1"/>
  <c r="Q4" i="9"/>
  <c r="AC4" i="12"/>
  <c r="AG4" i="12"/>
  <c r="L4" i="12"/>
  <c r="AO13" i="9"/>
  <c r="AO14" i="9" s="1"/>
  <c r="AA355" i="11"/>
  <c r="AA278" i="11" s="1"/>
  <c r="AG33" i="12"/>
  <c r="J9" i="9"/>
  <c r="J12" i="9" s="1"/>
  <c r="AR15" i="11"/>
  <c r="AH13" i="9"/>
  <c r="AH14" i="9" s="1"/>
  <c r="AQ13" i="9"/>
  <c r="AQ14" i="9" s="1"/>
  <c r="AA360" i="11"/>
  <c r="AJ256" i="12"/>
  <c r="AE256" i="12"/>
  <c r="J256" i="12"/>
  <c r="Z4" i="11"/>
  <c r="K4" i="9"/>
  <c r="S10" i="11"/>
  <c r="S11" i="11" s="1"/>
  <c r="L33" i="12"/>
  <c r="J4" i="12"/>
  <c r="T100" i="11"/>
  <c r="T33" i="11" s="1"/>
  <c r="AA358" i="11"/>
  <c r="Z315" i="11"/>
  <c r="Z266" i="11" s="1"/>
  <c r="O13" i="12"/>
  <c r="O14" i="12" s="1"/>
  <c r="AD13" i="9"/>
  <c r="AD14" i="9" s="1"/>
  <c r="AE13" i="9"/>
  <c r="AE14" i="9" s="1"/>
  <c r="Z4" i="9"/>
  <c r="S13" i="9"/>
  <c r="S14" i="9" s="1"/>
  <c r="AG10" i="9"/>
  <c r="AG12" i="9" s="1"/>
  <c r="S4" i="9"/>
  <c r="Z9" i="9"/>
  <c r="AG13" i="9"/>
  <c r="AG14" i="9" s="1"/>
  <c r="Z13" i="9"/>
  <c r="Z14" i="9" s="1"/>
  <c r="AJ9" i="9"/>
  <c r="AJ10" i="9"/>
  <c r="AJ5" i="9" s="1"/>
  <c r="AJ4" i="9"/>
  <c r="P4" i="9"/>
  <c r="AC15" i="14"/>
  <c r="AP12" i="14"/>
  <c r="AE9" i="13"/>
  <c r="AE4" i="13"/>
  <c r="AE10" i="13"/>
  <c r="AE11" i="13" s="1"/>
  <c r="AK9" i="13"/>
  <c r="AK4" i="13"/>
  <c r="AK10" i="13"/>
  <c r="AK118" i="13" s="1"/>
  <c r="AR13" i="13"/>
  <c r="AR14" i="13" s="1"/>
  <c r="AR4" i="13"/>
  <c r="AR9" i="13"/>
  <c r="AR10" i="13"/>
  <c r="AR118" i="13" s="1"/>
  <c r="Q13" i="13"/>
  <c r="Q14" i="13" s="1"/>
  <c r="W9" i="13"/>
  <c r="W4" i="13"/>
  <c r="W10" i="13"/>
  <c r="W11" i="13" s="1"/>
  <c r="Q7" i="13"/>
  <c r="J70" i="13"/>
  <c r="J63" i="13"/>
  <c r="J9" i="13"/>
  <c r="J12" i="13" s="1"/>
  <c r="K41" i="15"/>
  <c r="K42" i="15" s="1"/>
  <c r="U13" i="13"/>
  <c r="U14" i="13" s="1"/>
  <c r="AF10" i="9"/>
  <c r="J149" i="15"/>
  <c r="AH13" i="13"/>
  <c r="AH14" i="13" s="1"/>
  <c r="AB95" i="12"/>
  <c r="AB4" i="12"/>
  <c r="AB33" i="12"/>
  <c r="AB162" i="12"/>
  <c r="T13" i="12"/>
  <c r="T14" i="12" s="1"/>
  <c r="T4" i="12"/>
  <c r="T9" i="12"/>
  <c r="T33" i="12"/>
  <c r="AO10" i="12"/>
  <c r="AO5" i="12" s="1"/>
  <c r="AO248" i="12"/>
  <c r="R10" i="11"/>
  <c r="R5" i="11" s="1"/>
  <c r="AG9" i="12"/>
  <c r="AG15" i="12" s="1"/>
  <c r="O256" i="12"/>
  <c r="L256" i="12"/>
  <c r="AN256" i="12"/>
  <c r="V256" i="12"/>
  <c r="R99" i="11"/>
  <c r="AA10" i="11"/>
  <c r="AM4" i="12"/>
  <c r="S9" i="12"/>
  <c r="S12" i="12" s="1"/>
  <c r="N9" i="12"/>
  <c r="N13" i="12"/>
  <c r="N14" i="12" s="1"/>
  <c r="AS256" i="12"/>
  <c r="AQ256" i="12"/>
  <c r="AC256" i="12"/>
  <c r="N256" i="12"/>
  <c r="S4" i="12"/>
  <c r="AM9" i="9"/>
  <c r="T10" i="9"/>
  <c r="N10" i="12"/>
  <c r="N5" i="12" s="1"/>
  <c r="AI256" i="12"/>
  <c r="AF256" i="12"/>
  <c r="S256" i="12"/>
  <c r="AP256" i="12"/>
  <c r="S314" i="11"/>
  <c r="T4" i="9"/>
  <c r="S10" i="12"/>
  <c r="AD99" i="11"/>
  <c r="AM4" i="9"/>
  <c r="R315" i="11"/>
  <c r="R266" i="11" s="1"/>
  <c r="K356" i="11"/>
  <c r="AG162" i="12"/>
  <c r="AK256" i="12"/>
  <c r="X256" i="12"/>
  <c r="U256" i="12"/>
  <c r="AM256" i="12"/>
  <c r="AH256" i="12"/>
  <c r="S4" i="11"/>
  <c r="AA314" i="11"/>
  <c r="AM10" i="9"/>
  <c r="AM5" i="9" s="1"/>
  <c r="S162" i="12"/>
  <c r="R126" i="11"/>
  <c r="AA256" i="12"/>
  <c r="M256" i="12"/>
  <c r="K256" i="12"/>
  <c r="AB256" i="12"/>
  <c r="AA4" i="11"/>
  <c r="S9" i="11"/>
  <c r="AA100" i="11"/>
  <c r="AA33" i="11" s="1"/>
  <c r="R9" i="11"/>
  <c r="M13" i="12"/>
  <c r="M14" i="12" s="1"/>
  <c r="M9" i="12"/>
  <c r="M10" i="12"/>
  <c r="M11" i="12" s="1"/>
  <c r="M4" i="12"/>
  <c r="AN10" i="12"/>
  <c r="AN5" i="12" s="1"/>
  <c r="AN162" i="12"/>
  <c r="AO9" i="12"/>
  <c r="AO33" i="12"/>
  <c r="T9" i="9"/>
  <c r="T12" i="9" s="1"/>
  <c r="R352" i="11"/>
  <c r="R357" i="11" s="1"/>
  <c r="AO4" i="12"/>
  <c r="AJ126" i="11"/>
  <c r="AC9" i="9"/>
  <c r="AC15" i="9" s="1"/>
  <c r="AA9" i="12"/>
  <c r="AO95" i="12"/>
  <c r="AO162" i="12"/>
  <c r="V315" i="11"/>
  <c r="AA4" i="12"/>
  <c r="R100" i="11"/>
  <c r="R33" i="11" s="1"/>
  <c r="AC4" i="9"/>
  <c r="AA10" i="12"/>
  <c r="AA15" i="12" s="1"/>
  <c r="M248" i="12"/>
  <c r="Z95" i="12"/>
  <c r="Z100" i="11"/>
  <c r="Z33" i="11" s="1"/>
  <c r="P205" i="10"/>
  <c r="P206" i="10" s="1"/>
  <c r="P207" i="10" s="1"/>
  <c r="P208" i="10" s="1"/>
  <c r="K13" i="12"/>
  <c r="K14" i="12" s="1"/>
  <c r="K10" i="12"/>
  <c r="K5" i="12" s="1"/>
  <c r="AD13" i="12"/>
  <c r="AD14" i="12" s="1"/>
  <c r="AD10" i="12"/>
  <c r="AD5" i="12" s="1"/>
  <c r="AD162" i="12"/>
  <c r="AD4" i="12"/>
  <c r="X13" i="12"/>
  <c r="X14" i="12" s="1"/>
  <c r="X4" i="12"/>
  <c r="AK10" i="12"/>
  <c r="AK5" i="12" s="1"/>
  <c r="V4" i="9"/>
  <c r="AL99" i="11"/>
  <c r="AJ10" i="11"/>
  <c r="AJ5" i="11" s="1"/>
  <c r="AJ314" i="11"/>
  <c r="AJ265" i="11" s="1"/>
  <c r="AL100" i="11"/>
  <c r="AL33" i="11" s="1"/>
  <c r="AQ9" i="12"/>
  <c r="V10" i="9"/>
  <c r="AL352" i="11"/>
  <c r="AL355" i="11" s="1"/>
  <c r="AL278" i="11" s="1"/>
  <c r="Q248" i="12"/>
  <c r="AL9" i="11"/>
  <c r="AJ99" i="11"/>
  <c r="AJ32" i="11" s="1"/>
  <c r="AL4" i="11"/>
  <c r="R162" i="12"/>
  <c r="AJ4" i="11"/>
  <c r="AL10" i="11"/>
  <c r="AL5" i="11" s="1"/>
  <c r="AQ95" i="12"/>
  <c r="AJ9" i="11"/>
  <c r="AJ12" i="11" s="1"/>
  <c r="AK162" i="12"/>
  <c r="AK4" i="12"/>
  <c r="V9" i="9"/>
  <c r="AJ100" i="11"/>
  <c r="AJ33" i="11" s="1"/>
  <c r="AK9" i="12"/>
  <c r="P13" i="14"/>
  <c r="P14" i="14" s="1"/>
  <c r="P10" i="14"/>
  <c r="P5" i="14" s="1"/>
  <c r="P4" i="14"/>
  <c r="P9" i="14"/>
  <c r="R15" i="14"/>
  <c r="R12" i="14"/>
  <c r="R5" i="14"/>
  <c r="R11" i="14"/>
  <c r="AB13" i="14"/>
  <c r="AB14" i="14" s="1"/>
  <c r="AB10" i="14"/>
  <c r="AB12" i="14" s="1"/>
  <c r="AB9" i="14"/>
  <c r="AB4" i="14"/>
  <c r="S9" i="14"/>
  <c r="S4" i="14"/>
  <c r="S10" i="14"/>
  <c r="AR13" i="14"/>
  <c r="AR14" i="14" s="1"/>
  <c r="AR4" i="14"/>
  <c r="AR10" i="14"/>
  <c r="AR9" i="14"/>
  <c r="AD4" i="14"/>
  <c r="J4" i="14"/>
  <c r="K10" i="14"/>
  <c r="AE9" i="14"/>
  <c r="J9" i="14"/>
  <c r="J11" i="14" s="1"/>
  <c r="Q10" i="14"/>
  <c r="Q12" i="14" s="1"/>
  <c r="Q4" i="14"/>
  <c r="AE10" i="14"/>
  <c r="J15" i="14"/>
  <c r="J12" i="14"/>
  <c r="AQ10" i="14"/>
  <c r="AD9" i="14"/>
  <c r="K64" i="14"/>
  <c r="AR65" i="14" s="1"/>
  <c r="L64" i="14"/>
  <c r="AQ65" i="14" s="1"/>
  <c r="K4" i="14"/>
  <c r="J13" i="14"/>
  <c r="J14" i="14" s="1"/>
  <c r="L12" i="14"/>
  <c r="AS65" i="14"/>
  <c r="K55" i="14"/>
  <c r="L55" i="14" s="1"/>
  <c r="S63" i="14"/>
  <c r="T63" i="14" s="1"/>
  <c r="AN54" i="14"/>
  <c r="AO54" i="14" s="1"/>
  <c r="AP54" i="14" s="1"/>
  <c r="AQ54" i="14" s="1"/>
  <c r="AR54" i="14" s="1"/>
  <c r="AS54" i="14" s="1"/>
  <c r="AL13" i="14"/>
  <c r="AL14" i="14" s="1"/>
  <c r="AL10" i="14"/>
  <c r="AL15" i="14" s="1"/>
  <c r="AL9" i="14"/>
  <c r="AL4" i="14"/>
  <c r="X13" i="14"/>
  <c r="X14" i="14" s="1"/>
  <c r="X10" i="14"/>
  <c r="X5" i="14" s="1"/>
  <c r="X4" i="14"/>
  <c r="X9" i="14"/>
  <c r="AK10" i="14"/>
  <c r="AK5" i="14" s="1"/>
  <c r="AK9" i="14"/>
  <c r="AK4" i="14"/>
  <c r="AN97" i="13"/>
  <c r="J44" i="15"/>
  <c r="J45" i="15" s="1"/>
  <c r="J51" i="15" s="1"/>
  <c r="J237" i="9" s="1"/>
  <c r="J238" i="9" s="1"/>
  <c r="Z10" i="11"/>
  <c r="Z5" i="11" s="1"/>
  <c r="R13" i="14"/>
  <c r="R14" i="14" s="1"/>
  <c r="J71" i="14"/>
  <c r="J72" i="14"/>
  <c r="S100" i="11"/>
  <c r="S33" i="11" s="1"/>
  <c r="T352" i="11"/>
  <c r="T277" i="11" s="1"/>
  <c r="Z126" i="11"/>
  <c r="AG13" i="14"/>
  <c r="AG14" i="14" s="1"/>
  <c r="T13" i="14"/>
  <c r="T14" i="14" s="1"/>
  <c r="M13" i="14"/>
  <c r="M14" i="14" s="1"/>
  <c r="J193" i="12"/>
  <c r="J172" i="12"/>
  <c r="J210" i="12"/>
  <c r="J211" i="12"/>
  <c r="AH11" i="14"/>
  <c r="AF15" i="13"/>
  <c r="AN4" i="9"/>
  <c r="P9" i="9"/>
  <c r="T5" i="9"/>
  <c r="J19" i="15"/>
  <c r="J31" i="15" s="1"/>
  <c r="J111" i="13"/>
  <c r="J126" i="13" s="1"/>
  <c r="AF117" i="13"/>
  <c r="M4" i="13"/>
  <c r="T4" i="13"/>
  <c r="T10" i="13"/>
  <c r="T97" i="13" s="1"/>
  <c r="M117" i="13"/>
  <c r="M10" i="13"/>
  <c r="M11" i="13" s="1"/>
  <c r="AB9" i="13"/>
  <c r="AB96" i="13" s="1"/>
  <c r="P97" i="13"/>
  <c r="AB4" i="13"/>
  <c r="P5" i="13"/>
  <c r="P4" i="13"/>
  <c r="AB10" i="13"/>
  <c r="AB97" i="13" s="1"/>
  <c r="P9" i="13"/>
  <c r="P11" i="13" s="1"/>
  <c r="T9" i="13"/>
  <c r="AG10" i="10"/>
  <c r="AG5" i="10" s="1"/>
  <c r="J9" i="10"/>
  <c r="J11" i="10" s="1"/>
  <c r="AN10" i="10"/>
  <c r="AN5" i="10" s="1"/>
  <c r="J4" i="10"/>
  <c r="G64" i="25" s="1"/>
  <c r="AN4" i="10"/>
  <c r="AK64" i="25" s="1"/>
  <c r="AN13" i="10"/>
  <c r="AN14" i="10" s="1"/>
  <c r="K4" i="10"/>
  <c r="H64" i="25" s="1"/>
  <c r="AC9" i="10"/>
  <c r="AC15" i="10" s="1"/>
  <c r="L13" i="10"/>
  <c r="L14" i="10" s="1"/>
  <c r="L4" i="10"/>
  <c r="I64" i="25" s="1"/>
  <c r="AB13" i="10"/>
  <c r="AB14" i="10" s="1"/>
  <c r="AB9" i="10"/>
  <c r="K9" i="10"/>
  <c r="J13" i="10"/>
  <c r="J14" i="10" s="1"/>
  <c r="R205" i="10"/>
  <c r="R206" i="10" s="1"/>
  <c r="R207" i="10" s="1"/>
  <c r="R208" i="10" s="1"/>
  <c r="W10" i="10"/>
  <c r="W5" i="10" s="1"/>
  <c r="AD205" i="10"/>
  <c r="AD206" i="10" s="1"/>
  <c r="AD207" i="10" s="1"/>
  <c r="AD208" i="10" s="1"/>
  <c r="L9" i="10"/>
  <c r="L10" i="10"/>
  <c r="L5" i="10" s="1"/>
  <c r="X4" i="10"/>
  <c r="U64" i="25" s="1"/>
  <c r="X10" i="10"/>
  <c r="X5" i="10" s="1"/>
  <c r="AP4" i="10"/>
  <c r="AM64" i="25" s="1"/>
  <c r="AP9" i="10"/>
  <c r="AP11" i="10" s="1"/>
  <c r="AQ13" i="14"/>
  <c r="AQ14" i="14" s="1"/>
  <c r="AK13" i="15"/>
  <c r="AK14" i="15" s="1"/>
  <c r="AK13" i="13"/>
  <c r="AK14" i="13" s="1"/>
  <c r="W13" i="13"/>
  <c r="W14" i="13" s="1"/>
  <c r="AK13" i="14"/>
  <c r="AK14" i="14" s="1"/>
  <c r="L13" i="14"/>
  <c r="L14" i="14" s="1"/>
  <c r="AM13" i="13"/>
  <c r="AM14" i="13" s="1"/>
  <c r="AA13" i="14"/>
  <c r="AA14" i="14" s="1"/>
  <c r="J61" i="15"/>
  <c r="J62" i="15" s="1"/>
  <c r="J63" i="15" s="1"/>
  <c r="X7" i="15"/>
  <c r="X13" i="15" s="1"/>
  <c r="X14" i="15" s="1"/>
  <c r="AD9" i="12"/>
  <c r="X10" i="12"/>
  <c r="X5" i="12" s="1"/>
  <c r="AI13" i="14"/>
  <c r="AI14" i="14" s="1"/>
  <c r="M13" i="15"/>
  <c r="M14" i="15" s="1"/>
  <c r="AS13" i="15"/>
  <c r="AS14" i="15" s="1"/>
  <c r="AE13" i="13"/>
  <c r="AE14" i="13" s="1"/>
  <c r="AF7" i="15"/>
  <c r="AF13" i="15" s="1"/>
  <c r="AF14" i="15" s="1"/>
  <c r="N7" i="13"/>
  <c r="N4" i="13" s="1"/>
  <c r="AA7" i="13"/>
  <c r="AA13" i="13" s="1"/>
  <c r="AA14" i="13" s="1"/>
  <c r="AN7" i="15"/>
  <c r="AN13" i="15"/>
  <c r="AN14" i="15" s="1"/>
  <c r="J91" i="15"/>
  <c r="J92" i="15" s="1"/>
  <c r="J93" i="15" s="1"/>
  <c r="S7" i="13"/>
  <c r="S13" i="13" s="1"/>
  <c r="S14" i="13" s="1"/>
  <c r="AQ7" i="13"/>
  <c r="AQ13" i="13" s="1"/>
  <c r="AQ14" i="13" s="1"/>
  <c r="V7" i="13"/>
  <c r="V4" i="13" s="1"/>
  <c r="AL162" i="12"/>
  <c r="Q10" i="12"/>
  <c r="Q5" i="12" s="1"/>
  <c r="Y13" i="13"/>
  <c r="Y14" i="13" s="1"/>
  <c r="AC13" i="13"/>
  <c r="AC14" i="13" s="1"/>
  <c r="J94" i="9"/>
  <c r="J95" i="9" s="1"/>
  <c r="S13" i="14"/>
  <c r="S14" i="14" s="1"/>
  <c r="P13" i="13"/>
  <c r="P14" i="13" s="1"/>
  <c r="AC13" i="15"/>
  <c r="AC14" i="15" s="1"/>
  <c r="N10" i="15"/>
  <c r="N9" i="15"/>
  <c r="AI7" i="13"/>
  <c r="AI13" i="13" s="1"/>
  <c r="AI14" i="13" s="1"/>
  <c r="AD7" i="13"/>
  <c r="AD4" i="13" s="1"/>
  <c r="P7" i="15"/>
  <c r="P13" i="15" s="1"/>
  <c r="P14" i="15" s="1"/>
  <c r="AL7" i="13"/>
  <c r="AL4" i="13" s="1"/>
  <c r="AL13" i="13"/>
  <c r="AL14" i="13" s="1"/>
  <c r="AD33" i="12"/>
  <c r="K7" i="13"/>
  <c r="K13" i="13" s="1"/>
  <c r="K14" i="13" s="1"/>
  <c r="AA33" i="12"/>
  <c r="AO13" i="13"/>
  <c r="AO14" i="13" s="1"/>
  <c r="M13" i="13"/>
  <c r="M14" i="13" s="1"/>
  <c r="AS13" i="13"/>
  <c r="AS14" i="13" s="1"/>
  <c r="AE9" i="10"/>
  <c r="Q4" i="10"/>
  <c r="N64" i="25" s="1"/>
  <c r="AE4" i="10"/>
  <c r="AB64" i="25" s="1"/>
  <c r="N4" i="10"/>
  <c r="K64" i="25" s="1"/>
  <c r="N10" i="10"/>
  <c r="N12" i="10" s="1"/>
  <c r="AE10" i="10"/>
  <c r="Q10" i="10"/>
  <c r="Q5" i="10" s="1"/>
  <c r="AF4" i="10"/>
  <c r="AC64" i="25" s="1"/>
  <c r="AB4" i="10"/>
  <c r="Y64" i="25" s="1"/>
  <c r="AA10" i="10"/>
  <c r="AA5" i="10" s="1"/>
  <c r="AM10" i="10"/>
  <c r="M9" i="10"/>
  <c r="M15" i="10" s="1"/>
  <c r="AI10" i="10"/>
  <c r="AI5" i="10" s="1"/>
  <c r="V4" i="10"/>
  <c r="S64" i="25" s="1"/>
  <c r="M4" i="10"/>
  <c r="J64" i="25" s="1"/>
  <c r="AQ10" i="10"/>
  <c r="AQ5" i="10" s="1"/>
  <c r="AO4" i="10"/>
  <c r="AL64" i="25" s="1"/>
  <c r="AM9" i="10"/>
  <c r="W7" i="14"/>
  <c r="W13" i="14" s="1"/>
  <c r="W14" i="14" s="1"/>
  <c r="L15" i="14"/>
  <c r="AM7" i="14"/>
  <c r="AM13" i="14" s="1"/>
  <c r="AM14" i="14" s="1"/>
  <c r="AP11" i="14"/>
  <c r="Z12" i="14"/>
  <c r="AP15" i="14"/>
  <c r="O7" i="14"/>
  <c r="O13" i="14" s="1"/>
  <c r="O14" i="14" s="1"/>
  <c r="K13" i="14"/>
  <c r="K14" i="14" s="1"/>
  <c r="S9" i="10"/>
  <c r="X13" i="10"/>
  <c r="X14" i="10" s="1"/>
  <c r="AD10" i="10"/>
  <c r="AD12" i="10" s="1"/>
  <c r="AD4" i="10"/>
  <c r="AA64" i="25" s="1"/>
  <c r="AF10" i="10"/>
  <c r="AF15" i="10" s="1"/>
  <c r="R4" i="10"/>
  <c r="O64" i="25" s="1"/>
  <c r="AM4" i="10"/>
  <c r="AJ64" i="25" s="1"/>
  <c r="AI4" i="10"/>
  <c r="AF64" i="25" s="1"/>
  <c r="R9" i="10"/>
  <c r="R15" i="10" s="1"/>
  <c r="V10" i="10"/>
  <c r="V15" i="10" s="1"/>
  <c r="AI9" i="10"/>
  <c r="AJ9" i="10"/>
  <c r="AJ10" i="10"/>
  <c r="AJ5" i="10" s="1"/>
  <c r="M162" i="12"/>
  <c r="T95" i="12"/>
  <c r="AA162" i="12"/>
  <c r="AR12" i="11"/>
  <c r="U4" i="9"/>
  <c r="U4" i="10"/>
  <c r="R64" i="25" s="1"/>
  <c r="AS10" i="12"/>
  <c r="AS5" i="12" s="1"/>
  <c r="Z10" i="12"/>
  <c r="Z5" i="12" s="1"/>
  <c r="AD100" i="11"/>
  <c r="AD33" i="11" s="1"/>
  <c r="AG95" i="12"/>
  <c r="S315" i="11"/>
  <c r="S266" i="11" s="1"/>
  <c r="AA95" i="12"/>
  <c r="AO13" i="10"/>
  <c r="AO14" i="10" s="1"/>
  <c r="AD13" i="11"/>
  <c r="AD14" i="11" s="1"/>
  <c r="AO10" i="10"/>
  <c r="AO15" i="10" s="1"/>
  <c r="R11" i="9"/>
  <c r="AD352" i="11"/>
  <c r="AD354" i="11" s="1"/>
  <c r="X205" i="10"/>
  <c r="X206" i="10" s="1"/>
  <c r="X207" i="10" s="1"/>
  <c r="X208" i="10" s="1"/>
  <c r="X248" i="12"/>
  <c r="AE95" i="12"/>
  <c r="AE10" i="12"/>
  <c r="AE5" i="12" s="1"/>
  <c r="R15" i="9"/>
  <c r="AD9" i="11"/>
  <c r="AL9" i="9"/>
  <c r="L357" i="11"/>
  <c r="Z162" i="12"/>
  <c r="L10" i="11"/>
  <c r="L5" i="11" s="1"/>
  <c r="AG248" i="12"/>
  <c r="X162" i="12"/>
  <c r="AL10" i="12"/>
  <c r="AL5" i="12" s="1"/>
  <c r="AA248" i="12"/>
  <c r="AM33" i="12"/>
  <c r="U9" i="10"/>
  <c r="U15" i="10" s="1"/>
  <c r="AD4" i="11"/>
  <c r="AL4" i="10"/>
  <c r="AI64" i="25" s="1"/>
  <c r="AL4" i="9"/>
  <c r="L354" i="11"/>
  <c r="Z9" i="12"/>
  <c r="T10" i="10"/>
  <c r="X95" i="12"/>
  <c r="AM248" i="12"/>
  <c r="AH4" i="10"/>
  <c r="AE64" i="25" s="1"/>
  <c r="AD10" i="11"/>
  <c r="AD5" i="11" s="1"/>
  <c r="AD314" i="11"/>
  <c r="AD265" i="11" s="1"/>
  <c r="L360" i="11"/>
  <c r="X33" i="12"/>
  <c r="AM162" i="12"/>
  <c r="AR11" i="11"/>
  <c r="Z4" i="12"/>
  <c r="AR5" i="11"/>
  <c r="P10" i="9"/>
  <c r="AH9" i="10"/>
  <c r="AH15" i="10" s="1"/>
  <c r="S352" i="11"/>
  <c r="S356" i="11" s="1"/>
  <c r="X9" i="12"/>
  <c r="AM95" i="12"/>
  <c r="AM9" i="12"/>
  <c r="AM15" i="12" s="1"/>
  <c r="AK4" i="10"/>
  <c r="AH64" i="25" s="1"/>
  <c r="Y162" i="12"/>
  <c r="AB4" i="9"/>
  <c r="P4" i="10"/>
  <c r="M64" i="25" s="1"/>
  <c r="W9" i="9"/>
  <c r="L353" i="11"/>
  <c r="AH10" i="11"/>
  <c r="AH5" i="11" s="1"/>
  <c r="AE9" i="12"/>
  <c r="AD210" i="11"/>
  <c r="AD157" i="12" s="1"/>
  <c r="AD89" i="11"/>
  <c r="AM210" i="11"/>
  <c r="AM157" i="12" s="1"/>
  <c r="AM89" i="11"/>
  <c r="P210" i="11"/>
  <c r="P157" i="12" s="1"/>
  <c r="P89" i="11"/>
  <c r="AO210" i="11"/>
  <c r="AO157" i="12" s="1"/>
  <c r="AO89" i="11"/>
  <c r="R89" i="11"/>
  <c r="R210" i="11"/>
  <c r="R157" i="12" s="1"/>
  <c r="AP89" i="11"/>
  <c r="AP210" i="11"/>
  <c r="AP157" i="12" s="1"/>
  <c r="AB89" i="11"/>
  <c r="AB210" i="11"/>
  <c r="AB157" i="12" s="1"/>
  <c r="AC89" i="11"/>
  <c r="AC210" i="11"/>
  <c r="AC157" i="12" s="1"/>
  <c r="AH4" i="11"/>
  <c r="T4" i="10"/>
  <c r="Q64" i="25" s="1"/>
  <c r="L355" i="11"/>
  <c r="L278" i="11" s="1"/>
  <c r="Z33" i="12"/>
  <c r="AC13" i="9"/>
  <c r="AC14" i="9" s="1"/>
  <c r="L89" i="11"/>
  <c r="L210" i="11"/>
  <c r="L157" i="12" s="1"/>
  <c r="M89" i="11"/>
  <c r="M210" i="11"/>
  <c r="M157" i="12" s="1"/>
  <c r="O210" i="11"/>
  <c r="O157" i="12" s="1"/>
  <c r="O89" i="11"/>
  <c r="AN210" i="11"/>
  <c r="AN157" i="12" s="1"/>
  <c r="AN89" i="11"/>
  <c r="Q210" i="11"/>
  <c r="Q157" i="12" s="1"/>
  <c r="Q89" i="11"/>
  <c r="AP4" i="12"/>
  <c r="L277" i="11"/>
  <c r="AB9" i="9"/>
  <c r="Z12" i="9"/>
  <c r="AJ89" i="11"/>
  <c r="AJ210" i="11"/>
  <c r="AJ157" i="12" s="1"/>
  <c r="AK89" i="11"/>
  <c r="AK210" i="11"/>
  <c r="AK157" i="12" s="1"/>
  <c r="N210" i="11"/>
  <c r="N157" i="12" s="1"/>
  <c r="N89" i="11"/>
  <c r="W210" i="11"/>
  <c r="W157" i="12" s="1"/>
  <c r="W89" i="11"/>
  <c r="Y210" i="11"/>
  <c r="Y157" i="12" s="1"/>
  <c r="Y89" i="11"/>
  <c r="AA89" i="11"/>
  <c r="AA210" i="11"/>
  <c r="AA157" i="12" s="1"/>
  <c r="Y4" i="12"/>
  <c r="AH314" i="11"/>
  <c r="AH265" i="11" s="1"/>
  <c r="AE4" i="12"/>
  <c r="AP9" i="12"/>
  <c r="AB10" i="9"/>
  <c r="AB5" i="9" s="1"/>
  <c r="AL210" i="11"/>
  <c r="AL157" i="12" s="1"/>
  <c r="AL89" i="11"/>
  <c r="X210" i="11"/>
  <c r="X157" i="12" s="1"/>
  <c r="X89" i="11"/>
  <c r="AI89" i="11"/>
  <c r="AI210" i="11"/>
  <c r="AI157" i="12" s="1"/>
  <c r="Z89" i="11"/>
  <c r="Z210" i="11"/>
  <c r="Z157" i="12" s="1"/>
  <c r="AK9" i="10"/>
  <c r="AK15" i="10" s="1"/>
  <c r="P10" i="10"/>
  <c r="P11" i="10" s="1"/>
  <c r="L358" i="11"/>
  <c r="AH205" i="10"/>
  <c r="AH206" i="10" s="1"/>
  <c r="AH207" i="10" s="1"/>
  <c r="AH208" i="10" s="1"/>
  <c r="T89" i="11"/>
  <c r="T210" i="11"/>
  <c r="T157" i="12" s="1"/>
  <c r="U89" i="11"/>
  <c r="U210" i="11"/>
  <c r="U157" i="12" s="1"/>
  <c r="AQ89" i="11"/>
  <c r="AQ210" i="11"/>
  <c r="AQ157" i="12" s="1"/>
  <c r="AH126" i="11"/>
  <c r="AH100" i="11"/>
  <c r="AH33" i="11" s="1"/>
  <c r="AR89" i="11"/>
  <c r="AR210" i="11"/>
  <c r="AR157" i="12" s="1"/>
  <c r="AS89" i="11"/>
  <c r="AS210" i="11"/>
  <c r="AS157" i="12" s="1"/>
  <c r="V210" i="11"/>
  <c r="V157" i="12" s="1"/>
  <c r="V89" i="11"/>
  <c r="K89" i="11"/>
  <c r="K210" i="11"/>
  <c r="K157" i="12" s="1"/>
  <c r="AG210" i="11"/>
  <c r="AG157" i="12" s="1"/>
  <c r="AG89" i="11"/>
  <c r="J89" i="11"/>
  <c r="J210" i="11"/>
  <c r="J157" i="12" s="1"/>
  <c r="S89" i="11"/>
  <c r="S210" i="11"/>
  <c r="S157" i="12" s="1"/>
  <c r="AG4" i="10"/>
  <c r="AD64" i="25" s="1"/>
  <c r="AH99" i="11"/>
  <c r="AH32" i="11" s="1"/>
  <c r="L356" i="11"/>
  <c r="T9" i="10"/>
  <c r="AE248" i="12"/>
  <c r="AH352" i="11"/>
  <c r="AH360" i="11" s="1"/>
  <c r="AE162" i="12"/>
  <c r="P13" i="10"/>
  <c r="P14" i="10" s="1"/>
  <c r="AG13" i="10"/>
  <c r="AG14" i="10" s="1"/>
  <c r="AE210" i="11"/>
  <c r="AE157" i="12" s="1"/>
  <c r="AE89" i="11"/>
  <c r="AF210" i="11"/>
  <c r="AF157" i="12" s="1"/>
  <c r="AF89" i="11"/>
  <c r="AH89" i="11"/>
  <c r="AH210" i="11"/>
  <c r="AH157" i="12" s="1"/>
  <c r="AH9" i="12"/>
  <c r="AB248" i="12"/>
  <c r="AL13" i="12"/>
  <c r="AL14" i="12" s="1"/>
  <c r="AQ277" i="11"/>
  <c r="Y9" i="12"/>
  <c r="AB9" i="12"/>
  <c r="AA4" i="10"/>
  <c r="X64" i="25" s="1"/>
  <c r="AN9" i="9"/>
  <c r="R10" i="12"/>
  <c r="R12" i="12" s="1"/>
  <c r="J9" i="12"/>
  <c r="AI162" i="12"/>
  <c r="Z205" i="10"/>
  <c r="Z206" i="10" s="1"/>
  <c r="Z207" i="10" s="1"/>
  <c r="Z208" i="10" s="1"/>
  <c r="AJ352" i="11"/>
  <c r="T315" i="11"/>
  <c r="T266" i="11" s="1"/>
  <c r="AE33" i="12"/>
  <c r="AP13" i="10"/>
  <c r="AP14" i="10" s="1"/>
  <c r="AQ355" i="11"/>
  <c r="AQ278" i="11" s="1"/>
  <c r="AI10" i="12"/>
  <c r="AI5" i="12" s="1"/>
  <c r="T162" i="12"/>
  <c r="AB10" i="12"/>
  <c r="AB5" i="12" s="1"/>
  <c r="AA9" i="10"/>
  <c r="AN10" i="9"/>
  <c r="AN5" i="9" s="1"/>
  <c r="R9" i="12"/>
  <c r="AP205" i="10"/>
  <c r="AP206" i="10" s="1"/>
  <c r="AP207" i="10" s="1"/>
  <c r="AP208" i="10" s="1"/>
  <c r="AL95" i="12"/>
  <c r="AC33" i="12"/>
  <c r="AC162" i="12"/>
  <c r="AG13" i="12"/>
  <c r="AG14" i="12" s="1"/>
  <c r="AH13" i="10"/>
  <c r="AH14" i="10" s="1"/>
  <c r="Z11" i="9"/>
  <c r="AI33" i="12"/>
  <c r="Y95" i="12"/>
  <c r="AL248" i="12"/>
  <c r="AH95" i="12"/>
  <c r="AQ33" i="12"/>
  <c r="AR13" i="12"/>
  <c r="AR14" i="12" s="1"/>
  <c r="Y248" i="12"/>
  <c r="AL9" i="12"/>
  <c r="AQ162" i="12"/>
  <c r="AH33" i="12"/>
  <c r="Z15" i="9"/>
  <c r="Y33" i="12"/>
  <c r="AJ4" i="10"/>
  <c r="AG64" i="25" s="1"/>
  <c r="AQ10" i="12"/>
  <c r="AQ5" i="12" s="1"/>
  <c r="AH10" i="12"/>
  <c r="AH5" i="12" s="1"/>
  <c r="T10" i="12"/>
  <c r="R4" i="12"/>
  <c r="AL10" i="9"/>
  <c r="K10" i="10"/>
  <c r="AH4" i="12"/>
  <c r="AF9" i="9"/>
  <c r="AH162" i="12"/>
  <c r="AB10" i="10"/>
  <c r="AB5" i="10" s="1"/>
  <c r="T9" i="11"/>
  <c r="T11" i="11" s="1"/>
  <c r="Y10" i="12"/>
  <c r="Y5" i="12" s="1"/>
  <c r="AD11" i="12"/>
  <c r="AJ315" i="11"/>
  <c r="AJ266" i="11" s="1"/>
  <c r="AQ248" i="12"/>
  <c r="AK13" i="10"/>
  <c r="AK14" i="10" s="1"/>
  <c r="AN4" i="12"/>
  <c r="AB314" i="11"/>
  <c r="AB265" i="11" s="1"/>
  <c r="J11" i="9"/>
  <c r="AQ9" i="10"/>
  <c r="W4" i="9"/>
  <c r="X9" i="9"/>
  <c r="AL10" i="10"/>
  <c r="AL12" i="10" s="1"/>
  <c r="AI100" i="11"/>
  <c r="AI33" i="11" s="1"/>
  <c r="AI10" i="11"/>
  <c r="J15" i="9"/>
  <c r="W10" i="9"/>
  <c r="AI352" i="11"/>
  <c r="AI358" i="11" s="1"/>
  <c r="AI99" i="11"/>
  <c r="AI32" i="11" s="1"/>
  <c r="AN205" i="10"/>
  <c r="AN206" i="10" s="1"/>
  <c r="AN207" i="10" s="1"/>
  <c r="AN208" i="10" s="1"/>
  <c r="AB352" i="11"/>
  <c r="AI9" i="11"/>
  <c r="AN9" i="12"/>
  <c r="AN11" i="12" s="1"/>
  <c r="AN33" i="12"/>
  <c r="U13" i="9"/>
  <c r="U14" i="9" s="1"/>
  <c r="AB4" i="11"/>
  <c r="AJ4" i="12"/>
  <c r="AB9" i="11"/>
  <c r="AB11" i="11" s="1"/>
  <c r="AI315" i="11"/>
  <c r="AI266" i="11" s="1"/>
  <c r="V13" i="10"/>
  <c r="V14" i="10" s="1"/>
  <c r="AS4" i="10"/>
  <c r="AP64" i="25" s="1"/>
  <c r="AR9" i="10"/>
  <c r="J205" i="10"/>
  <c r="J206" i="10" s="1"/>
  <c r="J207" i="10" s="1"/>
  <c r="J208" i="10" s="1"/>
  <c r="AB10" i="11"/>
  <c r="AB5" i="11" s="1"/>
  <c r="AN95" i="12"/>
  <c r="AI126" i="11"/>
  <c r="AN248" i="12"/>
  <c r="J33" i="12"/>
  <c r="J35" i="12" s="1"/>
  <c r="AK4" i="9"/>
  <c r="AI314" i="11"/>
  <c r="AI265" i="11" s="1"/>
  <c r="AR4" i="10"/>
  <c r="AO64" i="25" s="1"/>
  <c r="AB99" i="11"/>
  <c r="AB32" i="11" s="1"/>
  <c r="AP10" i="12"/>
  <c r="AP12" i="12" s="1"/>
  <c r="S4" i="10"/>
  <c r="P64" i="25" s="1"/>
  <c r="AR10" i="10"/>
  <c r="AR5" i="10" s="1"/>
  <c r="AI205" i="10"/>
  <c r="AI206" i="10" s="1"/>
  <c r="AI207" i="10" s="1"/>
  <c r="AI208" i="10" s="1"/>
  <c r="K95" i="12"/>
  <c r="AD13" i="10"/>
  <c r="AD14" i="10" s="1"/>
  <c r="T13" i="11"/>
  <c r="T14" i="11" s="1"/>
  <c r="AA13" i="11"/>
  <c r="AA14" i="11" s="1"/>
  <c r="AS9" i="10"/>
  <c r="AS15" i="10" s="1"/>
  <c r="AI4" i="11"/>
  <c r="Z360" i="11"/>
  <c r="S10" i="10"/>
  <c r="S5" i="10" s="1"/>
  <c r="AQ4" i="10"/>
  <c r="AN64" i="25" s="1"/>
  <c r="AP162" i="12"/>
  <c r="AJ205" i="10"/>
  <c r="AJ206" i="10" s="1"/>
  <c r="AJ207" i="10" s="1"/>
  <c r="AJ208" i="10" s="1"/>
  <c r="AS13" i="10"/>
  <c r="AS14" i="10" s="1"/>
  <c r="AK13" i="9"/>
  <c r="AK14" i="9" s="1"/>
  <c r="K357" i="11"/>
  <c r="AS9" i="9"/>
  <c r="AS15" i="9" s="1"/>
  <c r="Q15" i="12"/>
  <c r="AS4" i="12"/>
  <c r="P4" i="12"/>
  <c r="V352" i="11"/>
  <c r="V356" i="11" s="1"/>
  <c r="AJ10" i="12"/>
  <c r="Z358" i="11"/>
  <c r="X4" i="9"/>
  <c r="AS205" i="10"/>
  <c r="AS206" i="10" s="1"/>
  <c r="AS207" i="10" s="1"/>
  <c r="AS208" i="10" s="1"/>
  <c r="K33" i="12"/>
  <c r="AS4" i="9"/>
  <c r="K354" i="11"/>
  <c r="AR4" i="9"/>
  <c r="V9" i="11"/>
  <c r="Z357" i="11"/>
  <c r="V314" i="11"/>
  <c r="V265" i="11" s="1"/>
  <c r="X10" i="9"/>
  <c r="X5" i="9" s="1"/>
  <c r="AR205" i="10"/>
  <c r="AR206" i="10" s="1"/>
  <c r="AR207" i="10" s="1"/>
  <c r="AR208" i="10" s="1"/>
  <c r="K358" i="11"/>
  <c r="L9" i="9"/>
  <c r="AF9" i="12"/>
  <c r="K162" i="12"/>
  <c r="J95" i="12"/>
  <c r="J97" i="12" s="1"/>
  <c r="K96" i="12" s="1"/>
  <c r="R13" i="12"/>
  <c r="R14" i="12" s="1"/>
  <c r="L100" i="11"/>
  <c r="L33" i="11" s="1"/>
  <c r="L315" i="11"/>
  <c r="L266" i="11" s="1"/>
  <c r="L9" i="11"/>
  <c r="L126" i="11"/>
  <c r="AC4" i="10"/>
  <c r="Z64" i="25" s="1"/>
  <c r="K360" i="11"/>
  <c r="Y10" i="10"/>
  <c r="Y15" i="10" s="1"/>
  <c r="P7" i="11"/>
  <c r="P13" i="11" s="1"/>
  <c r="P14" i="11" s="1"/>
  <c r="AF4" i="12"/>
  <c r="V4" i="11"/>
  <c r="Z356" i="11"/>
  <c r="N205" i="10"/>
  <c r="N206" i="10" s="1"/>
  <c r="N207" i="10" s="1"/>
  <c r="N208" i="10" s="1"/>
  <c r="L10" i="9"/>
  <c r="AF10" i="12"/>
  <c r="AR9" i="9"/>
  <c r="K248" i="12"/>
  <c r="AE205" i="10"/>
  <c r="AE206" i="10" s="1"/>
  <c r="AE207" i="10" s="1"/>
  <c r="AE208" i="10" s="1"/>
  <c r="K277" i="11"/>
  <c r="Y4" i="10"/>
  <c r="V64" i="25" s="1"/>
  <c r="X7" i="11"/>
  <c r="X13" i="11" s="1"/>
  <c r="X14" i="11" s="1"/>
  <c r="AI4" i="9"/>
  <c r="V99" i="11"/>
  <c r="V32" i="11" s="1"/>
  <c r="V10" i="11"/>
  <c r="Z354" i="11"/>
  <c r="AR10" i="9"/>
  <c r="AR5" i="9" s="1"/>
  <c r="AS95" i="12"/>
  <c r="AG205" i="10"/>
  <c r="AG206" i="10" s="1"/>
  <c r="AG207" i="10" s="1"/>
  <c r="AG208" i="10" s="1"/>
  <c r="M13" i="10"/>
  <c r="M14" i="10" s="1"/>
  <c r="AL13" i="10"/>
  <c r="AL14" i="10" s="1"/>
  <c r="K353" i="11"/>
  <c r="M9" i="9"/>
  <c r="M15" i="9" s="1"/>
  <c r="AF7" i="11"/>
  <c r="AF13" i="11" s="1"/>
  <c r="AF14" i="11" s="1"/>
  <c r="AP7" i="11"/>
  <c r="AP315" i="11" s="1"/>
  <c r="AP11" i="9"/>
  <c r="O9" i="10"/>
  <c r="AJ33" i="12"/>
  <c r="Z277" i="11"/>
  <c r="P95" i="12"/>
  <c r="AS162" i="12"/>
  <c r="AB315" i="11"/>
  <c r="AB266" i="11" s="1"/>
  <c r="AB100" i="11"/>
  <c r="AB33" i="11" s="1"/>
  <c r="AB126" i="11"/>
  <c r="M4" i="9"/>
  <c r="K355" i="11"/>
  <c r="K278" i="11" s="1"/>
  <c r="AN7" i="11"/>
  <c r="AN13" i="11" s="1"/>
  <c r="AN14" i="11" s="1"/>
  <c r="L4" i="9"/>
  <c r="AP15" i="9"/>
  <c r="K9" i="12"/>
  <c r="K12" i="12" s="1"/>
  <c r="O4" i="10"/>
  <c r="L64" i="25" s="1"/>
  <c r="AJ162" i="12"/>
  <c r="Z353" i="11"/>
  <c r="AS248" i="12"/>
  <c r="Q95" i="12"/>
  <c r="U13" i="10"/>
  <c r="U14" i="10" s="1"/>
  <c r="Q13" i="10"/>
  <c r="Q14" i="10" s="1"/>
  <c r="S13" i="11"/>
  <c r="S14" i="11" s="1"/>
  <c r="AL13" i="11"/>
  <c r="AL14" i="11" s="1"/>
  <c r="AI10" i="9"/>
  <c r="AI5" i="9" s="1"/>
  <c r="V100" i="11"/>
  <c r="V33" i="11" s="1"/>
  <c r="K4" i="12"/>
  <c r="O10" i="10"/>
  <c r="O5" i="10" s="1"/>
  <c r="AJ9" i="12"/>
  <c r="Z355" i="11"/>
  <c r="Z278" i="11" s="1"/>
  <c r="P10" i="12"/>
  <c r="P12" i="12" s="1"/>
  <c r="AF248" i="12"/>
  <c r="AS9" i="12"/>
  <c r="AS15" i="12" s="1"/>
  <c r="J7" i="11"/>
  <c r="J99" i="11" s="1"/>
  <c r="V13" i="11"/>
  <c r="V14" i="11" s="1"/>
  <c r="AI13" i="9"/>
  <c r="AI14" i="9" s="1"/>
  <c r="M13" i="9"/>
  <c r="M14" i="9" s="1"/>
  <c r="AS13" i="9"/>
  <c r="AS14" i="9" s="1"/>
  <c r="Z9" i="10"/>
  <c r="Z11" i="10" s="1"/>
  <c r="AC13" i="10"/>
  <c r="AC14" i="10" s="1"/>
  <c r="N13" i="10"/>
  <c r="N14" i="10" s="1"/>
  <c r="Y13" i="10"/>
  <c r="Y14" i="10" s="1"/>
  <c r="Z4" i="10"/>
  <c r="W64" i="25" s="1"/>
  <c r="R13" i="10"/>
  <c r="R14" i="10" s="1"/>
  <c r="AF13" i="10"/>
  <c r="AF14" i="10" s="1"/>
  <c r="W9" i="10"/>
  <c r="W4" i="10"/>
  <c r="T64" i="25" s="1"/>
  <c r="Z13" i="10"/>
  <c r="Z14" i="10" s="1"/>
  <c r="AP95" i="12"/>
  <c r="AK248" i="12"/>
  <c r="AK95" i="12"/>
  <c r="AK33" i="12"/>
  <c r="R95" i="12"/>
  <c r="AF162" i="12"/>
  <c r="AP33" i="12"/>
  <c r="AO13" i="12"/>
  <c r="AO14" i="12" s="1"/>
  <c r="Z13" i="12"/>
  <c r="Z14" i="12" s="1"/>
  <c r="AS13" i="12"/>
  <c r="AS14" i="12" s="1"/>
  <c r="AD248" i="12"/>
  <c r="AD95" i="12"/>
  <c r="V33" i="12"/>
  <c r="V95" i="12"/>
  <c r="AJ95" i="12"/>
  <c r="AP248" i="12"/>
  <c r="S248" i="12"/>
  <c r="S33" i="12"/>
  <c r="S95" i="12"/>
  <c r="M33" i="12"/>
  <c r="M95" i="12"/>
  <c r="AJ248" i="12"/>
  <c r="AC248" i="12"/>
  <c r="AF33" i="12"/>
  <c r="R33" i="12"/>
  <c r="AF13" i="12"/>
  <c r="AF14" i="12" s="1"/>
  <c r="AH13" i="12"/>
  <c r="AH14" i="12" s="1"/>
  <c r="AB13" i="12"/>
  <c r="AB14" i="12" s="1"/>
  <c r="AN13" i="12"/>
  <c r="AN14" i="12" s="1"/>
  <c r="V4" i="12"/>
  <c r="J164" i="12"/>
  <c r="P248" i="12"/>
  <c r="P33" i="12"/>
  <c r="V248" i="12"/>
  <c r="P162" i="12"/>
  <c r="AC95" i="12"/>
  <c r="T248" i="12"/>
  <c r="U9" i="12"/>
  <c r="U12" i="12" s="1"/>
  <c r="U162" i="12"/>
  <c r="U33" i="12"/>
  <c r="U95" i="12"/>
  <c r="U248" i="12"/>
  <c r="V162" i="12"/>
  <c r="J248" i="12"/>
  <c r="J250" i="12" s="1"/>
  <c r="K249" i="12" s="1"/>
  <c r="K258" i="12" s="1"/>
  <c r="AC13" i="12"/>
  <c r="AC14" i="12" s="1"/>
  <c r="P13" i="12"/>
  <c r="P14" i="12" s="1"/>
  <c r="V9" i="12"/>
  <c r="V11" i="12" s="1"/>
  <c r="AI248" i="12"/>
  <c r="AI95" i="12"/>
  <c r="V13" i="12"/>
  <c r="V14" i="12" s="1"/>
  <c r="AF11" i="13"/>
  <c r="K4" i="13"/>
  <c r="AF97" i="13"/>
  <c r="AF12" i="13"/>
  <c r="AF118" i="13"/>
  <c r="AF5" i="13"/>
  <c r="AB205" i="10"/>
  <c r="AB206" i="10" s="1"/>
  <c r="AB207" i="10" s="1"/>
  <c r="AB208" i="10" s="1"/>
  <c r="AO205" i="10"/>
  <c r="AO206" i="10" s="1"/>
  <c r="AO207" i="10" s="1"/>
  <c r="AO208" i="10" s="1"/>
  <c r="AM205" i="10"/>
  <c r="AM206" i="10" s="1"/>
  <c r="AM207" i="10" s="1"/>
  <c r="AM208" i="10" s="1"/>
  <c r="U205" i="10"/>
  <c r="U206" i="10" s="1"/>
  <c r="U207" i="10" s="1"/>
  <c r="U208" i="10" s="1"/>
  <c r="K205" i="10"/>
  <c r="K206" i="10" s="1"/>
  <c r="K207" i="10" s="1"/>
  <c r="K208" i="10" s="1"/>
  <c r="AC205" i="10"/>
  <c r="AC206" i="10" s="1"/>
  <c r="AC207" i="10" s="1"/>
  <c r="AC208" i="10" s="1"/>
  <c r="S205" i="10"/>
  <c r="S206" i="10" s="1"/>
  <c r="S207" i="10" s="1"/>
  <c r="S208" i="10" s="1"/>
  <c r="M205" i="10"/>
  <c r="M206" i="10" s="1"/>
  <c r="M207" i="10" s="1"/>
  <c r="M208" i="10" s="1"/>
  <c r="AK205" i="10"/>
  <c r="AK206" i="10" s="1"/>
  <c r="AK207" i="10" s="1"/>
  <c r="AK208" i="10" s="1"/>
  <c r="AA205" i="10"/>
  <c r="AA206" i="10" s="1"/>
  <c r="AA207" i="10" s="1"/>
  <c r="AA208" i="10" s="1"/>
  <c r="Q205" i="10"/>
  <c r="Q206" i="10" s="1"/>
  <c r="Q207" i="10" s="1"/>
  <c r="Q208" i="10" s="1"/>
  <c r="O205" i="10"/>
  <c r="O206" i="10" s="1"/>
  <c r="O207" i="10" s="1"/>
  <c r="O208" i="10" s="1"/>
  <c r="AQ205" i="10"/>
  <c r="AQ206" i="10" s="1"/>
  <c r="AQ207" i="10" s="1"/>
  <c r="AQ208" i="10" s="1"/>
  <c r="AJ15" i="14"/>
  <c r="Y205" i="10"/>
  <c r="Y206" i="10" s="1"/>
  <c r="Y207" i="10" s="1"/>
  <c r="Y208" i="10" s="1"/>
  <c r="W205" i="10"/>
  <c r="W206" i="10" s="1"/>
  <c r="W207" i="10" s="1"/>
  <c r="W208" i="10" s="1"/>
  <c r="AH15" i="14"/>
  <c r="AH12" i="14"/>
  <c r="W10" i="14"/>
  <c r="AJ12" i="14"/>
  <c r="Z11" i="14"/>
  <c r="Z15" i="14"/>
  <c r="AJ11" i="14"/>
  <c r="V205" i="10"/>
  <c r="V206" i="10" s="1"/>
  <c r="V207" i="10" s="1"/>
  <c r="V208" i="10" s="1"/>
  <c r="R11" i="11"/>
  <c r="AB15" i="14"/>
  <c r="AL205" i="10"/>
  <c r="AL206" i="10" s="1"/>
  <c r="AL207" i="10" s="1"/>
  <c r="AL208" i="10" s="1"/>
  <c r="L205" i="10"/>
  <c r="L206" i="10" s="1"/>
  <c r="L207" i="10" s="1"/>
  <c r="L208" i="10" s="1"/>
  <c r="AD12" i="15"/>
  <c r="AR15" i="14"/>
  <c r="AJ15" i="9"/>
  <c r="J151" i="15"/>
  <c r="J152" i="15" s="1"/>
  <c r="J153" i="15" s="1"/>
  <c r="J27" i="13"/>
  <c r="J29" i="13" s="1"/>
  <c r="I29" i="13" s="1"/>
  <c r="J226" i="9"/>
  <c r="J227" i="9" s="1"/>
  <c r="R12" i="11"/>
  <c r="AR5" i="14"/>
  <c r="AF205" i="10"/>
  <c r="AF206" i="10" s="1"/>
  <c r="AF207" i="10" s="1"/>
  <c r="AF208" i="10" s="1"/>
  <c r="AD15" i="12"/>
  <c r="Z11" i="11"/>
  <c r="AD12" i="12"/>
  <c r="AN11" i="13"/>
  <c r="AD11" i="15"/>
  <c r="T205" i="10"/>
  <c r="T206" i="10" s="1"/>
  <c r="T207" i="10" s="1"/>
  <c r="T208" i="10" s="1"/>
  <c r="AN117" i="13"/>
  <c r="AN15" i="13"/>
  <c r="AD15" i="15"/>
  <c r="S358" i="11"/>
  <c r="AL10" i="13"/>
  <c r="AL9" i="13"/>
  <c r="AQ359" i="11"/>
  <c r="AQ358" i="11"/>
  <c r="K79" i="15"/>
  <c r="L78" i="15"/>
  <c r="K88" i="15"/>
  <c r="J168" i="15"/>
  <c r="I169" i="15"/>
  <c r="N10" i="13"/>
  <c r="N9" i="13"/>
  <c r="J108" i="15"/>
  <c r="I109" i="15"/>
  <c r="K139" i="15"/>
  <c r="L138" i="15"/>
  <c r="K148" i="15"/>
  <c r="K134" i="15" s="1"/>
  <c r="K135" i="15" s="1"/>
  <c r="K141" i="15" s="1"/>
  <c r="K265" i="9" s="1"/>
  <c r="V10" i="13"/>
  <c r="V9" i="13"/>
  <c r="Q277" i="11"/>
  <c r="Q360" i="11"/>
  <c r="Q354" i="11"/>
  <c r="Q357" i="11"/>
  <c r="Q355" i="11"/>
  <c r="Q278" i="11" s="1"/>
  <c r="Q353" i="11"/>
  <c r="Q356" i="11"/>
  <c r="Q359" i="11"/>
  <c r="Q358" i="11"/>
  <c r="AK265" i="11"/>
  <c r="AG15" i="9"/>
  <c r="AG11" i="9"/>
  <c r="AC5" i="13"/>
  <c r="AC118" i="13"/>
  <c r="AC12" i="13"/>
  <c r="AC97" i="13"/>
  <c r="AC15" i="13"/>
  <c r="AC11" i="13"/>
  <c r="AK357" i="11"/>
  <c r="AK360" i="11"/>
  <c r="AK355" i="11"/>
  <c r="AK278" i="11" s="1"/>
  <c r="AK353" i="11"/>
  <c r="AK356" i="11"/>
  <c r="AK277" i="11"/>
  <c r="AK354" i="11"/>
  <c r="AK358" i="11"/>
  <c r="AK359" i="11"/>
  <c r="AC266" i="11"/>
  <c r="AO32" i="11"/>
  <c r="P9" i="15"/>
  <c r="P10" i="15"/>
  <c r="P4" i="15"/>
  <c r="AA15" i="9"/>
  <c r="AA11" i="9"/>
  <c r="AA5" i="9"/>
  <c r="AA12" i="9"/>
  <c r="O15" i="15"/>
  <c r="O11" i="15"/>
  <c r="O5" i="15"/>
  <c r="O12" i="15"/>
  <c r="K15" i="11"/>
  <c r="K11" i="11"/>
  <c r="K5" i="11"/>
  <c r="K12" i="11"/>
  <c r="AA265" i="11"/>
  <c r="K32" i="11"/>
  <c r="L32" i="11"/>
  <c r="S5" i="12"/>
  <c r="Y12" i="15"/>
  <c r="AE266" i="11"/>
  <c r="AB117" i="13"/>
  <c r="AR5" i="13"/>
  <c r="AR12" i="13"/>
  <c r="AR97" i="13"/>
  <c r="AR15" i="13"/>
  <c r="AR11" i="13"/>
  <c r="AJ5" i="12"/>
  <c r="Q15" i="15"/>
  <c r="AK11" i="9"/>
  <c r="R15" i="15"/>
  <c r="R11" i="15"/>
  <c r="R5" i="15"/>
  <c r="R12" i="15"/>
  <c r="T5" i="15"/>
  <c r="T12" i="15"/>
  <c r="T15" i="15"/>
  <c r="T11" i="15"/>
  <c r="AL32" i="11"/>
  <c r="AG15" i="13"/>
  <c r="M12" i="14"/>
  <c r="AC12" i="14"/>
  <c r="AS12" i="14"/>
  <c r="R97" i="13"/>
  <c r="R15" i="13"/>
  <c r="R11" i="13"/>
  <c r="R5" i="13"/>
  <c r="R118" i="13"/>
  <c r="R12" i="13"/>
  <c r="Y360" i="11"/>
  <c r="Y354" i="11"/>
  <c r="Y355" i="11"/>
  <c r="Y278" i="11" s="1"/>
  <c r="Y353" i="11"/>
  <c r="Y357" i="11"/>
  <c r="Y277" i="11"/>
  <c r="Y356" i="11"/>
  <c r="Y359" i="11"/>
  <c r="Y358" i="11"/>
  <c r="Q266" i="11"/>
  <c r="AS265" i="11"/>
  <c r="AO5" i="9"/>
  <c r="AO12" i="9"/>
  <c r="AO15" i="9"/>
  <c r="AO11" i="9"/>
  <c r="Q5" i="11"/>
  <c r="Q12" i="11"/>
  <c r="Q15" i="11"/>
  <c r="Q11" i="11"/>
  <c r="AK5" i="13"/>
  <c r="AK12" i="13"/>
  <c r="AK97" i="13"/>
  <c r="AK15" i="13"/>
  <c r="AK11" i="13"/>
  <c r="M12" i="12"/>
  <c r="AG12" i="10"/>
  <c r="AS354" i="11"/>
  <c r="AS357" i="11"/>
  <c r="AS355" i="11"/>
  <c r="AS278" i="11" s="1"/>
  <c r="AS353" i="11"/>
  <c r="AS356" i="11"/>
  <c r="AS277" i="11"/>
  <c r="AS360" i="11"/>
  <c r="AS358" i="11"/>
  <c r="AS359" i="11"/>
  <c r="AK266" i="11"/>
  <c r="AN9" i="15"/>
  <c r="AN10" i="15"/>
  <c r="AN4" i="15"/>
  <c r="W15" i="15"/>
  <c r="W11" i="15"/>
  <c r="W5" i="15"/>
  <c r="W12" i="15"/>
  <c r="S15" i="11"/>
  <c r="T32" i="11"/>
  <c r="AG12" i="15"/>
  <c r="AQ5" i="15"/>
  <c r="AQ12" i="15"/>
  <c r="AQ15" i="15"/>
  <c r="AQ11" i="15"/>
  <c r="AE355" i="11"/>
  <c r="AE278" i="11" s="1"/>
  <c r="AE353" i="11"/>
  <c r="AE277" i="11"/>
  <c r="AE360" i="11"/>
  <c r="AE354" i="11"/>
  <c r="AE357" i="11"/>
  <c r="AE356" i="11"/>
  <c r="AE359" i="11"/>
  <c r="AE358" i="11"/>
  <c r="AM5" i="11"/>
  <c r="AM12" i="11"/>
  <c r="AM15" i="11"/>
  <c r="AM11" i="11"/>
  <c r="AF5" i="14"/>
  <c r="AF12" i="14"/>
  <c r="AF15" i="14"/>
  <c r="AF11" i="14"/>
  <c r="L5" i="12"/>
  <c r="L12" i="12"/>
  <c r="L15" i="12"/>
  <c r="L11" i="12"/>
  <c r="AR5" i="15"/>
  <c r="AR12" i="15"/>
  <c r="AR15" i="15"/>
  <c r="AR11" i="15"/>
  <c r="AD32" i="11"/>
  <c r="AK15" i="9"/>
  <c r="AD15" i="9"/>
  <c r="AD11" i="9"/>
  <c r="AD5" i="9"/>
  <c r="AD12" i="9"/>
  <c r="O5" i="9"/>
  <c r="O12" i="9"/>
  <c r="O15" i="9"/>
  <c r="O11" i="9"/>
  <c r="Y11" i="13"/>
  <c r="AM32" i="11"/>
  <c r="AO11" i="15"/>
  <c r="U11" i="11"/>
  <c r="AK11" i="11"/>
  <c r="Z117" i="13"/>
  <c r="Z96" i="13"/>
  <c r="AP97" i="13"/>
  <c r="AP15" i="13"/>
  <c r="AP11" i="13"/>
  <c r="AP5" i="13"/>
  <c r="AP118" i="13"/>
  <c r="AP12" i="13"/>
  <c r="AL11" i="14"/>
  <c r="AG355" i="11"/>
  <c r="AG278" i="11" s="1"/>
  <c r="AG353" i="11"/>
  <c r="AG277" i="11"/>
  <c r="AG357" i="11"/>
  <c r="AG360" i="11"/>
  <c r="AG354" i="11"/>
  <c r="AG356" i="11"/>
  <c r="AG359" i="11"/>
  <c r="AG358" i="11"/>
  <c r="Y266" i="11"/>
  <c r="Y5" i="11"/>
  <c r="Y12" i="11"/>
  <c r="Y15" i="11"/>
  <c r="Y11" i="11"/>
  <c r="AS5" i="13"/>
  <c r="AS118" i="13"/>
  <c r="AS12" i="13"/>
  <c r="AS97" i="13"/>
  <c r="AS15" i="13"/>
  <c r="AS11" i="13"/>
  <c r="U5" i="12"/>
  <c r="AS266" i="11"/>
  <c r="K33" i="13"/>
  <c r="R265" i="11"/>
  <c r="R32" i="11"/>
  <c r="AQ15" i="9"/>
  <c r="AQ11" i="9"/>
  <c r="AQ5" i="9"/>
  <c r="AQ12" i="9"/>
  <c r="AE15" i="15"/>
  <c r="AE11" i="15"/>
  <c r="AE5" i="15"/>
  <c r="AE12" i="15"/>
  <c r="AA15" i="11"/>
  <c r="AA11" i="11"/>
  <c r="AA5" i="11"/>
  <c r="AA12" i="11"/>
  <c r="O97" i="13"/>
  <c r="O15" i="13"/>
  <c r="O11" i="13"/>
  <c r="O5" i="13"/>
  <c r="O118" i="13"/>
  <c r="O12" i="13"/>
  <c r="K15" i="14"/>
  <c r="K11" i="14"/>
  <c r="K5" i="14"/>
  <c r="K12" i="14"/>
  <c r="AQ265" i="11"/>
  <c r="AA32" i="11"/>
  <c r="AR265" i="11"/>
  <c r="N266" i="11"/>
  <c r="V266" i="11"/>
  <c r="AD266" i="11"/>
  <c r="AL266" i="11"/>
  <c r="Y11" i="15"/>
  <c r="AM266" i="11"/>
  <c r="L96" i="13"/>
  <c r="L117" i="13"/>
  <c r="AB15" i="13"/>
  <c r="AB11" i="13"/>
  <c r="AC12" i="9"/>
  <c r="S5" i="15"/>
  <c r="S12" i="15"/>
  <c r="S15" i="15"/>
  <c r="S11" i="15"/>
  <c r="AO12" i="13"/>
  <c r="M11" i="14"/>
  <c r="AC11" i="14"/>
  <c r="AS11" i="14"/>
  <c r="AO15" i="15"/>
  <c r="U15" i="11"/>
  <c r="AK15" i="11"/>
  <c r="J74" i="15"/>
  <c r="J75" i="15" s="1"/>
  <c r="J81" i="15" s="1"/>
  <c r="J246" i="9" s="1"/>
  <c r="J247" i="9" s="1"/>
  <c r="K49" i="15"/>
  <c r="L48" i="15"/>
  <c r="K58" i="15"/>
  <c r="AO277" i="11"/>
  <c r="AO360" i="11"/>
  <c r="AO357" i="11"/>
  <c r="AO354" i="11"/>
  <c r="AO355" i="11"/>
  <c r="AO278" i="11" s="1"/>
  <c r="AO353" i="11"/>
  <c r="AO356" i="11"/>
  <c r="AO359" i="11"/>
  <c r="AO358" i="11"/>
  <c r="AG266" i="11"/>
  <c r="M32" i="11"/>
  <c r="M5" i="15"/>
  <c r="M12" i="15"/>
  <c r="M15" i="15"/>
  <c r="M11" i="15"/>
  <c r="AG5" i="11"/>
  <c r="AG12" i="11"/>
  <c r="AG15" i="11"/>
  <c r="AG11" i="11"/>
  <c r="AC15" i="12"/>
  <c r="AC11" i="12"/>
  <c r="Q265" i="11"/>
  <c r="J45" i="13"/>
  <c r="J229" i="9" s="1"/>
  <c r="Z265" i="11"/>
  <c r="Z32" i="11"/>
  <c r="X9" i="15"/>
  <c r="X10" i="15"/>
  <c r="X4" i="15"/>
  <c r="AM15" i="15"/>
  <c r="AM11" i="15"/>
  <c r="AM5" i="15"/>
  <c r="AM12" i="15"/>
  <c r="W97" i="13"/>
  <c r="W15" i="13"/>
  <c r="W5" i="13"/>
  <c r="W118" i="13"/>
  <c r="W12" i="13"/>
  <c r="S15" i="14"/>
  <c r="S11" i="14"/>
  <c r="S5" i="14"/>
  <c r="S12" i="14"/>
  <c r="AG11" i="15"/>
  <c r="N360" i="11"/>
  <c r="N354" i="11"/>
  <c r="N355" i="11"/>
  <c r="N278" i="11" s="1"/>
  <c r="N353" i="11"/>
  <c r="N277" i="11"/>
  <c r="N357" i="11"/>
  <c r="N356" i="11"/>
  <c r="N359" i="11"/>
  <c r="N358" i="11"/>
  <c r="AD277" i="11"/>
  <c r="AD360" i="11"/>
  <c r="AD358" i="11"/>
  <c r="AL360" i="11"/>
  <c r="AA5" i="12"/>
  <c r="AA12" i="12"/>
  <c r="O5" i="11"/>
  <c r="O12" i="11"/>
  <c r="O15" i="11"/>
  <c r="O11" i="11"/>
  <c r="AM277" i="11"/>
  <c r="AM360" i="11"/>
  <c r="AM354" i="11"/>
  <c r="AM355" i="11"/>
  <c r="AM278" i="11" s="1"/>
  <c r="AM353" i="11"/>
  <c r="AM356" i="11"/>
  <c r="AM357" i="11"/>
  <c r="AM358" i="11"/>
  <c r="AM359" i="11"/>
  <c r="AJ96" i="13"/>
  <c r="AJ117" i="13"/>
  <c r="P12" i="14"/>
  <c r="Z15" i="15"/>
  <c r="Z11" i="15"/>
  <c r="Z5" i="15"/>
  <c r="Z12" i="15"/>
  <c r="AA5" i="15"/>
  <c r="AA12" i="15"/>
  <c r="AA15" i="15"/>
  <c r="AA11" i="15"/>
  <c r="N15" i="9"/>
  <c r="N11" i="9"/>
  <c r="N5" i="9"/>
  <c r="N12" i="9"/>
  <c r="P5" i="9"/>
  <c r="M12" i="11"/>
  <c r="AC12" i="11"/>
  <c r="J117" i="13"/>
  <c r="J119" i="13" s="1"/>
  <c r="J122" i="13" s="1"/>
  <c r="J96" i="13"/>
  <c r="Z97" i="13"/>
  <c r="Z15" i="13"/>
  <c r="Z11" i="13"/>
  <c r="Z5" i="13"/>
  <c r="Z118" i="13"/>
  <c r="Z12" i="13"/>
  <c r="N15" i="14"/>
  <c r="N11" i="14"/>
  <c r="N5" i="14"/>
  <c r="N12" i="14"/>
  <c r="AO266" i="11"/>
  <c r="U32" i="11"/>
  <c r="U5" i="15"/>
  <c r="U12" i="15"/>
  <c r="U15" i="15"/>
  <c r="U11" i="15"/>
  <c r="AO5" i="11"/>
  <c r="AO12" i="11"/>
  <c r="AO15" i="11"/>
  <c r="AO11" i="11"/>
  <c r="Y117" i="13"/>
  <c r="Y96" i="13"/>
  <c r="Q15" i="14"/>
  <c r="Y265" i="11"/>
  <c r="X315" i="11"/>
  <c r="AQ15" i="11"/>
  <c r="AQ11" i="11"/>
  <c r="AQ5" i="11"/>
  <c r="AQ12" i="11"/>
  <c r="AE97" i="13"/>
  <c r="AE15" i="13"/>
  <c r="AE5" i="13"/>
  <c r="AE118" i="13"/>
  <c r="AA15" i="14"/>
  <c r="AA11" i="14"/>
  <c r="AA5" i="14"/>
  <c r="AA12" i="14"/>
  <c r="O15" i="12"/>
  <c r="O11" i="12"/>
  <c r="O5" i="12"/>
  <c r="O12" i="12"/>
  <c r="AQ32" i="11"/>
  <c r="AR32" i="11"/>
  <c r="W5" i="14"/>
  <c r="O266" i="11"/>
  <c r="L5" i="13"/>
  <c r="L118" i="13"/>
  <c r="L12" i="13"/>
  <c r="L97" i="13"/>
  <c r="L15" i="13"/>
  <c r="L11" i="13"/>
  <c r="AN5" i="14"/>
  <c r="AN12" i="14"/>
  <c r="AN15" i="14"/>
  <c r="AN11" i="14"/>
  <c r="AR5" i="12"/>
  <c r="AR12" i="12"/>
  <c r="AR15" i="12"/>
  <c r="AR11" i="12"/>
  <c r="AC11" i="9"/>
  <c r="J15" i="12"/>
  <c r="AS12" i="11"/>
  <c r="U12" i="14"/>
  <c r="AG12" i="12"/>
  <c r="AH117" i="13"/>
  <c r="AH96" i="13"/>
  <c r="M265" i="11"/>
  <c r="AC32" i="11"/>
  <c r="AC5" i="15"/>
  <c r="AC12" i="15"/>
  <c r="AC15" i="15"/>
  <c r="AC11" i="15"/>
  <c r="AG117" i="13"/>
  <c r="AG96" i="13"/>
  <c r="Y5" i="14"/>
  <c r="Y12" i="14"/>
  <c r="Y15" i="14"/>
  <c r="Y11" i="14"/>
  <c r="M354" i="11"/>
  <c r="M357" i="11"/>
  <c r="M355" i="11"/>
  <c r="M278" i="11" s="1"/>
  <c r="M353" i="11"/>
  <c r="M356" i="11"/>
  <c r="M277" i="11"/>
  <c r="M360" i="11"/>
  <c r="M358" i="11"/>
  <c r="M359" i="11"/>
  <c r="AG265" i="11"/>
  <c r="Q32" i="11"/>
  <c r="AM97" i="13"/>
  <c r="AM15" i="13"/>
  <c r="AM11" i="13"/>
  <c r="AM5" i="13"/>
  <c r="AM118" i="13"/>
  <c r="AM12" i="13"/>
  <c r="AI15" i="14"/>
  <c r="AI11" i="14"/>
  <c r="AI5" i="14"/>
  <c r="AI12" i="14"/>
  <c r="W15" i="12"/>
  <c r="W11" i="12"/>
  <c r="W5" i="12"/>
  <c r="W12" i="12"/>
  <c r="W32" i="11"/>
  <c r="O360" i="11"/>
  <c r="O355" i="11"/>
  <c r="O278" i="11" s="1"/>
  <c r="O353" i="11"/>
  <c r="O277" i="11"/>
  <c r="O357" i="11"/>
  <c r="O356" i="11"/>
  <c r="O354" i="11"/>
  <c r="O359" i="11"/>
  <c r="O358" i="11"/>
  <c r="W5" i="11"/>
  <c r="W12" i="11"/>
  <c r="W15" i="11"/>
  <c r="W11" i="11"/>
  <c r="T96" i="13"/>
  <c r="T117" i="13"/>
  <c r="AJ5" i="13"/>
  <c r="AJ118" i="13"/>
  <c r="AJ12" i="13"/>
  <c r="AJ97" i="13"/>
  <c r="AJ15" i="13"/>
  <c r="AJ11" i="13"/>
  <c r="Q12" i="15"/>
  <c r="AL265" i="11"/>
  <c r="AB5" i="15"/>
  <c r="AB12" i="15"/>
  <c r="AB15" i="15"/>
  <c r="AB11" i="15"/>
  <c r="N32" i="11"/>
  <c r="K5" i="15"/>
  <c r="K12" i="15"/>
  <c r="K15" i="15"/>
  <c r="K11" i="15"/>
  <c r="W265" i="11"/>
  <c r="M11" i="11"/>
  <c r="AC11" i="11"/>
  <c r="J97" i="13"/>
  <c r="J15" i="13"/>
  <c r="J11" i="13"/>
  <c r="J5" i="13"/>
  <c r="J118" i="13"/>
  <c r="V15" i="14"/>
  <c r="V11" i="14"/>
  <c r="V5" i="14"/>
  <c r="V12" i="14"/>
  <c r="K74" i="15"/>
  <c r="K75" i="15" s="1"/>
  <c r="K81" i="15" s="1"/>
  <c r="K246" i="9" s="1"/>
  <c r="K247" i="9" s="1"/>
  <c r="U265" i="11"/>
  <c r="AK32" i="11"/>
  <c r="J91" i="13"/>
  <c r="K153" i="13"/>
  <c r="J152" i="9"/>
  <c r="Q15" i="9"/>
  <c r="Q11" i="9"/>
  <c r="AK5" i="15"/>
  <c r="AK12" i="15"/>
  <c r="AK15" i="15"/>
  <c r="AK11" i="15"/>
  <c r="M118" i="13"/>
  <c r="M12" i="13"/>
  <c r="M97" i="13"/>
  <c r="M15" i="13"/>
  <c r="AO117" i="13"/>
  <c r="AO96" i="13"/>
  <c r="AG5" i="14"/>
  <c r="AG12" i="14"/>
  <c r="AG15" i="14"/>
  <c r="AG11" i="14"/>
  <c r="U355" i="11"/>
  <c r="U278" i="11" s="1"/>
  <c r="U353" i="11"/>
  <c r="U357" i="11"/>
  <c r="U277" i="11"/>
  <c r="U356" i="11"/>
  <c r="U360" i="11"/>
  <c r="U354" i="11"/>
  <c r="U358" i="11"/>
  <c r="U359" i="11"/>
  <c r="M266" i="11"/>
  <c r="AO265" i="11"/>
  <c r="Y32" i="11"/>
  <c r="AF9" i="15"/>
  <c r="AF10" i="15"/>
  <c r="AF4" i="15"/>
  <c r="K15" i="9"/>
  <c r="K11" i="9"/>
  <c r="K5" i="9"/>
  <c r="K12" i="9"/>
  <c r="AQ15" i="14"/>
  <c r="AQ11" i="14"/>
  <c r="AQ5" i="14"/>
  <c r="AQ12" i="14"/>
  <c r="K265" i="11"/>
  <c r="L265" i="11"/>
  <c r="AH15" i="15"/>
  <c r="AH11" i="15"/>
  <c r="AH5" i="15"/>
  <c r="AH12" i="15"/>
  <c r="W266" i="11"/>
  <c r="AR96" i="13"/>
  <c r="AR117" i="13"/>
  <c r="AI5" i="15"/>
  <c r="AI12" i="15"/>
  <c r="AI15" i="15"/>
  <c r="AI11" i="15"/>
  <c r="AJ5" i="15"/>
  <c r="AJ12" i="15"/>
  <c r="AJ15" i="15"/>
  <c r="AJ11" i="15"/>
  <c r="AS11" i="11"/>
  <c r="Y12" i="13"/>
  <c r="AO15" i="13"/>
  <c r="U11" i="14"/>
  <c r="AG11" i="12"/>
  <c r="R117" i="13"/>
  <c r="R119" i="13" s="1"/>
  <c r="R122" i="13" s="1"/>
  <c r="R96" i="13"/>
  <c r="AH97" i="13"/>
  <c r="AH15" i="13"/>
  <c r="AH11" i="13"/>
  <c r="AH5" i="13"/>
  <c r="AH118" i="13"/>
  <c r="AH12" i="13"/>
  <c r="AC265" i="11"/>
  <c r="AS32" i="11"/>
  <c r="Y15" i="9"/>
  <c r="AS5" i="15"/>
  <c r="AS12" i="15"/>
  <c r="AS15" i="15"/>
  <c r="AS11" i="15"/>
  <c r="U5" i="13"/>
  <c r="U118" i="13"/>
  <c r="U12" i="13"/>
  <c r="U97" i="13"/>
  <c r="U15" i="13"/>
  <c r="U11" i="13"/>
  <c r="AO5" i="14"/>
  <c r="AO12" i="14"/>
  <c r="AO15" i="14"/>
  <c r="AO11" i="14"/>
  <c r="AC357" i="11"/>
  <c r="AC277" i="11"/>
  <c r="AC360" i="11"/>
  <c r="AC354" i="11"/>
  <c r="AC356" i="11"/>
  <c r="AC355" i="11"/>
  <c r="AC278" i="11" s="1"/>
  <c r="AC353" i="11"/>
  <c r="AC358" i="11"/>
  <c r="AC359" i="11"/>
  <c r="U266" i="11"/>
  <c r="AG32" i="11"/>
  <c r="S15" i="9"/>
  <c r="S11" i="9"/>
  <c r="S5" i="9"/>
  <c r="S12" i="9"/>
  <c r="S265" i="11"/>
  <c r="AP15" i="15"/>
  <c r="AP11" i="15"/>
  <c r="AP5" i="15"/>
  <c r="AP12" i="15"/>
  <c r="N15" i="11"/>
  <c r="N11" i="11"/>
  <c r="N5" i="11"/>
  <c r="N12" i="11"/>
  <c r="AE5" i="14"/>
  <c r="AE12" i="14"/>
  <c r="AE15" i="14"/>
  <c r="AE11" i="14"/>
  <c r="W354" i="11"/>
  <c r="W355" i="11"/>
  <c r="W278" i="11" s="1"/>
  <c r="W353" i="11"/>
  <c r="W277" i="11"/>
  <c r="W360" i="11"/>
  <c r="W356" i="11"/>
  <c r="W357" i="11"/>
  <c r="W358" i="11"/>
  <c r="W359" i="11"/>
  <c r="AE5" i="11"/>
  <c r="AE12" i="11"/>
  <c r="AE15" i="11"/>
  <c r="AE11" i="11"/>
  <c r="T5" i="13"/>
  <c r="T118" i="13"/>
  <c r="T12" i="13"/>
  <c r="AP11" i="12"/>
  <c r="AP5" i="12"/>
  <c r="AE32" i="11"/>
  <c r="J15" i="15"/>
  <c r="J11" i="15"/>
  <c r="J5" i="15"/>
  <c r="J12" i="15"/>
  <c r="AE5" i="9"/>
  <c r="AE11" i="9"/>
  <c r="O32" i="11"/>
  <c r="L5" i="15"/>
  <c r="L12" i="15"/>
  <c r="L15" i="15"/>
  <c r="L11" i="15"/>
  <c r="AG11" i="13"/>
  <c r="AP117" i="13"/>
  <c r="AP96" i="13"/>
  <c r="AD15" i="14"/>
  <c r="AD11" i="14"/>
  <c r="AD5" i="14"/>
  <c r="AD12" i="14"/>
  <c r="J134" i="15"/>
  <c r="J135" i="15" s="1"/>
  <c r="J141" i="15" s="1"/>
  <c r="J265" i="9" s="1"/>
  <c r="I23" i="13"/>
  <c r="B275" i="12"/>
  <c r="B26" i="13"/>
  <c r="C226" i="9" s="1"/>
  <c r="B60" i="12"/>
  <c r="B63" i="12"/>
  <c r="D117" i="8"/>
  <c r="B69" i="12"/>
  <c r="C181" i="9" s="1"/>
  <c r="B66" i="12"/>
  <c r="B121" i="12"/>
  <c r="B73" i="11" s="1"/>
  <c r="B195" i="11" s="1"/>
  <c r="B243" i="12" s="1"/>
  <c r="B118" i="12"/>
  <c r="D124" i="8"/>
  <c r="B130" i="12"/>
  <c r="B91" i="9" s="1"/>
  <c r="B127" i="12"/>
  <c r="C204" i="9" s="1"/>
  <c r="B124" i="12"/>
  <c r="B287" i="12"/>
  <c r="B114" i="9" s="1"/>
  <c r="B284" i="12"/>
  <c r="C211" i="9" s="1"/>
  <c r="B281" i="12"/>
  <c r="B278" i="12"/>
  <c r="AJ72" i="25" l="1"/>
  <c r="AN34" i="10"/>
  <c r="AK72" i="25" s="1"/>
  <c r="AF89" i="10"/>
  <c r="U89" i="10"/>
  <c r="AD89" i="10"/>
  <c r="V89" i="10"/>
  <c r="AK89" i="10"/>
  <c r="AH89" i="10"/>
  <c r="P89" i="10"/>
  <c r="J30" i="10"/>
  <c r="AG89" i="10"/>
  <c r="L89" i="10"/>
  <c r="R89" i="10"/>
  <c r="AL89" i="10"/>
  <c r="AP89" i="10"/>
  <c r="AO89" i="10"/>
  <c r="X89" i="10"/>
  <c r="M89" i="10"/>
  <c r="AS89" i="10"/>
  <c r="N89" i="10"/>
  <c r="AC89" i="10"/>
  <c r="Q89" i="10"/>
  <c r="Z89" i="10"/>
  <c r="Y89" i="10"/>
  <c r="AB89" i="10"/>
  <c r="K34" i="12"/>
  <c r="K43" i="12" s="1"/>
  <c r="J40" i="12"/>
  <c r="J41" i="12" s="1"/>
  <c r="J12" i="10"/>
  <c r="AH15" i="9"/>
  <c r="AH11" i="9"/>
  <c r="S11" i="12"/>
  <c r="AG5" i="9"/>
  <c r="J15" i="10"/>
  <c r="AO15" i="12"/>
  <c r="Y12" i="9"/>
  <c r="AP15" i="12"/>
  <c r="Y5" i="9"/>
  <c r="Q11" i="12"/>
  <c r="Q12" i="12"/>
  <c r="AJ12" i="9"/>
  <c r="AH12" i="9"/>
  <c r="AE15" i="9"/>
  <c r="Q12" i="9"/>
  <c r="AC12" i="12"/>
  <c r="S12" i="11"/>
  <c r="AS11" i="12"/>
  <c r="AA11" i="12"/>
  <c r="S5" i="11"/>
  <c r="U11" i="9"/>
  <c r="S15" i="12"/>
  <c r="S359" i="11"/>
  <c r="AJ11" i="9"/>
  <c r="AJ11" i="11"/>
  <c r="J12" i="12"/>
  <c r="AM12" i="9"/>
  <c r="M12" i="9"/>
  <c r="U15" i="9"/>
  <c r="S101" i="11"/>
  <c r="AJ15" i="11"/>
  <c r="R355" i="11"/>
  <c r="R278" i="11" s="1"/>
  <c r="U12" i="9"/>
  <c r="J89" i="10"/>
  <c r="AM11" i="9"/>
  <c r="T15" i="9"/>
  <c r="AM15" i="9"/>
  <c r="AF12" i="9"/>
  <c r="T11" i="9"/>
  <c r="AL12" i="11"/>
  <c r="AK15" i="14"/>
  <c r="Q5" i="14"/>
  <c r="N15" i="12"/>
  <c r="S353" i="11"/>
  <c r="AK11" i="14"/>
  <c r="S354" i="11"/>
  <c r="AI359" i="11"/>
  <c r="N11" i="12"/>
  <c r="N12" i="12"/>
  <c r="R277" i="11"/>
  <c r="AF15" i="9"/>
  <c r="AF5" i="9"/>
  <c r="R15" i="11"/>
  <c r="M5" i="13"/>
  <c r="AE12" i="13"/>
  <c r="W15" i="9"/>
  <c r="J69" i="9"/>
  <c r="J70" i="9" s="1"/>
  <c r="J71" i="13"/>
  <c r="Q10" i="13"/>
  <c r="Q4" i="13"/>
  <c r="Q9" i="13"/>
  <c r="AF11" i="9"/>
  <c r="W117" i="13"/>
  <c r="W96" i="13"/>
  <c r="AK96" i="13"/>
  <c r="AK117" i="13"/>
  <c r="O119" i="13"/>
  <c r="O122" i="13" s="1"/>
  <c r="J140" i="9"/>
  <c r="J141" i="9" s="1"/>
  <c r="J146" i="9" s="1"/>
  <c r="K59" i="13"/>
  <c r="AE117" i="13"/>
  <c r="AE96" i="13"/>
  <c r="J11" i="12"/>
  <c r="AL354" i="11"/>
  <c r="AI15" i="9"/>
  <c r="M15" i="12"/>
  <c r="AK12" i="12"/>
  <c r="AL358" i="11"/>
  <c r="AL277" i="11"/>
  <c r="M5" i="12"/>
  <c r="Y12" i="12"/>
  <c r="T15" i="12"/>
  <c r="AL359" i="11"/>
  <c r="AK15" i="12"/>
  <c r="AL357" i="11"/>
  <c r="AD12" i="11"/>
  <c r="Z12" i="12"/>
  <c r="AL356" i="11"/>
  <c r="Y15" i="12"/>
  <c r="V15" i="11"/>
  <c r="AL353" i="11"/>
  <c r="Y11" i="12"/>
  <c r="AI11" i="9"/>
  <c r="AS12" i="12"/>
  <c r="AO11" i="12"/>
  <c r="P100" i="11"/>
  <c r="P33" i="11" s="1"/>
  <c r="Z12" i="11"/>
  <c r="V12" i="11"/>
  <c r="AO12" i="12"/>
  <c r="Z11" i="12"/>
  <c r="AD15" i="11"/>
  <c r="Z15" i="12"/>
  <c r="V5" i="11"/>
  <c r="M11" i="9"/>
  <c r="AN11" i="10"/>
  <c r="V11" i="11"/>
  <c r="Q11" i="10"/>
  <c r="Z15" i="11"/>
  <c r="AD11" i="11"/>
  <c r="Q12" i="10"/>
  <c r="AF9" i="11"/>
  <c r="R359" i="11"/>
  <c r="R354" i="11"/>
  <c r="R353" i="11"/>
  <c r="R360" i="11"/>
  <c r="R356" i="11"/>
  <c r="R358" i="11"/>
  <c r="AF4" i="11"/>
  <c r="J44" i="12"/>
  <c r="AG15" i="10"/>
  <c r="AM15" i="10"/>
  <c r="AG11" i="10"/>
  <c r="M11" i="10"/>
  <c r="P12" i="9"/>
  <c r="V15" i="9"/>
  <c r="AJ12" i="12"/>
  <c r="AL11" i="11"/>
  <c r="AM12" i="12"/>
  <c r="X12" i="9"/>
  <c r="AD359" i="11"/>
  <c r="K97" i="12"/>
  <c r="J259" i="12"/>
  <c r="AL15" i="11"/>
  <c r="V12" i="9"/>
  <c r="AK11" i="12"/>
  <c r="AD356" i="11"/>
  <c r="U12" i="10"/>
  <c r="V5" i="9"/>
  <c r="P11" i="9"/>
  <c r="AD357" i="11"/>
  <c r="V11" i="9"/>
  <c r="P15" i="9"/>
  <c r="AD353" i="11"/>
  <c r="AD355" i="11"/>
  <c r="AD278" i="11" s="1"/>
  <c r="AL15" i="9"/>
  <c r="T12" i="12"/>
  <c r="AI12" i="9"/>
  <c r="K163" i="12"/>
  <c r="K193" i="12" s="1"/>
  <c r="J169" i="12"/>
  <c r="J170" i="12" s="1"/>
  <c r="J190" i="12"/>
  <c r="J191" i="12" s="1"/>
  <c r="AQ56" i="14"/>
  <c r="AK12" i="14"/>
  <c r="AL12" i="14"/>
  <c r="AL5" i="14"/>
  <c r="X11" i="14"/>
  <c r="AB5" i="14"/>
  <c r="AB11" i="14"/>
  <c r="M55" i="14"/>
  <c r="AP56" i="14" s="1"/>
  <c r="P11" i="14"/>
  <c r="X12" i="14"/>
  <c r="Q11" i="14"/>
  <c r="P15" i="14"/>
  <c r="AR56" i="14"/>
  <c r="M64" i="14"/>
  <c r="N64" i="14" s="1"/>
  <c r="AO65" i="14" s="1"/>
  <c r="AR12" i="14"/>
  <c r="AR11" i="14"/>
  <c r="U63" i="14"/>
  <c r="X15" i="14"/>
  <c r="AN15" i="10"/>
  <c r="AN12" i="10"/>
  <c r="AI11" i="12"/>
  <c r="J73" i="14"/>
  <c r="AI15" i="12"/>
  <c r="AL12" i="9"/>
  <c r="L15" i="10"/>
  <c r="AL15" i="12"/>
  <c r="X15" i="12"/>
  <c r="AI12" i="12"/>
  <c r="AL5" i="9"/>
  <c r="L11" i="10"/>
  <c r="L12" i="10"/>
  <c r="AB12" i="11"/>
  <c r="AL11" i="9"/>
  <c r="X11" i="12"/>
  <c r="X12" i="12"/>
  <c r="J173" i="12"/>
  <c r="AB15" i="9"/>
  <c r="J212" i="12"/>
  <c r="J194" i="12"/>
  <c r="X11" i="9"/>
  <c r="X15" i="9"/>
  <c r="AR12" i="9"/>
  <c r="J33" i="15"/>
  <c r="J66" i="9"/>
  <c r="J220" i="9"/>
  <c r="P15" i="13"/>
  <c r="AB12" i="13"/>
  <c r="AQ10" i="13"/>
  <c r="AB118" i="13"/>
  <c r="AB5" i="13"/>
  <c r="V13" i="13"/>
  <c r="V14" i="13" s="1"/>
  <c r="T15" i="13"/>
  <c r="P117" i="13"/>
  <c r="P119" i="13" s="1"/>
  <c r="P122" i="13" s="1"/>
  <c r="P96" i="13"/>
  <c r="T11" i="13"/>
  <c r="P12" i="13"/>
  <c r="AA15" i="10"/>
  <c r="Q15" i="10"/>
  <c r="W12" i="10"/>
  <c r="AP15" i="10"/>
  <c r="AL11" i="10"/>
  <c r="AC11" i="10"/>
  <c r="AC12" i="10"/>
  <c r="AP12" i="10"/>
  <c r="K15" i="10"/>
  <c r="X15" i="10"/>
  <c r="N11" i="10"/>
  <c r="X11" i="10"/>
  <c r="X12" i="10"/>
  <c r="U11" i="10"/>
  <c r="N5" i="10"/>
  <c r="Y12" i="10"/>
  <c r="Y5" i="10"/>
  <c r="AM11" i="10"/>
  <c r="AM5" i="10"/>
  <c r="AL15" i="10"/>
  <c r="T12" i="10"/>
  <c r="K5" i="10"/>
  <c r="AH11" i="10"/>
  <c r="K12" i="10"/>
  <c r="AL5" i="10"/>
  <c r="AF99" i="11"/>
  <c r="AF10" i="11"/>
  <c r="AF5" i="11" s="1"/>
  <c r="M12" i="10"/>
  <c r="AQ11" i="12"/>
  <c r="AM11" i="12"/>
  <c r="AF126" i="11"/>
  <c r="AS11" i="9"/>
  <c r="AQ15" i="12"/>
  <c r="AB15" i="11"/>
  <c r="AF314" i="11"/>
  <c r="AF265" i="11" s="1"/>
  <c r="AB11" i="12"/>
  <c r="AS12" i="9"/>
  <c r="AQ12" i="12"/>
  <c r="R11" i="10"/>
  <c r="AF100" i="11"/>
  <c r="AF33" i="11" s="1"/>
  <c r="W11" i="9"/>
  <c r="AB15" i="12"/>
  <c r="AD9" i="13"/>
  <c r="AF315" i="11"/>
  <c r="W12" i="9"/>
  <c r="AB12" i="12"/>
  <c r="AD10" i="13"/>
  <c r="N13" i="13"/>
  <c r="N14" i="13" s="1"/>
  <c r="AF352" i="11"/>
  <c r="AF277" i="11" s="1"/>
  <c r="AD13" i="13"/>
  <c r="AD14" i="13" s="1"/>
  <c r="S357" i="11"/>
  <c r="AI15" i="11"/>
  <c r="AH353" i="11"/>
  <c r="S355" i="11"/>
  <c r="S278" i="11" s="1"/>
  <c r="AI15" i="10"/>
  <c r="AE11" i="10"/>
  <c r="AA4" i="13"/>
  <c r="AA9" i="13"/>
  <c r="AA10" i="13"/>
  <c r="Y11" i="10"/>
  <c r="K250" i="12"/>
  <c r="L249" i="12" s="1"/>
  <c r="L258" i="12" s="1"/>
  <c r="AE15" i="12"/>
  <c r="AQ9" i="13"/>
  <c r="AQ4" i="13"/>
  <c r="K35" i="12"/>
  <c r="K10" i="13"/>
  <c r="K9" i="13"/>
  <c r="AI10" i="13"/>
  <c r="AI4" i="13"/>
  <c r="AI9" i="13"/>
  <c r="S10" i="13"/>
  <c r="S4" i="13"/>
  <c r="S9" i="13"/>
  <c r="N5" i="15"/>
  <c r="N12" i="15"/>
  <c r="N15" i="15"/>
  <c r="N11" i="15"/>
  <c r="N15" i="10"/>
  <c r="V5" i="10"/>
  <c r="AE15" i="10"/>
  <c r="V11" i="10"/>
  <c r="AE12" i="10"/>
  <c r="AE5" i="10"/>
  <c r="W15" i="10"/>
  <c r="V12" i="10"/>
  <c r="AM12" i="10"/>
  <c r="K11" i="10"/>
  <c r="AD5" i="10"/>
  <c r="AR11" i="10"/>
  <c r="AD11" i="10"/>
  <c r="AD15" i="10"/>
  <c r="AI12" i="10"/>
  <c r="O15" i="10"/>
  <c r="AI11" i="10"/>
  <c r="AR15" i="10"/>
  <c r="P15" i="10"/>
  <c r="AF5" i="10"/>
  <c r="AK11" i="10"/>
  <c r="AF12" i="10"/>
  <c r="AQ12" i="10"/>
  <c r="AO12" i="10"/>
  <c r="AK12" i="10"/>
  <c r="P5" i="10"/>
  <c r="AJ11" i="10"/>
  <c r="AO11" i="10"/>
  <c r="AF11" i="10"/>
  <c r="AO5" i="10"/>
  <c r="AJ12" i="10"/>
  <c r="S12" i="10"/>
  <c r="S15" i="10"/>
  <c r="AM10" i="14"/>
  <c r="AM4" i="14"/>
  <c r="AM9" i="14"/>
  <c r="O4" i="14"/>
  <c r="O10" i="14"/>
  <c r="O9" i="14"/>
  <c r="W9" i="14"/>
  <c r="W12" i="14" s="1"/>
  <c r="W4" i="14"/>
  <c r="R12" i="10"/>
  <c r="O11" i="10"/>
  <c r="AJ15" i="10"/>
  <c r="S11" i="10"/>
  <c r="AR12" i="10"/>
  <c r="O12" i="10"/>
  <c r="AQ11" i="10"/>
  <c r="AS11" i="10"/>
  <c r="W5" i="9"/>
  <c r="P12" i="10"/>
  <c r="AB12" i="9"/>
  <c r="V277" i="11"/>
  <c r="AN315" i="11"/>
  <c r="AN266" i="11" s="1"/>
  <c r="AB11" i="9"/>
  <c r="R15" i="12"/>
  <c r="AH12" i="12"/>
  <c r="T11" i="10"/>
  <c r="AN12" i="12"/>
  <c r="T5" i="12"/>
  <c r="AQ15" i="10"/>
  <c r="R5" i="12"/>
  <c r="AN352" i="11"/>
  <c r="J315" i="11"/>
  <c r="J266" i="11" s="1"/>
  <c r="AH12" i="11"/>
  <c r="AH11" i="11"/>
  <c r="AN12" i="9"/>
  <c r="R11" i="12"/>
  <c r="AN9" i="11"/>
  <c r="AH15" i="11"/>
  <c r="S360" i="11"/>
  <c r="S277" i="11"/>
  <c r="AN4" i="11"/>
  <c r="AB15" i="10"/>
  <c r="AB12" i="10"/>
  <c r="U11" i="12"/>
  <c r="AN314" i="11"/>
  <c r="AN10" i="11"/>
  <c r="AN5" i="11" s="1"/>
  <c r="U15" i="12"/>
  <c r="AN126" i="11"/>
  <c r="T5" i="10"/>
  <c r="T11" i="12"/>
  <c r="AH11" i="12"/>
  <c r="AS12" i="10"/>
  <c r="AN99" i="11"/>
  <c r="AN32" i="11" s="1"/>
  <c r="AB11" i="10"/>
  <c r="AL11" i="12"/>
  <c r="T15" i="10"/>
  <c r="AN100" i="11"/>
  <c r="AN33" i="11" s="1"/>
  <c r="AH12" i="10"/>
  <c r="AB211" i="11"/>
  <c r="AB109" i="11" s="1"/>
  <c r="AH15" i="12"/>
  <c r="AA12" i="10"/>
  <c r="K11" i="12"/>
  <c r="X352" i="11"/>
  <c r="X354" i="11" s="1"/>
  <c r="P315" i="11"/>
  <c r="P266" i="11" s="1"/>
  <c r="AH358" i="11"/>
  <c r="K211" i="11"/>
  <c r="K109" i="11" s="1"/>
  <c r="AN211" i="11"/>
  <c r="AN109" i="11" s="1"/>
  <c r="AE211" i="11"/>
  <c r="AE109" i="11" s="1"/>
  <c r="AG211" i="11"/>
  <c r="AG109" i="11" s="1"/>
  <c r="AI211" i="11"/>
  <c r="AI109" i="11" s="1"/>
  <c r="Y211" i="11"/>
  <c r="Y109" i="11" s="1"/>
  <c r="AO211" i="11"/>
  <c r="AO109" i="11" s="1"/>
  <c r="AE12" i="12"/>
  <c r="K15" i="12"/>
  <c r="X9" i="11"/>
  <c r="P352" i="11"/>
  <c r="P353" i="11" s="1"/>
  <c r="AJ11" i="12"/>
  <c r="W211" i="11"/>
  <c r="W109" i="11" s="1"/>
  <c r="P211" i="11"/>
  <c r="P109" i="11" s="1"/>
  <c r="AE11" i="12"/>
  <c r="AA11" i="10"/>
  <c r="X4" i="11"/>
  <c r="P9" i="11"/>
  <c r="AJ15" i="12"/>
  <c r="AH211" i="11"/>
  <c r="AH109" i="11" s="1"/>
  <c r="S211" i="11"/>
  <c r="S109" i="11" s="1"/>
  <c r="AQ211" i="11"/>
  <c r="AQ109" i="11" s="1"/>
  <c r="X211" i="11"/>
  <c r="X109" i="11" s="1"/>
  <c r="O211" i="11"/>
  <c r="O109" i="11" s="1"/>
  <c r="AP211" i="11"/>
  <c r="AP109" i="11" s="1"/>
  <c r="X126" i="11"/>
  <c r="X10" i="11"/>
  <c r="X5" i="11" s="1"/>
  <c r="AI12" i="11"/>
  <c r="P4" i="11"/>
  <c r="AH359" i="11"/>
  <c r="AH357" i="11"/>
  <c r="AH277" i="11"/>
  <c r="AH354" i="11"/>
  <c r="AH355" i="11"/>
  <c r="AH278" i="11" s="1"/>
  <c r="V211" i="11"/>
  <c r="V109" i="11" s="1"/>
  <c r="N211" i="11"/>
  <c r="N109" i="11" s="1"/>
  <c r="M211" i="11"/>
  <c r="M109" i="11" s="1"/>
  <c r="AM211" i="11"/>
  <c r="AM109" i="11" s="1"/>
  <c r="AN11" i="9"/>
  <c r="X99" i="11"/>
  <c r="AI5" i="11"/>
  <c r="P99" i="11"/>
  <c r="Y101" i="11" s="1"/>
  <c r="P10" i="11"/>
  <c r="J211" i="11"/>
  <c r="J109" i="11" s="1"/>
  <c r="AS211" i="11"/>
  <c r="AS109" i="11" s="1"/>
  <c r="U211" i="11"/>
  <c r="U109" i="11" s="1"/>
  <c r="AL211" i="11"/>
  <c r="AL109" i="11" s="1"/>
  <c r="AA211" i="11"/>
  <c r="AA109" i="11" s="1"/>
  <c r="AK211" i="11"/>
  <c r="AK109" i="11" s="1"/>
  <c r="R211" i="11"/>
  <c r="R109" i="11" s="1"/>
  <c r="AN15" i="9"/>
  <c r="X314" i="11"/>
  <c r="X265" i="11" s="1"/>
  <c r="AI11" i="11"/>
  <c r="P314" i="11"/>
  <c r="P265" i="11" s="1"/>
  <c r="AF211" i="11"/>
  <c r="AF109" i="11" s="1"/>
  <c r="Z211" i="11"/>
  <c r="Z109" i="11" s="1"/>
  <c r="L211" i="11"/>
  <c r="L109" i="11" s="1"/>
  <c r="AC211" i="11"/>
  <c r="AC109" i="11" s="1"/>
  <c r="AD211" i="11"/>
  <c r="AD109" i="11" s="1"/>
  <c r="AP314" i="11"/>
  <c r="X100" i="11"/>
  <c r="X33" i="11" s="1"/>
  <c r="P126" i="11"/>
  <c r="AH356" i="11"/>
  <c r="AR211" i="11"/>
  <c r="AR109" i="11" s="1"/>
  <c r="T211" i="11"/>
  <c r="T109" i="11" s="1"/>
  <c r="AJ211" i="11"/>
  <c r="AJ109" i="11" s="1"/>
  <c r="Q211" i="11"/>
  <c r="Q109" i="11" s="1"/>
  <c r="T12" i="11"/>
  <c r="P11" i="12"/>
  <c r="AJ359" i="11"/>
  <c r="AJ360" i="11"/>
  <c r="AJ277" i="11"/>
  <c r="AJ357" i="11"/>
  <c r="AJ355" i="11"/>
  <c r="AJ278" i="11" s="1"/>
  <c r="AJ353" i="11"/>
  <c r="AJ354" i="11"/>
  <c r="AJ356" i="11"/>
  <c r="AJ358" i="11"/>
  <c r="T15" i="11"/>
  <c r="AL12" i="12"/>
  <c r="AI356" i="11"/>
  <c r="AI357" i="11"/>
  <c r="AI354" i="11"/>
  <c r="AI360" i="11"/>
  <c r="AI355" i="11"/>
  <c r="AI278" i="11" s="1"/>
  <c r="AI277" i="11"/>
  <c r="AI353" i="11"/>
  <c r="AN15" i="12"/>
  <c r="AR11" i="9"/>
  <c r="AB359" i="11"/>
  <c r="AB353" i="11"/>
  <c r="AB354" i="11"/>
  <c r="AB356" i="11"/>
  <c r="AB357" i="11"/>
  <c r="AB355" i="11"/>
  <c r="AB278" i="11" s="1"/>
  <c r="AB358" i="11"/>
  <c r="AB360" i="11"/>
  <c r="AB277" i="11"/>
  <c r="AP126" i="11"/>
  <c r="N101" i="11"/>
  <c r="N113" i="11" s="1"/>
  <c r="V354" i="11"/>
  <c r="R101" i="11"/>
  <c r="R114" i="11" s="1"/>
  <c r="R115" i="11" s="1"/>
  <c r="J101" i="11"/>
  <c r="J314" i="11"/>
  <c r="V12" i="12"/>
  <c r="L11" i="11"/>
  <c r="L12" i="11"/>
  <c r="L15" i="11"/>
  <c r="W11" i="10"/>
  <c r="AP99" i="11"/>
  <c r="AP32" i="11" s="1"/>
  <c r="V360" i="11"/>
  <c r="J32" i="11"/>
  <c r="K101" i="11"/>
  <c r="K114" i="11" s="1"/>
  <c r="K115" i="11" s="1"/>
  <c r="J126" i="11"/>
  <c r="Z15" i="10"/>
  <c r="J13" i="11"/>
  <c r="J14" i="11" s="1"/>
  <c r="AP13" i="11"/>
  <c r="AP14" i="11" s="1"/>
  <c r="AP4" i="11"/>
  <c r="V353" i="11"/>
  <c r="T101" i="11"/>
  <c r="T113" i="11" s="1"/>
  <c r="K164" i="12"/>
  <c r="J352" i="11"/>
  <c r="J355" i="11" s="1"/>
  <c r="J278" i="11" s="1"/>
  <c r="Z12" i="10"/>
  <c r="AF11" i="12"/>
  <c r="AF5" i="12"/>
  <c r="AF12" i="12"/>
  <c r="AF15" i="12"/>
  <c r="AP10" i="11"/>
  <c r="AP5" i="11" s="1"/>
  <c r="V358" i="11"/>
  <c r="V355" i="11"/>
  <c r="V278" i="11" s="1"/>
  <c r="J4" i="11"/>
  <c r="J100" i="11"/>
  <c r="J33" i="11" s="1"/>
  <c r="L15" i="9"/>
  <c r="L11" i="9"/>
  <c r="L5" i="9"/>
  <c r="L12" i="9"/>
  <c r="O101" i="11"/>
  <c r="O113" i="11" s="1"/>
  <c r="AP100" i="11"/>
  <c r="AP33" i="11" s="1"/>
  <c r="AP9" i="11"/>
  <c r="V359" i="11"/>
  <c r="J9" i="11"/>
  <c r="P15" i="12"/>
  <c r="P5" i="12"/>
  <c r="AR15" i="9"/>
  <c r="AP352" i="11"/>
  <c r="AP360" i="11" s="1"/>
  <c r="V357" i="11"/>
  <c r="M101" i="11"/>
  <c r="M114" i="11" s="1"/>
  <c r="M115" i="11" s="1"/>
  <c r="L101" i="11"/>
  <c r="L114" i="11" s="1"/>
  <c r="L115" i="11" s="1"/>
  <c r="J10" i="11"/>
  <c r="J15" i="11" s="1"/>
  <c r="Q101" i="11"/>
  <c r="Q114" i="11" s="1"/>
  <c r="Q115" i="11" s="1"/>
  <c r="V15" i="12"/>
  <c r="T119" i="13"/>
  <c r="T122" i="13" s="1"/>
  <c r="T131" i="13" s="1"/>
  <c r="U119" i="13"/>
  <c r="U122" i="13" s="1"/>
  <c r="U137" i="13" s="1"/>
  <c r="U138" i="13" s="1"/>
  <c r="AL117" i="13"/>
  <c r="AL96" i="13"/>
  <c r="K143" i="9"/>
  <c r="K144" i="9" s="1"/>
  <c r="K149" i="15"/>
  <c r="K151" i="15" s="1"/>
  <c r="K152" i="15" s="1"/>
  <c r="K153" i="15" s="1"/>
  <c r="L131" i="15"/>
  <c r="L132" i="15" s="1"/>
  <c r="J169" i="15"/>
  <c r="K168" i="15"/>
  <c r="J178" i="15"/>
  <c r="AL5" i="13"/>
  <c r="AL118" i="13"/>
  <c r="AL12" i="13"/>
  <c r="AL15" i="13"/>
  <c r="AL97" i="13"/>
  <c r="AL11" i="13"/>
  <c r="L148" i="15"/>
  <c r="M138" i="15"/>
  <c r="L139" i="15"/>
  <c r="N15" i="13"/>
  <c r="N11" i="13"/>
  <c r="N5" i="13"/>
  <c r="N12" i="13"/>
  <c r="N118" i="13"/>
  <c r="N97" i="13"/>
  <c r="K89" i="15"/>
  <c r="K91" i="15" s="1"/>
  <c r="K92" i="15" s="1"/>
  <c r="K93" i="15" s="1"/>
  <c r="K103" i="9"/>
  <c r="K104" i="9" s="1"/>
  <c r="L71" i="15"/>
  <c r="L72" i="15" s="1"/>
  <c r="L79" i="15"/>
  <c r="M78" i="15"/>
  <c r="L88" i="15"/>
  <c r="J118" i="15"/>
  <c r="J109" i="15"/>
  <c r="K108" i="15"/>
  <c r="AD5" i="13"/>
  <c r="AD118" i="13"/>
  <c r="AD97" i="13"/>
  <c r="V12" i="13"/>
  <c r="V97" i="13"/>
  <c r="V15" i="13"/>
  <c r="V11" i="13"/>
  <c r="V5" i="13"/>
  <c r="V118" i="13"/>
  <c r="V96" i="13"/>
  <c r="V117" i="13"/>
  <c r="N117" i="13"/>
  <c r="N119" i="13" s="1"/>
  <c r="N122" i="13" s="1"/>
  <c r="N96" i="13"/>
  <c r="L119" i="13"/>
  <c r="L122" i="13" s="1"/>
  <c r="K44" i="12"/>
  <c r="O129" i="13"/>
  <c r="O133" i="13" s="1"/>
  <c r="O100" i="13"/>
  <c r="O137" i="13"/>
  <c r="O138" i="13" s="1"/>
  <c r="O131" i="13"/>
  <c r="AP265" i="11"/>
  <c r="I208" i="10"/>
  <c r="K73" i="2" s="1"/>
  <c r="M73" i="2" s="1"/>
  <c r="I207" i="10"/>
  <c r="K19" i="2" s="1"/>
  <c r="M19" i="2" s="1"/>
  <c r="J46" i="13"/>
  <c r="J126" i="9" s="1"/>
  <c r="K59" i="15"/>
  <c r="K61" i="15" s="1"/>
  <c r="K44" i="15"/>
  <c r="K45" i="15" s="1"/>
  <c r="K51" i="15" s="1"/>
  <c r="K237" i="9" s="1"/>
  <c r="K238" i="9" s="1"/>
  <c r="L41" i="15"/>
  <c r="L42" i="15" s="1"/>
  <c r="K94" i="9"/>
  <c r="K95" i="9" s="1"/>
  <c r="L96" i="12"/>
  <c r="L97" i="12" s="1"/>
  <c r="AF15" i="15"/>
  <c r="AF11" i="15"/>
  <c r="AF5" i="15"/>
  <c r="AF12" i="15"/>
  <c r="M48" i="15"/>
  <c r="L49" i="15"/>
  <c r="L58" i="15"/>
  <c r="R113" i="11"/>
  <c r="AF15" i="11"/>
  <c r="K156" i="13"/>
  <c r="K88" i="13"/>
  <c r="X15" i="15"/>
  <c r="X11" i="15"/>
  <c r="X5" i="15"/>
  <c r="X12" i="15"/>
  <c r="X266" i="11"/>
  <c r="J100" i="13"/>
  <c r="J137" i="13"/>
  <c r="J138" i="13" s="1"/>
  <c r="J129" i="13"/>
  <c r="J133" i="13" s="1"/>
  <c r="J131" i="13"/>
  <c r="K44" i="13"/>
  <c r="K68" i="9" s="1"/>
  <c r="K37" i="13"/>
  <c r="K139" i="9" s="1"/>
  <c r="S114" i="11"/>
  <c r="S115" i="11" s="1"/>
  <c r="S113" i="11"/>
  <c r="K113" i="11"/>
  <c r="AP266" i="11"/>
  <c r="X353" i="11"/>
  <c r="X360" i="11"/>
  <c r="X358" i="11"/>
  <c r="K259" i="12"/>
  <c r="AF266" i="11"/>
  <c r="AN15" i="15"/>
  <c r="AN11" i="15"/>
  <c r="AN5" i="15"/>
  <c r="AN12" i="15"/>
  <c r="AN265" i="11"/>
  <c r="R100" i="13"/>
  <c r="R137" i="13"/>
  <c r="R138" i="13" s="1"/>
  <c r="R129" i="13"/>
  <c r="R130" i="13" s="1"/>
  <c r="R131" i="13"/>
  <c r="AF32" i="11"/>
  <c r="X32" i="11"/>
  <c r="M119" i="13"/>
  <c r="M122" i="13" s="1"/>
  <c r="P15" i="15"/>
  <c r="P11" i="15"/>
  <c r="P5" i="15"/>
  <c r="P12" i="15"/>
  <c r="AN355" i="11"/>
  <c r="AN278" i="11" s="1"/>
  <c r="AN353" i="11"/>
  <c r="AN354" i="11"/>
  <c r="AN360" i="11"/>
  <c r="AN277" i="11"/>
  <c r="AN357" i="11"/>
  <c r="AN356" i="11"/>
  <c r="AN359" i="11"/>
  <c r="AN358" i="11"/>
  <c r="B27" i="13"/>
  <c r="B23" i="13"/>
  <c r="AN89" i="10" l="1"/>
  <c r="J72" i="9"/>
  <c r="L34" i="12"/>
  <c r="K40" i="12"/>
  <c r="K41" i="12" s="1"/>
  <c r="X355" i="11"/>
  <c r="X278" i="11" s="1"/>
  <c r="AN15" i="11"/>
  <c r="K172" i="12"/>
  <c r="AN11" i="11"/>
  <c r="P358" i="11"/>
  <c r="P355" i="11"/>
  <c r="P278" i="11" s="1"/>
  <c r="T129" i="13"/>
  <c r="T130" i="13" s="1"/>
  <c r="Q12" i="13"/>
  <c r="Q117" i="13"/>
  <c r="Q119" i="13" s="1"/>
  <c r="Q122" i="13" s="1"/>
  <c r="Q137" i="13" s="1"/>
  <c r="Q138" i="13" s="1"/>
  <c r="Q96" i="13"/>
  <c r="Q97" i="13"/>
  <c r="Q5" i="13"/>
  <c r="Q118" i="13"/>
  <c r="Q15" i="13"/>
  <c r="Q11" i="13"/>
  <c r="J230" i="9"/>
  <c r="J231" i="9" s="1"/>
  <c r="J233" i="9" s="1"/>
  <c r="J72" i="13"/>
  <c r="K63" i="13"/>
  <c r="K70" i="13"/>
  <c r="AL101" i="11"/>
  <c r="AJ101" i="11"/>
  <c r="AJ113" i="11" s="1"/>
  <c r="AN12" i="11"/>
  <c r="AF11" i="11"/>
  <c r="AF12" i="11"/>
  <c r="L250" i="12"/>
  <c r="AH316" i="11"/>
  <c r="AA316" i="11"/>
  <c r="AA336" i="11" s="1"/>
  <c r="Z316" i="11"/>
  <c r="Z337" i="11" s="1"/>
  <c r="Q113" i="11"/>
  <c r="P12" i="11"/>
  <c r="AF101" i="11"/>
  <c r="O114" i="11"/>
  <c r="O115" i="11" s="1"/>
  <c r="P15" i="11"/>
  <c r="P101" i="11"/>
  <c r="P114" i="11" s="1"/>
  <c r="P115" i="11" s="1"/>
  <c r="AA101" i="11"/>
  <c r="AA114" i="11" s="1"/>
  <c r="AA115" i="11" s="1"/>
  <c r="AP101" i="11"/>
  <c r="AP114" i="11" s="1"/>
  <c r="AP115" i="11" s="1"/>
  <c r="P32" i="11"/>
  <c r="U101" i="11"/>
  <c r="V101" i="11"/>
  <c r="V114" i="11" s="1"/>
  <c r="V115" i="11" s="1"/>
  <c r="P11" i="11"/>
  <c r="AO101" i="11"/>
  <c r="AQ101" i="11"/>
  <c r="AQ114" i="11" s="1"/>
  <c r="AQ115" i="11" s="1"/>
  <c r="AK101" i="11"/>
  <c r="AK114" i="11" s="1"/>
  <c r="AK115" i="11" s="1"/>
  <c r="AE101" i="11"/>
  <c r="AH101" i="11"/>
  <c r="AH114" i="11" s="1"/>
  <c r="AH115" i="11" s="1"/>
  <c r="AR101" i="11"/>
  <c r="AR114" i="11" s="1"/>
  <c r="AR115" i="11" s="1"/>
  <c r="AD101" i="11"/>
  <c r="X101" i="11"/>
  <c r="AN101" i="11"/>
  <c r="AN114" i="11" s="1"/>
  <c r="AN115" i="11" s="1"/>
  <c r="AI101" i="11"/>
  <c r="AI113" i="11" s="1"/>
  <c r="AI120" i="11" s="1"/>
  <c r="AI121" i="11" s="1"/>
  <c r="Z101" i="11"/>
  <c r="Z114" i="11" s="1"/>
  <c r="Z115" i="11" s="1"/>
  <c r="J359" i="11"/>
  <c r="AG101" i="11"/>
  <c r="AG113" i="11" s="1"/>
  <c r="AM101" i="11"/>
  <c r="AM113" i="11" s="1"/>
  <c r="L163" i="12"/>
  <c r="L164" i="12" s="1"/>
  <c r="K169" i="12"/>
  <c r="K170" i="12" s="1"/>
  <c r="K190" i="12"/>
  <c r="K191" i="12" s="1"/>
  <c r="AP65" i="14"/>
  <c r="O64" i="14"/>
  <c r="AN65" i="14" s="1"/>
  <c r="N55" i="14"/>
  <c r="V63" i="14"/>
  <c r="AD11" i="13"/>
  <c r="N114" i="11"/>
  <c r="N115" i="11" s="1"/>
  <c r="T100" i="13"/>
  <c r="AS101" i="11"/>
  <c r="AP15" i="11"/>
  <c r="L193" i="12"/>
  <c r="K194" i="12"/>
  <c r="K173" i="12"/>
  <c r="AP359" i="11"/>
  <c r="J353" i="11"/>
  <c r="K322" i="11"/>
  <c r="L322" i="11" s="1"/>
  <c r="M322" i="11" s="1"/>
  <c r="N322" i="11" s="1"/>
  <c r="O322" i="11" s="1"/>
  <c r="P322" i="11" s="1"/>
  <c r="J357" i="11"/>
  <c r="P100" i="13"/>
  <c r="P129" i="13"/>
  <c r="P130" i="13" s="1"/>
  <c r="P137" i="13"/>
  <c r="P138" i="13" s="1"/>
  <c r="P131" i="13"/>
  <c r="T137" i="13"/>
  <c r="T138" i="13" s="1"/>
  <c r="AD15" i="13"/>
  <c r="AD12" i="13"/>
  <c r="AD117" i="13"/>
  <c r="U100" i="13"/>
  <c r="AD96" i="13"/>
  <c r="AQ97" i="13"/>
  <c r="AQ5" i="13"/>
  <c r="AQ118" i="13"/>
  <c r="U129" i="13"/>
  <c r="U130" i="13" s="1"/>
  <c r="U131" i="13"/>
  <c r="AP357" i="11"/>
  <c r="P359" i="11"/>
  <c r="X12" i="11"/>
  <c r="AP277" i="11"/>
  <c r="P356" i="11"/>
  <c r="P357" i="11"/>
  <c r="P277" i="11"/>
  <c r="P360" i="11"/>
  <c r="P354" i="11"/>
  <c r="Y113" i="11"/>
  <c r="Y119" i="11" s="1"/>
  <c r="Y42" i="11" s="1"/>
  <c r="Y114" i="11"/>
  <c r="Y115" i="11" s="1"/>
  <c r="W11" i="14"/>
  <c r="K118" i="13"/>
  <c r="K12" i="13"/>
  <c r="K97" i="13"/>
  <c r="K15" i="13"/>
  <c r="K11" i="13"/>
  <c r="K5" i="13"/>
  <c r="AA96" i="13"/>
  <c r="AA117" i="13"/>
  <c r="S117" i="13"/>
  <c r="S119" i="13" s="1"/>
  <c r="S122" i="13" s="1"/>
  <c r="S96" i="13"/>
  <c r="W101" i="11"/>
  <c r="W114" i="11" s="1"/>
  <c r="W115" i="11" s="1"/>
  <c r="S12" i="13"/>
  <c r="S97" i="13"/>
  <c r="S15" i="13"/>
  <c r="S11" i="13"/>
  <c r="S5" i="13"/>
  <c r="S118" i="13"/>
  <c r="AQ117" i="13"/>
  <c r="AQ11" i="13"/>
  <c r="AQ96" i="13"/>
  <c r="AQ12" i="13"/>
  <c r="AQ15" i="13"/>
  <c r="AI96" i="13"/>
  <c r="AI117" i="13"/>
  <c r="AI5" i="13"/>
  <c r="AI118" i="13"/>
  <c r="AI12" i="13"/>
  <c r="AI97" i="13"/>
  <c r="AI15" i="13"/>
  <c r="AI11" i="13"/>
  <c r="K96" i="13"/>
  <c r="K117" i="13"/>
  <c r="AA97" i="13"/>
  <c r="AA15" i="13"/>
  <c r="AA11" i="13"/>
  <c r="AA5" i="13"/>
  <c r="AA118" i="13"/>
  <c r="AA12" i="13"/>
  <c r="O11" i="14"/>
  <c r="O15" i="14"/>
  <c r="O12" i="14"/>
  <c r="O5" i="14"/>
  <c r="AM12" i="14"/>
  <c r="AM11" i="14"/>
  <c r="AM15" i="14"/>
  <c r="AM5" i="14"/>
  <c r="W15" i="14"/>
  <c r="P5" i="11"/>
  <c r="X359" i="11"/>
  <c r="AQ316" i="11"/>
  <c r="AQ336" i="11" s="1"/>
  <c r="X356" i="11"/>
  <c r="AR316" i="11"/>
  <c r="AR337" i="11" s="1"/>
  <c r="X357" i="11"/>
  <c r="X277" i="11"/>
  <c r="L113" i="11"/>
  <c r="L118" i="11" s="1"/>
  <c r="AS316" i="11"/>
  <c r="AS337" i="11" s="1"/>
  <c r="T114" i="11"/>
  <c r="T115" i="11" s="1"/>
  <c r="X11" i="11"/>
  <c r="X15" i="11"/>
  <c r="AN316" i="11"/>
  <c r="AN336" i="11" s="1"/>
  <c r="AG316" i="11"/>
  <c r="AP353" i="11"/>
  <c r="AJ316" i="11"/>
  <c r="AJ336" i="11" s="1"/>
  <c r="AM316" i="11"/>
  <c r="AM337" i="11" s="1"/>
  <c r="AP355" i="11"/>
  <c r="AP278" i="11" s="1"/>
  <c r="AI316" i="11"/>
  <c r="AI336" i="11" s="1"/>
  <c r="AB316" i="11"/>
  <c r="AB337" i="11" s="1"/>
  <c r="AB101" i="11"/>
  <c r="AC101" i="11"/>
  <c r="Y316" i="11"/>
  <c r="Y336" i="11" s="1"/>
  <c r="AL316" i="11"/>
  <c r="AL337" i="11" s="1"/>
  <c r="AP356" i="11"/>
  <c r="P316" i="11"/>
  <c r="P336" i="11" s="1"/>
  <c r="X316" i="11"/>
  <c r="X337" i="11" s="1"/>
  <c r="AK316" i="11"/>
  <c r="AK337" i="11" s="1"/>
  <c r="AP354" i="11"/>
  <c r="AP358" i="11"/>
  <c r="J12" i="11"/>
  <c r="AO316" i="11"/>
  <c r="J113" i="11"/>
  <c r="J119" i="11" s="1"/>
  <c r="J42" i="11" s="1"/>
  <c r="J354" i="11"/>
  <c r="J360" i="11"/>
  <c r="J361" i="11" s="1"/>
  <c r="J356" i="11"/>
  <c r="AF316" i="11"/>
  <c r="J277" i="11"/>
  <c r="J358" i="11"/>
  <c r="M113" i="11"/>
  <c r="M119" i="11" s="1"/>
  <c r="M42" i="11" s="1"/>
  <c r="AP316" i="11"/>
  <c r="AP336" i="11" s="1"/>
  <c r="AP12" i="11"/>
  <c r="J114" i="11"/>
  <c r="J115" i="11" s="1"/>
  <c r="J5" i="11"/>
  <c r="AE316" i="11"/>
  <c r="K316" i="11"/>
  <c r="S316" i="11"/>
  <c r="AC316" i="11"/>
  <c r="M316" i="11"/>
  <c r="R316" i="11"/>
  <c r="J265" i="11"/>
  <c r="Q316" i="11"/>
  <c r="AD316" i="11"/>
  <c r="O316" i="11"/>
  <c r="V316" i="11"/>
  <c r="L316" i="11"/>
  <c r="T316" i="11"/>
  <c r="J316" i="11"/>
  <c r="N316" i="11"/>
  <c r="W316" i="11"/>
  <c r="U316" i="11"/>
  <c r="AP11" i="11"/>
  <c r="J11" i="11"/>
  <c r="J128" i="11"/>
  <c r="K127" i="11" s="1"/>
  <c r="J147" i="11"/>
  <c r="J134" i="11"/>
  <c r="R133" i="13"/>
  <c r="K169" i="15"/>
  <c r="K178" i="15"/>
  <c r="L168" i="15"/>
  <c r="T133" i="13"/>
  <c r="N131" i="13"/>
  <c r="O130" i="13"/>
  <c r="K109" i="15"/>
  <c r="L108" i="15"/>
  <c r="K118" i="15"/>
  <c r="M71" i="15"/>
  <c r="M72" i="15" s="1"/>
  <c r="L89" i="15"/>
  <c r="L91" i="15" s="1"/>
  <c r="L92" i="15" s="1"/>
  <c r="L93" i="15" s="1"/>
  <c r="L103" i="9"/>
  <c r="L104" i="9" s="1"/>
  <c r="L74" i="15"/>
  <c r="L75" i="15" s="1"/>
  <c r="L81" i="15" s="1"/>
  <c r="L246" i="9" s="1"/>
  <c r="L247" i="9" s="1"/>
  <c r="N137" i="13"/>
  <c r="N138" i="13" s="1"/>
  <c r="N78" i="15"/>
  <c r="M88" i="15"/>
  <c r="M79" i="15"/>
  <c r="M139" i="15"/>
  <c r="N138" i="15"/>
  <c r="M148" i="15"/>
  <c r="N100" i="13"/>
  <c r="J104" i="15"/>
  <c r="J105" i="15" s="1"/>
  <c r="J111" i="15" s="1"/>
  <c r="J215" i="9" s="1"/>
  <c r="J216" i="9" s="1"/>
  <c r="K101" i="15"/>
  <c r="K102" i="15" s="1"/>
  <c r="J134" i="9"/>
  <c r="J135" i="9" s="1"/>
  <c r="J119" i="15"/>
  <c r="J121" i="15" s="1"/>
  <c r="J122" i="15" s="1"/>
  <c r="J123" i="15" s="1"/>
  <c r="L143" i="9"/>
  <c r="L144" i="9" s="1"/>
  <c r="L149" i="15"/>
  <c r="L151" i="15" s="1"/>
  <c r="L152" i="15" s="1"/>
  <c r="L153" i="15" s="1"/>
  <c r="M131" i="15"/>
  <c r="M132" i="15" s="1"/>
  <c r="L134" i="15"/>
  <c r="L135" i="15" s="1"/>
  <c r="L141" i="15" s="1"/>
  <c r="L265" i="9" s="1"/>
  <c r="N129" i="13"/>
  <c r="N133" i="13" s="1"/>
  <c r="J179" i="15"/>
  <c r="J181" i="15" s="1"/>
  <c r="J182" i="15" s="1"/>
  <c r="J183" i="15" s="1"/>
  <c r="K161" i="15"/>
  <c r="K162" i="15" s="1"/>
  <c r="J164" i="15"/>
  <c r="J165" i="15" s="1"/>
  <c r="J171" i="15" s="1"/>
  <c r="J266" i="9" s="1"/>
  <c r="J267" i="9" s="1"/>
  <c r="J282" i="9" s="1"/>
  <c r="J154" i="9"/>
  <c r="J155" i="9" s="1"/>
  <c r="X113" i="11"/>
  <c r="X114" i="11"/>
  <c r="X115" i="11" s="1"/>
  <c r="N40" i="11"/>
  <c r="N120" i="11"/>
  <c r="N121" i="11" s="1"/>
  <c r="N118" i="11"/>
  <c r="AG336" i="11"/>
  <c r="AG337" i="11"/>
  <c r="K43" i="13"/>
  <c r="J48" i="13"/>
  <c r="AA337" i="11"/>
  <c r="AF114" i="11"/>
  <c r="AF115" i="11" s="1"/>
  <c r="AF113" i="11"/>
  <c r="AM114" i="11"/>
  <c r="AM115" i="11" s="1"/>
  <c r="J130" i="13"/>
  <c r="K91" i="13"/>
  <c r="L153" i="13"/>
  <c r="K152" i="9"/>
  <c r="R119" i="11"/>
  <c r="R42" i="11" s="1"/>
  <c r="R40" i="11"/>
  <c r="R118" i="11"/>
  <c r="R120" i="11"/>
  <c r="R121" i="11"/>
  <c r="L59" i="15"/>
  <c r="L61" i="15" s="1"/>
  <c r="L44" i="15"/>
  <c r="L45" i="15" s="1"/>
  <c r="L51" i="15" s="1"/>
  <c r="L237" i="9" s="1"/>
  <c r="L238" i="9" s="1"/>
  <c r="M41" i="15"/>
  <c r="M42" i="15" s="1"/>
  <c r="L94" i="9"/>
  <c r="L95" i="9" s="1"/>
  <c r="AL114" i="11"/>
  <c r="AL115" i="11" s="1"/>
  <c r="AL113" i="11"/>
  <c r="AQ337" i="11"/>
  <c r="M249" i="12"/>
  <c r="T40" i="11"/>
  <c r="T120" i="11"/>
  <c r="T121" i="11" s="1"/>
  <c r="T118" i="11"/>
  <c r="AO337" i="11"/>
  <c r="AO336" i="11"/>
  <c r="AD114" i="11"/>
  <c r="AD115" i="11" s="1"/>
  <c r="AD113" i="11"/>
  <c r="P113" i="11"/>
  <c r="L259" i="12"/>
  <c r="J139" i="13"/>
  <c r="J162" i="13" s="1"/>
  <c r="J163" i="13" s="1"/>
  <c r="J263" i="9" s="1"/>
  <c r="M49" i="15"/>
  <c r="N48" i="15"/>
  <c r="M58" i="15"/>
  <c r="L100" i="13"/>
  <c r="L137" i="13"/>
  <c r="L138" i="13" s="1"/>
  <c r="L129" i="13"/>
  <c r="L130" i="13" s="1"/>
  <c r="L131" i="13"/>
  <c r="AH337" i="11"/>
  <c r="AH336" i="11"/>
  <c r="P133" i="13"/>
  <c r="K62" i="15"/>
  <c r="K63" i="15" s="1"/>
  <c r="AR113" i="11"/>
  <c r="O118" i="11"/>
  <c r="O119" i="11"/>
  <c r="O42" i="11" s="1"/>
  <c r="O120" i="11"/>
  <c r="O40" i="11"/>
  <c r="O121" i="11"/>
  <c r="M96" i="12"/>
  <c r="M97" i="12" s="1"/>
  <c r="M100" i="13"/>
  <c r="M137" i="13"/>
  <c r="M138" i="13" s="1"/>
  <c r="M129" i="13"/>
  <c r="M130" i="13" s="1"/>
  <c r="M131" i="13"/>
  <c r="M163" i="12"/>
  <c r="S40" i="11"/>
  <c r="S120" i="11"/>
  <c r="S118" i="11"/>
  <c r="S119" i="11"/>
  <c r="S42" i="11" s="1"/>
  <c r="S121" i="11"/>
  <c r="L33" i="13"/>
  <c r="AO114" i="11"/>
  <c r="AO115" i="11" s="1"/>
  <c r="AO113" i="11"/>
  <c r="Y40" i="11"/>
  <c r="Y118" i="11"/>
  <c r="AL336" i="11"/>
  <c r="K120" i="11"/>
  <c r="K121" i="11" s="1"/>
  <c r="K40" i="11"/>
  <c r="K118" i="11"/>
  <c r="K45" i="13"/>
  <c r="Q40" i="11"/>
  <c r="Q120" i="11"/>
  <c r="Q121" i="11" s="1"/>
  <c r="Q118" i="11"/>
  <c r="AF336" i="11"/>
  <c r="AF337" i="11"/>
  <c r="AG119" i="11"/>
  <c r="AG42" i="11" s="1"/>
  <c r="AG40" i="11"/>
  <c r="AG120" i="11"/>
  <c r="AG118" i="11"/>
  <c r="AG121" i="11"/>
  <c r="I33" i="13"/>
  <c r="I43" i="13"/>
  <c r="I34" i="13"/>
  <c r="B251" i="9" s="1"/>
  <c r="I36" i="13"/>
  <c r="B255" i="9" s="1"/>
  <c r="I44" i="13"/>
  <c r="B68" i="9" s="1"/>
  <c r="I45" i="13"/>
  <c r="C229" i="9" s="1"/>
  <c r="I37" i="13"/>
  <c r="B139" i="9" s="1"/>
  <c r="I46" i="13"/>
  <c r="C126" i="9" s="1"/>
  <c r="I241" i="11"/>
  <c r="J365" i="11" s="1"/>
  <c r="I25" i="11"/>
  <c r="J160" i="11" s="1"/>
  <c r="J79" i="16"/>
  <c r="J60" i="16"/>
  <c r="J37" i="16"/>
  <c r="J51" i="16" s="1"/>
  <c r="AH113" i="11" l="1"/>
  <c r="AJ114" i="11"/>
  <c r="AJ115" i="11" s="1"/>
  <c r="Y121" i="11"/>
  <c r="V113" i="11"/>
  <c r="V120" i="11" s="1"/>
  <c r="L35" i="12"/>
  <c r="L43" i="12"/>
  <c r="L44" i="12" s="1"/>
  <c r="J277" i="9"/>
  <c r="J279" i="9" s="1"/>
  <c r="K69" i="9"/>
  <c r="K70" i="9" s="1"/>
  <c r="K71" i="13"/>
  <c r="K230" i="9" s="1"/>
  <c r="Q131" i="13"/>
  <c r="K140" i="9"/>
  <c r="K141" i="9" s="1"/>
  <c r="K146" i="9" s="1"/>
  <c r="L59" i="13"/>
  <c r="Q129" i="13"/>
  <c r="Q100" i="13"/>
  <c r="K229" i="9"/>
  <c r="J127" i="9"/>
  <c r="J128" i="9" s="1"/>
  <c r="J130" i="9" s="1"/>
  <c r="K69" i="13"/>
  <c r="J74" i="13"/>
  <c r="Y120" i="11"/>
  <c r="AN113" i="11"/>
  <c r="AN119" i="11" s="1"/>
  <c r="AN42" i="11" s="1"/>
  <c r="Z336" i="11"/>
  <c r="AG114" i="11"/>
  <c r="AG115" i="11" s="1"/>
  <c r="AA113" i="11"/>
  <c r="AA121" i="11" s="1"/>
  <c r="AR336" i="11"/>
  <c r="AR343" i="11" s="1"/>
  <c r="AR344" i="11" s="1"/>
  <c r="AP113" i="11"/>
  <c r="AP121" i="11" s="1"/>
  <c r="AP337" i="11"/>
  <c r="AK113" i="11"/>
  <c r="AK121" i="11" s="1"/>
  <c r="Z113" i="11"/>
  <c r="Z40" i="11" s="1"/>
  <c r="J121" i="11"/>
  <c r="K162" i="11" s="1"/>
  <c r="L162" i="11" s="1"/>
  <c r="AI337" i="11"/>
  <c r="AI340" i="11" s="1"/>
  <c r="J118" i="11"/>
  <c r="AI118" i="11"/>
  <c r="AQ113" i="11"/>
  <c r="AQ119" i="11" s="1"/>
  <c r="AQ42" i="11" s="1"/>
  <c r="AI40" i="11"/>
  <c r="AA119" i="11"/>
  <c r="AA42" i="11" s="1"/>
  <c r="AI114" i="11"/>
  <c r="AI115" i="11" s="1"/>
  <c r="AE113" i="11"/>
  <c r="AE114" i="11"/>
  <c r="AE115" i="11" s="1"/>
  <c r="U113" i="11"/>
  <c r="U114" i="11"/>
  <c r="U115" i="11" s="1"/>
  <c r="AA118" i="11"/>
  <c r="AS336" i="11"/>
  <c r="AS270" i="11" s="1"/>
  <c r="L121" i="11"/>
  <c r="J120" i="11"/>
  <c r="W113" i="11"/>
  <c r="W40" i="11" s="1"/>
  <c r="J40" i="11"/>
  <c r="L172" i="12"/>
  <c r="L173" i="12" s="1"/>
  <c r="L190" i="12"/>
  <c r="L191" i="12" s="1"/>
  <c r="L169" i="12"/>
  <c r="L170" i="12" s="1"/>
  <c r="O55" i="14"/>
  <c r="AO56" i="14"/>
  <c r="P64" i="14"/>
  <c r="AM65" i="14" s="1"/>
  <c r="W63" i="14"/>
  <c r="AS113" i="11"/>
  <c r="AS114" i="11"/>
  <c r="AS115" i="11" s="1"/>
  <c r="L40" i="11"/>
  <c r="M193" i="12"/>
  <c r="M172" i="12"/>
  <c r="L119" i="11"/>
  <c r="L42" i="11" s="1"/>
  <c r="L194" i="12"/>
  <c r="AA119" i="13"/>
  <c r="AA122" i="13" s="1"/>
  <c r="AA137" i="13" s="1"/>
  <c r="AA138" i="13" s="1"/>
  <c r="AS119" i="13"/>
  <c r="AS122" i="13" s="1"/>
  <c r="AS129" i="13" s="1"/>
  <c r="AS130" i="13" s="1"/>
  <c r="U133" i="13"/>
  <c r="AI119" i="13"/>
  <c r="AI122" i="13" s="1"/>
  <c r="AI137" i="13" s="1"/>
  <c r="AD119" i="13"/>
  <c r="AD122" i="13" s="1"/>
  <c r="AD129" i="13" s="1"/>
  <c r="AD130" i="13" s="1"/>
  <c r="AE119" i="13"/>
  <c r="AE122" i="13" s="1"/>
  <c r="AE100" i="13" s="1"/>
  <c r="AK119" i="11"/>
  <c r="AK42" i="11" s="1"/>
  <c r="AR119" i="13"/>
  <c r="AR122" i="13" s="1"/>
  <c r="AR100" i="13" s="1"/>
  <c r="AJ119" i="13"/>
  <c r="AJ122" i="13" s="1"/>
  <c r="AJ131" i="13" s="1"/>
  <c r="Z119" i="13"/>
  <c r="Z122" i="13" s="1"/>
  <c r="Z100" i="13" s="1"/>
  <c r="AM336" i="11"/>
  <c r="AM340" i="11" s="1"/>
  <c r="AN119" i="13"/>
  <c r="AN122" i="13" s="1"/>
  <c r="AN137" i="13" s="1"/>
  <c r="AK119" i="13"/>
  <c r="AK122" i="13" s="1"/>
  <c r="AK100" i="13" s="1"/>
  <c r="AL119" i="13"/>
  <c r="AL122" i="13" s="1"/>
  <c r="AL100" i="13" s="1"/>
  <c r="R361" i="11"/>
  <c r="X336" i="11"/>
  <c r="X340" i="11" s="1"/>
  <c r="L120" i="11"/>
  <c r="AP119" i="13"/>
  <c r="AP122" i="13" s="1"/>
  <c r="AP137" i="13" s="1"/>
  <c r="AP138" i="13" s="1"/>
  <c r="AC119" i="13"/>
  <c r="AC122" i="13" s="1"/>
  <c r="AC131" i="13" s="1"/>
  <c r="AF119" i="13"/>
  <c r="AF122" i="13" s="1"/>
  <c r="AF129" i="13" s="1"/>
  <c r="W119" i="13"/>
  <c r="W122" i="13" s="1"/>
  <c r="K119" i="13"/>
  <c r="K122" i="13" s="1"/>
  <c r="AG119" i="13"/>
  <c r="AG122" i="13" s="1"/>
  <c r="S100" i="13"/>
  <c r="S129" i="13"/>
  <c r="S131" i="13"/>
  <c r="S137" i="13"/>
  <c r="S138" i="13" s="1"/>
  <c r="AO119" i="13"/>
  <c r="AO122" i="13" s="1"/>
  <c r="AO137" i="13" s="1"/>
  <c r="AO138" i="13" s="1"/>
  <c r="AB119" i="13"/>
  <c r="AB122" i="13" s="1"/>
  <c r="AH119" i="13"/>
  <c r="AH122" i="13" s="1"/>
  <c r="AH129" i="13" s="1"/>
  <c r="AH133" i="13" s="1"/>
  <c r="Y119" i="13"/>
  <c r="Y122" i="13" s="1"/>
  <c r="AQ119" i="13"/>
  <c r="AQ122" i="13" s="1"/>
  <c r="AQ131" i="13" s="1"/>
  <c r="X119" i="13"/>
  <c r="X122" i="13" s="1"/>
  <c r="X129" i="13" s="1"/>
  <c r="AM119" i="13"/>
  <c r="AM122" i="13" s="1"/>
  <c r="AM129" i="13" s="1"/>
  <c r="AM130" i="13" s="1"/>
  <c r="V119" i="13"/>
  <c r="V122" i="13" s="1"/>
  <c r="AK336" i="11"/>
  <c r="AN337" i="11"/>
  <c r="V121" i="11"/>
  <c r="S361" i="11"/>
  <c r="V119" i="11"/>
  <c r="V42" i="11" s="1"/>
  <c r="V40" i="11"/>
  <c r="Y340" i="11"/>
  <c r="Y339" i="11"/>
  <c r="Y343" i="11"/>
  <c r="Y344" i="11" s="1"/>
  <c r="Y346" i="11"/>
  <c r="Y270" i="11"/>
  <c r="Y347" i="11"/>
  <c r="AJ337" i="11"/>
  <c r="Y337" i="11"/>
  <c r="L361" i="11"/>
  <c r="Q361" i="11"/>
  <c r="K361" i="11"/>
  <c r="P361" i="11"/>
  <c r="Y341" i="11"/>
  <c r="Y271" i="11" s="1"/>
  <c r="V118" i="11"/>
  <c r="N361" i="11"/>
  <c r="M121" i="11"/>
  <c r="AB336" i="11"/>
  <c r="AB340" i="11" s="1"/>
  <c r="M118" i="11"/>
  <c r="M120" i="11"/>
  <c r="P337" i="11"/>
  <c r="AC114" i="11"/>
  <c r="AC115" i="11" s="1"/>
  <c r="AC113" i="11"/>
  <c r="M40" i="11"/>
  <c r="AB114" i="11"/>
  <c r="AB115" i="11" s="1"/>
  <c r="AB113" i="11"/>
  <c r="Y345" i="11"/>
  <c r="M361" i="11"/>
  <c r="O361" i="11"/>
  <c r="AC337" i="11"/>
  <c r="AC336" i="11"/>
  <c r="V336" i="11"/>
  <c r="V337" i="11"/>
  <c r="S337" i="11"/>
  <c r="S336" i="11"/>
  <c r="L337" i="11"/>
  <c r="L336" i="11"/>
  <c r="O337" i="11"/>
  <c r="O336" i="11"/>
  <c r="K337" i="11"/>
  <c r="K336" i="11"/>
  <c r="K128" i="11"/>
  <c r="L127" i="11" s="1"/>
  <c r="K146" i="11"/>
  <c r="K147" i="11" s="1"/>
  <c r="K133" i="11"/>
  <c r="K134" i="11" s="1"/>
  <c r="U337" i="11"/>
  <c r="U336" i="11"/>
  <c r="AD336" i="11"/>
  <c r="AD337" i="11"/>
  <c r="AE337" i="11"/>
  <c r="AE336" i="11"/>
  <c r="W336" i="11"/>
  <c r="W337" i="11"/>
  <c r="Q336" i="11"/>
  <c r="Q337" i="11"/>
  <c r="N336" i="11"/>
  <c r="N337" i="11"/>
  <c r="J336" i="11"/>
  <c r="J337" i="11"/>
  <c r="R337" i="11"/>
  <c r="R336" i="11"/>
  <c r="T336" i="11"/>
  <c r="T337" i="11"/>
  <c r="M337" i="11"/>
  <c r="M336" i="11"/>
  <c r="AB137" i="13"/>
  <c r="AB138" i="13" s="1"/>
  <c r="AD100" i="13"/>
  <c r="AD131" i="13"/>
  <c r="AI100" i="13"/>
  <c r="AM137" i="13"/>
  <c r="AM138" i="13" s="1"/>
  <c r="L133" i="13"/>
  <c r="M149" i="15"/>
  <c r="M151" i="15" s="1"/>
  <c r="M152" i="15" s="1"/>
  <c r="M153" i="15" s="1"/>
  <c r="M134" i="15"/>
  <c r="M135" i="15" s="1"/>
  <c r="M141" i="15" s="1"/>
  <c r="M265" i="9" s="1"/>
  <c r="N131" i="15"/>
  <c r="N132" i="15" s="1"/>
  <c r="M143" i="9"/>
  <c r="M144" i="9" s="1"/>
  <c r="K134" i="9"/>
  <c r="K135" i="9" s="1"/>
  <c r="L101" i="15"/>
  <c r="L102" i="15" s="1"/>
  <c r="K119" i="15"/>
  <c r="K121" i="15" s="1"/>
  <c r="K122" i="15" s="1"/>
  <c r="K123" i="15" s="1"/>
  <c r="K104" i="15"/>
  <c r="K105" i="15" s="1"/>
  <c r="K111" i="15" s="1"/>
  <c r="K215" i="9" s="1"/>
  <c r="K216" i="9" s="1"/>
  <c r="AN100" i="13"/>
  <c r="O138" i="15"/>
  <c r="N148" i="15"/>
  <c r="N139" i="15"/>
  <c r="M108" i="15"/>
  <c r="L118" i="15"/>
  <c r="L109" i="15"/>
  <c r="J162" i="11"/>
  <c r="J220" i="11"/>
  <c r="J367" i="11"/>
  <c r="J377" i="11"/>
  <c r="AF131" i="13"/>
  <c r="AI138" i="13"/>
  <c r="N71" i="15"/>
  <c r="N72" i="15" s="1"/>
  <c r="M103" i="9"/>
  <c r="M104" i="9" s="1"/>
  <c r="M89" i="15"/>
  <c r="M91" i="15" s="1"/>
  <c r="M92" i="15" s="1"/>
  <c r="M93" i="15" s="1"/>
  <c r="M74" i="15"/>
  <c r="M75" i="15" s="1"/>
  <c r="M81" i="15" s="1"/>
  <c r="M246" i="9" s="1"/>
  <c r="M247" i="9" s="1"/>
  <c r="M168" i="15"/>
  <c r="L169" i="15"/>
  <c r="L178" i="15"/>
  <c r="AF137" i="13"/>
  <c r="AF138" i="13" s="1"/>
  <c r="AN138" i="13"/>
  <c r="AI131" i="13"/>
  <c r="N79" i="15"/>
  <c r="N88" i="15"/>
  <c r="O78" i="15"/>
  <c r="N130" i="13"/>
  <c r="K179" i="15"/>
  <c r="K181" i="15" s="1"/>
  <c r="K182" i="15" s="1"/>
  <c r="K183" i="15" s="1"/>
  <c r="K154" i="9"/>
  <c r="K155" i="9" s="1"/>
  <c r="K164" i="15"/>
  <c r="K165" i="15" s="1"/>
  <c r="K171" i="15" s="1"/>
  <c r="K266" i="9" s="1"/>
  <c r="K267" i="9" s="1"/>
  <c r="K282" i="9" s="1"/>
  <c r="L161" i="15"/>
  <c r="L162" i="15" s="1"/>
  <c r="M133" i="13"/>
  <c r="AF100" i="13"/>
  <c r="AI129" i="13"/>
  <c r="AI133" i="13" s="1"/>
  <c r="AF270" i="11"/>
  <c r="AF346" i="11"/>
  <c r="AF347" i="11" s="1"/>
  <c r="AF343" i="11"/>
  <c r="AF344" i="11" s="1"/>
  <c r="AP118" i="11"/>
  <c r="AL270" i="11"/>
  <c r="AL343" i="11"/>
  <c r="AL344" i="11" s="1"/>
  <c r="AL346" i="11"/>
  <c r="AL347" i="11" s="1"/>
  <c r="AR40" i="11"/>
  <c r="AR120" i="11"/>
  <c r="AR121" i="11" s="1"/>
  <c r="AR118" i="11"/>
  <c r="AH341" i="11"/>
  <c r="AH271" i="11" s="1"/>
  <c r="AH270" i="11"/>
  <c r="AH339" i="11"/>
  <c r="AH345" i="11"/>
  <c r="AH346" i="11"/>
  <c r="AH343" i="11"/>
  <c r="AH344" i="11" s="1"/>
  <c r="AH340" i="11"/>
  <c r="AH347" i="11"/>
  <c r="P345" i="11"/>
  <c r="P270" i="11"/>
  <c r="P341" i="11"/>
  <c r="P271" i="11" s="1"/>
  <c r="P339" i="11"/>
  <c r="P346" i="11"/>
  <c r="P343" i="11"/>
  <c r="P344" i="11" s="1"/>
  <c r="P340" i="11"/>
  <c r="P347" i="11"/>
  <c r="AQ341" i="11"/>
  <c r="AQ271" i="11" s="1"/>
  <c r="AQ270" i="11"/>
  <c r="AQ339" i="11"/>
  <c r="AQ345" i="11"/>
  <c r="AQ346" i="11"/>
  <c r="AQ343" i="11"/>
  <c r="AQ344" i="11" s="1"/>
  <c r="AQ340" i="11"/>
  <c r="AQ347" i="11"/>
  <c r="AF133" i="13"/>
  <c r="AG341" i="11"/>
  <c r="AG271" i="11" s="1"/>
  <c r="AG270" i="11"/>
  <c r="AG339" i="11"/>
  <c r="AG345" i="11"/>
  <c r="AG346" i="11"/>
  <c r="AG343" i="11"/>
  <c r="AG344" i="11" s="1"/>
  <c r="AG347" i="11"/>
  <c r="AG340" i="11"/>
  <c r="AO40" i="11"/>
  <c r="AO118" i="11"/>
  <c r="AO120" i="11"/>
  <c r="AO121" i="11" s="1"/>
  <c r="L37" i="13"/>
  <c r="L139" i="9" s="1"/>
  <c r="L44" i="13"/>
  <c r="L68" i="9" s="1"/>
  <c r="M164" i="12"/>
  <c r="AN40" i="11"/>
  <c r="AN120" i="11"/>
  <c r="J287" i="9"/>
  <c r="J269" i="9"/>
  <c r="AK345" i="11"/>
  <c r="AK341" i="11"/>
  <c r="AK271" i="11" s="1"/>
  <c r="AK270" i="11"/>
  <c r="AK339" i="11"/>
  <c r="AK343" i="11"/>
  <c r="AK344" i="11" s="1"/>
  <c r="AK346" i="11"/>
  <c r="AK340" i="11"/>
  <c r="AK347" i="11"/>
  <c r="K46" i="13"/>
  <c r="K126" i="9" s="1"/>
  <c r="AQ40" i="11"/>
  <c r="AO270" i="11"/>
  <c r="AO343" i="11"/>
  <c r="AO346" i="11"/>
  <c r="AO347" i="11" s="1"/>
  <c r="AP270" i="11"/>
  <c r="AP339" i="11"/>
  <c r="AP345" i="11"/>
  <c r="AP341" i="11"/>
  <c r="AP271" i="11" s="1"/>
  <c r="AP343" i="11"/>
  <c r="AP344" i="11" s="1"/>
  <c r="AP346" i="11"/>
  <c r="AP340" i="11"/>
  <c r="AP347" i="11"/>
  <c r="AF130" i="13"/>
  <c r="AJ341" i="11"/>
  <c r="AJ271" i="11" s="1"/>
  <c r="AJ339" i="11"/>
  <c r="AJ345" i="11"/>
  <c r="AJ270" i="11"/>
  <c r="AJ346" i="11"/>
  <c r="AJ343" i="11"/>
  <c r="AJ344" i="11" s="1"/>
  <c r="AJ340" i="11"/>
  <c r="AJ347" i="11"/>
  <c r="X119" i="11"/>
  <c r="X42" i="11" s="1"/>
  <c r="X40" i="11"/>
  <c r="X118" i="11"/>
  <c r="X120" i="11"/>
  <c r="X121" i="11"/>
  <c r="Q322" i="11"/>
  <c r="AN345" i="11"/>
  <c r="AN270" i="11"/>
  <c r="AN341" i="11"/>
  <c r="AN271" i="11" s="1"/>
  <c r="AN339" i="11"/>
  <c r="AN346" i="11"/>
  <c r="AN343" i="11"/>
  <c r="AN344" i="11" s="1"/>
  <c r="AN340" i="11"/>
  <c r="AN347" i="11"/>
  <c r="AI270" i="11"/>
  <c r="AI343" i="11"/>
  <c r="AI344" i="11" s="1"/>
  <c r="AI346" i="11"/>
  <c r="AI347" i="11" s="1"/>
  <c r="M59" i="15"/>
  <c r="M61" i="15" s="1"/>
  <c r="M44" i="15"/>
  <c r="M45" i="15" s="1"/>
  <c r="M51" i="15" s="1"/>
  <c r="M237" i="9" s="1"/>
  <c r="M238" i="9" s="1"/>
  <c r="N41" i="15"/>
  <c r="N42" i="15" s="1"/>
  <c r="M94" i="9"/>
  <c r="M95" i="9" s="1"/>
  <c r="AH119" i="11"/>
  <c r="AH42" i="11" s="1"/>
  <c r="AH40" i="11"/>
  <c r="AH118" i="11"/>
  <c r="AH120" i="11"/>
  <c r="AH121" i="11"/>
  <c r="M258" i="12"/>
  <c r="M250" i="12"/>
  <c r="AL40" i="11"/>
  <c r="AL120" i="11"/>
  <c r="AL121" i="11" s="1"/>
  <c r="AL118" i="11"/>
  <c r="Z270" i="11"/>
  <c r="Z343" i="11"/>
  <c r="Z344" i="11" s="1"/>
  <c r="Z346" i="11"/>
  <c r="Z347" i="11" s="1"/>
  <c r="AF40" i="11"/>
  <c r="AF120" i="11"/>
  <c r="AF121" i="11" s="1"/>
  <c r="AF118" i="11"/>
  <c r="AA339" i="11"/>
  <c r="AA345" i="11"/>
  <c r="AA341" i="11"/>
  <c r="AA271" i="11" s="1"/>
  <c r="AA270" i="11"/>
  <c r="AA343" i="11"/>
  <c r="AA344" i="11" s="1"/>
  <c r="AA346" i="11"/>
  <c r="AA340" i="11"/>
  <c r="AA347" i="11"/>
  <c r="AD133" i="13"/>
  <c r="N49" i="15"/>
  <c r="O48" i="15"/>
  <c r="N58" i="15"/>
  <c r="AD40" i="11"/>
  <c r="AD119" i="11"/>
  <c r="AD42" i="11" s="1"/>
  <c r="AD120" i="11"/>
  <c r="AD118" i="11"/>
  <c r="AD121" i="11"/>
  <c r="N96" i="12"/>
  <c r="N97" i="12" s="1"/>
  <c r="AR270" i="11"/>
  <c r="AR346" i="11"/>
  <c r="AR347" i="11" s="1"/>
  <c r="L62" i="15"/>
  <c r="L63" i="15" s="1"/>
  <c r="AJ119" i="11"/>
  <c r="AJ42" i="11" s="1"/>
  <c r="AJ40" i="11"/>
  <c r="AJ120" i="11"/>
  <c r="AJ118" i="11"/>
  <c r="AJ121" i="11"/>
  <c r="AM343" i="11"/>
  <c r="AM344" i="11" s="1"/>
  <c r="AS341" i="11"/>
  <c r="AS271" i="11" s="1"/>
  <c r="AS339" i="11"/>
  <c r="AS345" i="11"/>
  <c r="AS346" i="11"/>
  <c r="AS340" i="11"/>
  <c r="AS347" i="11"/>
  <c r="P119" i="11"/>
  <c r="P42" i="11" s="1"/>
  <c r="P40" i="11"/>
  <c r="P120" i="11"/>
  <c r="P118" i="11"/>
  <c r="P121" i="11"/>
  <c r="L156" i="13"/>
  <c r="L88" i="13"/>
  <c r="AM118" i="11"/>
  <c r="AM119" i="11"/>
  <c r="AM42" i="11" s="1"/>
  <c r="AM120" i="11"/>
  <c r="AM40" i="11"/>
  <c r="AM121" i="11"/>
  <c r="J50" i="13"/>
  <c r="J49" i="13"/>
  <c r="J26" i="16"/>
  <c r="J17" i="16"/>
  <c r="J62" i="16"/>
  <c r="H11" i="18"/>
  <c r="B11" i="18"/>
  <c r="B243" i="18"/>
  <c r="B236" i="18"/>
  <c r="B229" i="18"/>
  <c r="B215" i="18"/>
  <c r="B208" i="18"/>
  <c r="B201" i="18"/>
  <c r="B194" i="18"/>
  <c r="B185" i="18"/>
  <c r="B178" i="18"/>
  <c r="B171" i="18"/>
  <c r="B164" i="18"/>
  <c r="B157" i="18"/>
  <c r="B145" i="18"/>
  <c r="B138" i="18"/>
  <c r="H134" i="18"/>
  <c r="H127" i="18"/>
  <c r="M120" i="18" s="1"/>
  <c r="L40" i="12" l="1"/>
  <c r="L41" i="12" s="1"/>
  <c r="M34" i="12"/>
  <c r="X343" i="11"/>
  <c r="X344" i="11" s="1"/>
  <c r="AB347" i="11"/>
  <c r="K122" i="11"/>
  <c r="K163" i="11" s="1"/>
  <c r="J122" i="11"/>
  <c r="J163" i="11" s="1"/>
  <c r="J164" i="11" s="1"/>
  <c r="J222" i="11" s="1"/>
  <c r="J223" i="9" s="1"/>
  <c r="AA40" i="11"/>
  <c r="X347" i="11"/>
  <c r="X341" i="11"/>
  <c r="X271" i="11" s="1"/>
  <c r="AB343" i="11"/>
  <c r="AB344" i="11" s="1"/>
  <c r="X345" i="11"/>
  <c r="AB270" i="11"/>
  <c r="AB339" i="11"/>
  <c r="AA120" i="11"/>
  <c r="AS343" i="11"/>
  <c r="AS344" i="11" s="1"/>
  <c r="AM133" i="13"/>
  <c r="AN121" i="11"/>
  <c r="AN118" i="11"/>
  <c r="Z118" i="11"/>
  <c r="Z120" i="11"/>
  <c r="Z121" i="11" s="1"/>
  <c r="K231" i="9"/>
  <c r="K233" i="9" s="1"/>
  <c r="K72" i="13"/>
  <c r="K74" i="13" s="1"/>
  <c r="K76" i="13" s="1"/>
  <c r="Z137" i="13"/>
  <c r="Z138" i="13" s="1"/>
  <c r="Q130" i="13"/>
  <c r="Q133" i="13"/>
  <c r="X131" i="13"/>
  <c r="L63" i="13"/>
  <c r="L70" i="13"/>
  <c r="AQ129" i="13"/>
  <c r="AP100" i="13"/>
  <c r="AH131" i="13"/>
  <c r="J75" i="13"/>
  <c r="J76" i="13"/>
  <c r="AM346" i="11"/>
  <c r="AQ118" i="11"/>
  <c r="AP120" i="11"/>
  <c r="AQ120" i="11"/>
  <c r="AP40" i="11"/>
  <c r="AM341" i="11"/>
  <c r="AM271" i="11" s="1"/>
  <c r="AM345" i="11"/>
  <c r="AP119" i="11"/>
  <c r="AP42" i="11" s="1"/>
  <c r="AM339" i="11"/>
  <c r="AM347" i="11"/>
  <c r="AQ121" i="11"/>
  <c r="AM270" i="11"/>
  <c r="N122" i="11"/>
  <c r="N163" i="11" s="1"/>
  <c r="AK118" i="11"/>
  <c r="AK120" i="11"/>
  <c r="AK40" i="11"/>
  <c r="X346" i="11"/>
  <c r="X339" i="11"/>
  <c r="X270" i="11"/>
  <c r="U119" i="11"/>
  <c r="U42" i="11" s="1"/>
  <c r="U120" i="11"/>
  <c r="U118" i="11"/>
  <c r="U121" i="11"/>
  <c r="U40" i="11"/>
  <c r="AE118" i="11"/>
  <c r="AE40" i="11"/>
  <c r="AE120" i="11"/>
  <c r="AE119" i="11"/>
  <c r="AE42" i="11" s="1"/>
  <c r="AE121" i="11"/>
  <c r="AB346" i="11"/>
  <c r="AB345" i="11"/>
  <c r="M122" i="11"/>
  <c r="M163" i="11" s="1"/>
  <c r="AB341" i="11"/>
  <c r="AB271" i="11" s="1"/>
  <c r="M190" i="12"/>
  <c r="M191" i="12" s="1"/>
  <c r="M169" i="12"/>
  <c r="M170" i="12" s="1"/>
  <c r="W120" i="11"/>
  <c r="W121" i="11" s="1"/>
  <c r="W118" i="11"/>
  <c r="Q64" i="14"/>
  <c r="AN56" i="14"/>
  <c r="P55" i="14"/>
  <c r="X63" i="14"/>
  <c r="AS131" i="13"/>
  <c r="AS119" i="11"/>
  <c r="AS42" i="11" s="1"/>
  <c r="AS120" i="11"/>
  <c r="AS118" i="11"/>
  <c r="AS121" i="11"/>
  <c r="AS40" i="11"/>
  <c r="X100" i="13"/>
  <c r="AE131" i="13"/>
  <c r="M173" i="12"/>
  <c r="M194" i="12"/>
  <c r="X137" i="13"/>
  <c r="X138" i="13" s="1"/>
  <c r="AL137" i="13"/>
  <c r="AL138" i="13" s="1"/>
  <c r="AA100" i="13"/>
  <c r="AN131" i="13"/>
  <c r="AR131" i="13"/>
  <c r="AS133" i="13"/>
  <c r="AM100" i="13"/>
  <c r="AE137" i="13"/>
  <c r="AE138" i="13" s="1"/>
  <c r="AR137" i="13"/>
  <c r="AR138" i="13" s="1"/>
  <c r="AP131" i="13"/>
  <c r="AD137" i="13"/>
  <c r="AD138" i="13" s="1"/>
  <c r="AA131" i="13"/>
  <c r="AE129" i="13"/>
  <c r="AP129" i="13"/>
  <c r="AP133" i="13" s="1"/>
  <c r="AA129" i="13"/>
  <c r="AA133" i="13" s="1"/>
  <c r="AR129" i="13"/>
  <c r="AR130" i="13" s="1"/>
  <c r="AN129" i="13"/>
  <c r="AN133" i="13" s="1"/>
  <c r="AS137" i="13"/>
  <c r="AS138" i="13" s="1"/>
  <c r="AS100" i="13"/>
  <c r="AJ129" i="13"/>
  <c r="AJ100" i="13"/>
  <c r="AJ137" i="13"/>
  <c r="AJ138" i="13" s="1"/>
  <c r="Z129" i="13"/>
  <c r="AL129" i="13"/>
  <c r="AL131" i="13"/>
  <c r="AC129" i="13"/>
  <c r="AC133" i="13" s="1"/>
  <c r="Z131" i="13"/>
  <c r="AK131" i="13"/>
  <c r="AK137" i="13"/>
  <c r="AK138" i="13" s="1"/>
  <c r="AK129" i="13"/>
  <c r="AC100" i="13"/>
  <c r="AC137" i="13"/>
  <c r="AC138" i="13" s="1"/>
  <c r="V129" i="13"/>
  <c r="V100" i="13"/>
  <c r="V137" i="13"/>
  <c r="V138" i="13" s="1"/>
  <c r="V131" i="13"/>
  <c r="S130" i="13"/>
  <c r="S133" i="13"/>
  <c r="AH130" i="13"/>
  <c r="AM131" i="13"/>
  <c r="AH100" i="13"/>
  <c r="AH137" i="13"/>
  <c r="AH138" i="13" s="1"/>
  <c r="AG129" i="13"/>
  <c r="AG100" i="13"/>
  <c r="AG137" i="13"/>
  <c r="AG138" i="13" s="1"/>
  <c r="AG131" i="13"/>
  <c r="AB100" i="13"/>
  <c r="AB129" i="13"/>
  <c r="AB131" i="13"/>
  <c r="K100" i="13"/>
  <c r="K129" i="13"/>
  <c r="K137" i="13"/>
  <c r="K138" i="13" s="1"/>
  <c r="K131" i="13"/>
  <c r="W129" i="13"/>
  <c r="W131" i="13"/>
  <c r="W137" i="13"/>
  <c r="W138" i="13" s="1"/>
  <c r="W100" i="13"/>
  <c r="AQ137" i="13"/>
  <c r="AQ138" i="13" s="1"/>
  <c r="AQ100" i="13"/>
  <c r="AO100" i="13"/>
  <c r="AO129" i="13"/>
  <c r="AO131" i="13"/>
  <c r="AN130" i="13"/>
  <c r="Y129" i="13"/>
  <c r="Y137" i="13"/>
  <c r="Y138" i="13" s="1"/>
  <c r="Y131" i="13"/>
  <c r="Y100" i="13"/>
  <c r="M162" i="11"/>
  <c r="T162" i="11"/>
  <c r="N162" i="11"/>
  <c r="AB121" i="11"/>
  <c r="AB120" i="11"/>
  <c r="AB118" i="11"/>
  <c r="AB119" i="11"/>
  <c r="AB42" i="11" s="1"/>
  <c r="AB40" i="11"/>
  <c r="AC118" i="11"/>
  <c r="AC120" i="11"/>
  <c r="AC121" i="11" s="1"/>
  <c r="AC40" i="11"/>
  <c r="L345" i="11"/>
  <c r="L270" i="11"/>
  <c r="L346" i="11"/>
  <c r="L343" i="11"/>
  <c r="L344" i="11" s="1"/>
  <c r="L340" i="11"/>
  <c r="L347" i="11"/>
  <c r="L341" i="11"/>
  <c r="L271" i="11" s="1"/>
  <c r="L339" i="11"/>
  <c r="R346" i="11"/>
  <c r="R340" i="11"/>
  <c r="R347" i="11"/>
  <c r="R270" i="11"/>
  <c r="R339" i="11"/>
  <c r="R345" i="11"/>
  <c r="R341" i="11"/>
  <c r="R271" i="11" s="1"/>
  <c r="R343" i="11"/>
  <c r="R344" i="11" s="1"/>
  <c r="W270" i="11"/>
  <c r="W346" i="11"/>
  <c r="W347" i="11" s="1"/>
  <c r="W343" i="11"/>
  <c r="W344" i="11" s="1"/>
  <c r="W340" i="11"/>
  <c r="S345" i="11"/>
  <c r="S341" i="11"/>
  <c r="S271" i="11" s="1"/>
  <c r="S343" i="11"/>
  <c r="S344" i="11" s="1"/>
  <c r="S346" i="11"/>
  <c r="S340" i="11"/>
  <c r="S347" i="11"/>
  <c r="S339" i="11"/>
  <c r="S270" i="11"/>
  <c r="T270" i="11"/>
  <c r="T346" i="11"/>
  <c r="T347" i="11" s="1"/>
  <c r="T343" i="11"/>
  <c r="T344" i="11" s="1"/>
  <c r="AE339" i="11"/>
  <c r="AE345" i="11"/>
  <c r="AE341" i="11"/>
  <c r="AE271" i="11" s="1"/>
  <c r="AE343" i="11"/>
  <c r="AE344" i="11" s="1"/>
  <c r="AE346" i="11"/>
  <c r="AE340" i="11"/>
  <c r="AE270" i="11"/>
  <c r="AE347" i="11"/>
  <c r="L146" i="11"/>
  <c r="L147" i="11" s="1"/>
  <c r="L133" i="11"/>
  <c r="L134" i="11" s="1"/>
  <c r="L128" i="11"/>
  <c r="M127" i="11" s="1"/>
  <c r="Q346" i="11"/>
  <c r="Q347" i="11" s="1"/>
  <c r="Q270" i="11"/>
  <c r="Q343" i="11"/>
  <c r="Q344" i="11" s="1"/>
  <c r="J341" i="11"/>
  <c r="J271" i="11" s="1"/>
  <c r="J343" i="11"/>
  <c r="J344" i="11" s="1"/>
  <c r="J346" i="11"/>
  <c r="J340" i="11"/>
  <c r="J345" i="11"/>
  <c r="J347" i="11"/>
  <c r="J270" i="11"/>
  <c r="J339" i="11"/>
  <c r="K270" i="11"/>
  <c r="K346" i="11"/>
  <c r="K347" i="11" s="1"/>
  <c r="K343" i="11"/>
  <c r="K344" i="11" s="1"/>
  <c r="K340" i="11"/>
  <c r="M346" i="11"/>
  <c r="M343" i="11"/>
  <c r="M344" i="11" s="1"/>
  <c r="M340" i="11"/>
  <c r="M347" i="11"/>
  <c r="M345" i="11"/>
  <c r="M341" i="11"/>
  <c r="M271" i="11" s="1"/>
  <c r="M270" i="11"/>
  <c r="M339" i="11"/>
  <c r="V341" i="11"/>
  <c r="V271" i="11" s="1"/>
  <c r="V270" i="11"/>
  <c r="V339" i="11"/>
  <c r="V345" i="11"/>
  <c r="V346" i="11"/>
  <c r="V347" i="11"/>
  <c r="V343" i="11"/>
  <c r="V344" i="11" s="1"/>
  <c r="V340" i="11"/>
  <c r="N270" i="11"/>
  <c r="N343" i="11"/>
  <c r="N344" i="11" s="1"/>
  <c r="N346" i="11"/>
  <c r="N347" i="11" s="1"/>
  <c r="AD346" i="11"/>
  <c r="AD340" i="11"/>
  <c r="AD347" i="11"/>
  <c r="AD270" i="11"/>
  <c r="AD339" i="11"/>
  <c r="AD345" i="11"/>
  <c r="AD341" i="11"/>
  <c r="AD271" i="11" s="1"/>
  <c r="AD343" i="11"/>
  <c r="AD344" i="11" s="1"/>
  <c r="O270" i="11"/>
  <c r="O339" i="11"/>
  <c r="O343" i="11"/>
  <c r="O344" i="11" s="1"/>
  <c r="O346" i="11"/>
  <c r="O340" i="11"/>
  <c r="O347" i="11"/>
  <c r="O341" i="11"/>
  <c r="O271" i="11" s="1"/>
  <c r="O345" i="11"/>
  <c r="AC346" i="11"/>
  <c r="AC347" i="11" s="1"/>
  <c r="AC270" i="11"/>
  <c r="AC343" i="11"/>
  <c r="AC344" i="11" s="1"/>
  <c r="U345" i="11"/>
  <c r="U341" i="11"/>
  <c r="U271" i="11" s="1"/>
  <c r="U343" i="11"/>
  <c r="U344" i="11" s="1"/>
  <c r="U346" i="11"/>
  <c r="U339" i="11"/>
  <c r="U340" i="11"/>
  <c r="U347" i="11"/>
  <c r="U270" i="11"/>
  <c r="AI130" i="13"/>
  <c r="S162" i="11"/>
  <c r="T122" i="11"/>
  <c r="T163" i="11" s="1"/>
  <c r="M169" i="15"/>
  <c r="N168" i="15"/>
  <c r="M178" i="15"/>
  <c r="X130" i="13"/>
  <c r="X133" i="13"/>
  <c r="P78" i="15"/>
  <c r="O79" i="15"/>
  <c r="O88" i="15"/>
  <c r="M101" i="15"/>
  <c r="M102" i="15" s="1"/>
  <c r="L134" i="9"/>
  <c r="L135" i="9" s="1"/>
  <c r="L119" i="15"/>
  <c r="L121" i="15" s="1"/>
  <c r="L122" i="15" s="1"/>
  <c r="L123" i="15" s="1"/>
  <c r="L104" i="15"/>
  <c r="L105" i="15" s="1"/>
  <c r="L111" i="15" s="1"/>
  <c r="L215" i="9" s="1"/>
  <c r="L216" i="9" s="1"/>
  <c r="O139" i="15"/>
  <c r="O148" i="15"/>
  <c r="P138" i="15"/>
  <c r="J51" i="13"/>
  <c r="J53" i="13" s="1"/>
  <c r="N89" i="15"/>
  <c r="N91" i="15" s="1"/>
  <c r="N92" i="15" s="1"/>
  <c r="N93" i="15" s="1"/>
  <c r="O71" i="15"/>
  <c r="O72" i="15" s="1"/>
  <c r="N74" i="15"/>
  <c r="N75" i="15" s="1"/>
  <c r="N81" i="15" s="1"/>
  <c r="N246" i="9" s="1"/>
  <c r="N247" i="9" s="1"/>
  <c r="N103" i="9"/>
  <c r="N104" i="9" s="1"/>
  <c r="M118" i="15"/>
  <c r="N108" i="15"/>
  <c r="M109" i="15"/>
  <c r="N143" i="9"/>
  <c r="N144" i="9" s="1"/>
  <c r="N149" i="15"/>
  <c r="N151" i="15" s="1"/>
  <c r="N152" i="15" s="1"/>
  <c r="N153" i="15" s="1"/>
  <c r="N134" i="15"/>
  <c r="N135" i="15" s="1"/>
  <c r="N141" i="15" s="1"/>
  <c r="N265" i="9" s="1"/>
  <c r="O131" i="15"/>
  <c r="O132" i="15" s="1"/>
  <c r="S122" i="11"/>
  <c r="S163" i="11" s="1"/>
  <c r="L179" i="15"/>
  <c r="L181" i="15" s="1"/>
  <c r="L182" i="15" s="1"/>
  <c r="L183" i="15" s="1"/>
  <c r="L164" i="15"/>
  <c r="L165" i="15" s="1"/>
  <c r="L171" i="15" s="1"/>
  <c r="L266" i="9" s="1"/>
  <c r="L267" i="9" s="1"/>
  <c r="L282" i="9" s="1"/>
  <c r="M161" i="15"/>
  <c r="M162" i="15" s="1"/>
  <c r="L154" i="9"/>
  <c r="L155" i="9" s="1"/>
  <c r="AO344" i="11"/>
  <c r="P162" i="11"/>
  <c r="P122" i="11"/>
  <c r="P163" i="11" s="1"/>
  <c r="M259" i="12"/>
  <c r="N163" i="12"/>
  <c r="O49" i="15"/>
  <c r="P48" i="15"/>
  <c r="O58" i="15"/>
  <c r="L91" i="13"/>
  <c r="M153" i="13"/>
  <c r="L152" i="9"/>
  <c r="L45" i="13"/>
  <c r="N249" i="12"/>
  <c r="M62" i="15"/>
  <c r="M63" i="15" s="1"/>
  <c r="O96" i="12"/>
  <c r="O97" i="12" s="1"/>
  <c r="M33" i="13"/>
  <c r="N59" i="15"/>
  <c r="N61" i="15" s="1"/>
  <c r="N44" i="15"/>
  <c r="N45" i="15" s="1"/>
  <c r="N51" i="15" s="1"/>
  <c r="N237" i="9" s="1"/>
  <c r="N238" i="9" s="1"/>
  <c r="O41" i="15"/>
  <c r="O42" i="15" s="1"/>
  <c r="N94" i="9"/>
  <c r="N95" i="9" s="1"/>
  <c r="L43" i="13"/>
  <c r="K48" i="13"/>
  <c r="R322" i="11"/>
  <c r="Q162" i="11"/>
  <c r="Q122" i="11"/>
  <c r="Q163" i="11" s="1"/>
  <c r="K164" i="11"/>
  <c r="K222" i="11" s="1"/>
  <c r="K223" i="9" s="1"/>
  <c r="J28" i="16"/>
  <c r="J64" i="16" s="1"/>
  <c r="J71" i="16" s="1"/>
  <c r="I120" i="18"/>
  <c r="I123" i="18" s="1"/>
  <c r="I244" i="18" s="1"/>
  <c r="I245" i="18" s="1"/>
  <c r="M123" i="18"/>
  <c r="S120" i="18"/>
  <c r="S123" i="18" s="1"/>
  <c r="N120" i="18"/>
  <c r="R120" i="18"/>
  <c r="Q120" i="18"/>
  <c r="O252" i="18"/>
  <c r="J68" i="19"/>
  <c r="AE44" i="19"/>
  <c r="K225" i="18"/>
  <c r="V71" i="19" s="1"/>
  <c r="O67" i="19"/>
  <c r="U68" i="19"/>
  <c r="F40" i="19"/>
  <c r="AA44" i="19"/>
  <c r="AA60" i="19"/>
  <c r="T153" i="18"/>
  <c r="T155" i="18"/>
  <c r="T223" i="18"/>
  <c r="AE41" i="19" s="1"/>
  <c r="AF41" i="19" s="1"/>
  <c r="J225" i="18"/>
  <c r="U71" i="19" s="1"/>
  <c r="M67" i="19"/>
  <c r="E40" i="19"/>
  <c r="Z60" i="19"/>
  <c r="N76" i="19"/>
  <c r="Q225" i="18"/>
  <c r="AB71" i="19" s="1"/>
  <c r="M252" i="18"/>
  <c r="H40" i="19"/>
  <c r="I154" i="18"/>
  <c r="L225" i="18"/>
  <c r="W71" i="19" s="1"/>
  <c r="K252" i="18"/>
  <c r="G40" i="19"/>
  <c r="S153" i="18"/>
  <c r="S155" i="18"/>
  <c r="J223" i="18"/>
  <c r="U41" i="19" s="1"/>
  <c r="S253" i="18"/>
  <c r="V67" i="19"/>
  <c r="K55" i="19"/>
  <c r="AD59" i="19"/>
  <c r="V60" i="19"/>
  <c r="X76" i="19"/>
  <c r="O153" i="18"/>
  <c r="P155" i="18"/>
  <c r="I223" i="18"/>
  <c r="T41" i="19" s="1"/>
  <c r="J37" i="19"/>
  <c r="F38" i="19"/>
  <c r="AB55" i="19"/>
  <c r="F74" i="19"/>
  <c r="W75" i="19"/>
  <c r="Y76" i="19"/>
  <c r="H76" i="19"/>
  <c r="W61" i="19"/>
  <c r="F61" i="19"/>
  <c r="U46" i="19"/>
  <c r="D46" i="19"/>
  <c r="AE75" i="19"/>
  <c r="AC60" i="19"/>
  <c r="AA45" i="19"/>
  <c r="Y74" i="19"/>
  <c r="H74" i="19"/>
  <c r="W59" i="19"/>
  <c r="F59" i="19"/>
  <c r="U44" i="19"/>
  <c r="D44" i="19"/>
  <c r="L72" i="19"/>
  <c r="K57" i="19"/>
  <c r="J42" i="19"/>
  <c r="AE70" i="19"/>
  <c r="AF70" i="19" s="1"/>
  <c r="N70" i="19"/>
  <c r="AC55" i="19"/>
  <c r="L55" i="19"/>
  <c r="AA40" i="19"/>
  <c r="J40" i="19"/>
  <c r="Y69" i="19"/>
  <c r="W54" i="19"/>
  <c r="U39" i="19"/>
  <c r="AE68" i="19"/>
  <c r="AF68" i="19" s="1"/>
  <c r="N68" i="19"/>
  <c r="AC53" i="19"/>
  <c r="L53" i="19"/>
  <c r="AA38" i="19"/>
  <c r="J38" i="19"/>
  <c r="Y67" i="19"/>
  <c r="H67" i="19"/>
  <c r="W52" i="19"/>
  <c r="Z76" i="19"/>
  <c r="I76" i="19"/>
  <c r="X61" i="19"/>
  <c r="G61" i="19"/>
  <c r="V46" i="19"/>
  <c r="E46" i="19"/>
  <c r="T75" i="19"/>
  <c r="AD60" i="19"/>
  <c r="AB45" i="19"/>
  <c r="Z74" i="19"/>
  <c r="I74" i="19"/>
  <c r="X59" i="19"/>
  <c r="G59" i="19"/>
  <c r="V44" i="19"/>
  <c r="E44" i="19"/>
  <c r="M72" i="19"/>
  <c r="L57" i="19"/>
  <c r="K42" i="19"/>
  <c r="T70" i="19"/>
  <c r="O70" i="19"/>
  <c r="AD55" i="19"/>
  <c r="M55" i="19"/>
  <c r="AB40" i="19"/>
  <c r="K40" i="19"/>
  <c r="Z69" i="19"/>
  <c r="X54" i="19"/>
  <c r="V39" i="19"/>
  <c r="T68" i="19"/>
  <c r="O68" i="19"/>
  <c r="AD53" i="19"/>
  <c r="M53" i="19"/>
  <c r="AB38" i="19"/>
  <c r="K38" i="19"/>
  <c r="Z67" i="19"/>
  <c r="I67" i="19"/>
  <c r="X52" i="19"/>
  <c r="G52" i="19"/>
  <c r="AB76" i="19"/>
  <c r="K76" i="19"/>
  <c r="Z61" i="19"/>
  <c r="I61" i="19"/>
  <c r="X46" i="19"/>
  <c r="G46" i="19"/>
  <c r="V75" i="19"/>
  <c r="T60" i="19"/>
  <c r="AD45" i="19"/>
  <c r="AB74" i="19"/>
  <c r="K74" i="19"/>
  <c r="Z59" i="19"/>
  <c r="I59" i="19"/>
  <c r="X44" i="19"/>
  <c r="G44" i="19"/>
  <c r="O72" i="19"/>
  <c r="N57" i="19"/>
  <c r="M42" i="19"/>
  <c r="V70" i="19"/>
  <c r="E70" i="19"/>
  <c r="T55" i="19"/>
  <c r="O55" i="19"/>
  <c r="AD40" i="19"/>
  <c r="M40" i="19"/>
  <c r="AB69" i="19"/>
  <c r="Z54" i="19"/>
  <c r="X39" i="19"/>
  <c r="V68" i="19"/>
  <c r="E68" i="19"/>
  <c r="T53" i="19"/>
  <c r="O53" i="19"/>
  <c r="AD38" i="19"/>
  <c r="M38" i="19"/>
  <c r="AB67" i="19"/>
  <c r="K67" i="19"/>
  <c r="Z52" i="19"/>
  <c r="I172" i="18"/>
  <c r="I173" i="18" s="1"/>
  <c r="U76" i="19"/>
  <c r="G76" i="19"/>
  <c r="AB61" i="19"/>
  <c r="N61" i="19"/>
  <c r="X75" i="19"/>
  <c r="AB60" i="19"/>
  <c r="T45" i="19"/>
  <c r="X74" i="19"/>
  <c r="M74" i="19"/>
  <c r="AE59" i="19"/>
  <c r="T44" i="19"/>
  <c r="I44" i="19"/>
  <c r="D57" i="19"/>
  <c r="F42" i="19"/>
  <c r="AA70" i="19"/>
  <c r="M70" i="19"/>
  <c r="E55" i="19"/>
  <c r="W40" i="19"/>
  <c r="I40" i="19"/>
  <c r="AD69" i="19"/>
  <c r="Z39" i="19"/>
  <c r="AD68" i="19"/>
  <c r="V53" i="19"/>
  <c r="H53" i="19"/>
  <c r="Z38" i="19"/>
  <c r="O38" i="19"/>
  <c r="D67" i="19"/>
  <c r="V52" i="19"/>
  <c r="I52" i="19"/>
  <c r="X37" i="19"/>
  <c r="G37" i="19"/>
  <c r="M253" i="18"/>
  <c r="L252" i="18"/>
  <c r="K251" i="18"/>
  <c r="V76" i="19"/>
  <c r="J76" i="19"/>
  <c r="AC61" i="19"/>
  <c r="O61" i="19"/>
  <c r="F46" i="19"/>
  <c r="Y75" i="19"/>
  <c r="AE60" i="19"/>
  <c r="U45" i="19"/>
  <c r="AA74" i="19"/>
  <c r="N74" i="19"/>
  <c r="W44" i="19"/>
  <c r="J44" i="19"/>
  <c r="E57" i="19"/>
  <c r="G42" i="19"/>
  <c r="AB70" i="19"/>
  <c r="F55" i="19"/>
  <c r="X40" i="19"/>
  <c r="L40" i="19"/>
  <c r="AE69" i="19"/>
  <c r="AF69" i="19" s="1"/>
  <c r="T54" i="19"/>
  <c r="AA39" i="19"/>
  <c r="D68" i="19"/>
  <c r="W53" i="19"/>
  <c r="I53" i="19"/>
  <c r="AC38" i="19"/>
  <c r="E67" i="19"/>
  <c r="Y52" i="19"/>
  <c r="J52" i="19"/>
  <c r="Y37" i="19"/>
  <c r="H37" i="19"/>
  <c r="W76" i="19"/>
  <c r="L76" i="19"/>
  <c r="AD61" i="19"/>
  <c r="H46" i="19"/>
  <c r="Z75" i="19"/>
  <c r="V45" i="19"/>
  <c r="AC74" i="19"/>
  <c r="O74" i="19"/>
  <c r="D59" i="19"/>
  <c r="Y44" i="19"/>
  <c r="K44" i="19"/>
  <c r="D72" i="19"/>
  <c r="F57" i="19"/>
  <c r="H42" i="19"/>
  <c r="AC70" i="19"/>
  <c r="U55" i="19"/>
  <c r="G55" i="19"/>
  <c r="Y40" i="19"/>
  <c r="N40" i="19"/>
  <c r="U54" i="19"/>
  <c r="AB39" i="19"/>
  <c r="F68" i="19"/>
  <c r="X53" i="19"/>
  <c r="J53" i="19"/>
  <c r="AE38" i="19"/>
  <c r="AF38" i="19" s="1"/>
  <c r="T67" i="19"/>
  <c r="F67" i="19"/>
  <c r="AA52" i="19"/>
  <c r="K52" i="19"/>
  <c r="Z37" i="19"/>
  <c r="I37" i="19"/>
  <c r="O253" i="18"/>
  <c r="N252" i="18"/>
  <c r="M251" i="18"/>
  <c r="AC76" i="19"/>
  <c r="O76" i="19"/>
  <c r="D61" i="19"/>
  <c r="Y46" i="19"/>
  <c r="K46" i="19"/>
  <c r="AC75" i="19"/>
  <c r="U60" i="19"/>
  <c r="Y45" i="19"/>
  <c r="U59" i="19"/>
  <c r="J59" i="19"/>
  <c r="AB44" i="19"/>
  <c r="N44" i="19"/>
  <c r="G72" i="19"/>
  <c r="I57" i="19"/>
  <c r="N42" i="19"/>
  <c r="F70" i="19"/>
  <c r="X55" i="19"/>
  <c r="J55" i="19"/>
  <c r="AE40" i="19"/>
  <c r="AF40" i="19" s="1"/>
  <c r="T69" i="19"/>
  <c r="AA54" i="19"/>
  <c r="AE39" i="19"/>
  <c r="AF39" i="19" s="1"/>
  <c r="W68" i="19"/>
  <c r="I68" i="19"/>
  <c r="AA53" i="19"/>
  <c r="E38" i="19"/>
  <c r="W67" i="19"/>
  <c r="L67" i="19"/>
  <c r="AD52" i="19"/>
  <c r="N52" i="19"/>
  <c r="AC37" i="19"/>
  <c r="L37" i="19"/>
  <c r="R253" i="18"/>
  <c r="Q252" i="18"/>
  <c r="P251" i="18"/>
  <c r="AE76" i="19"/>
  <c r="T61" i="19"/>
  <c r="H61" i="19"/>
  <c r="AA46" i="19"/>
  <c r="M46" i="19"/>
  <c r="W60" i="19"/>
  <c r="AC45" i="19"/>
  <c r="E74" i="19"/>
  <c r="Y59" i="19"/>
  <c r="L59" i="19"/>
  <c r="AD44" i="19"/>
  <c r="I72" i="19"/>
  <c r="M57" i="19"/>
  <c r="U70" i="19"/>
  <c r="H70" i="19"/>
  <c r="Z55" i="19"/>
  <c r="N55" i="19"/>
  <c r="D40" i="19"/>
  <c r="V69" i="19"/>
  <c r="AC54" i="19"/>
  <c r="Y68" i="19"/>
  <c r="K68" i="19"/>
  <c r="AE53" i="19"/>
  <c r="AF53" i="19" s="1"/>
  <c r="U38" i="19"/>
  <c r="G38" i="19"/>
  <c r="AA67" i="19"/>
  <c r="N67" i="19"/>
  <c r="AE37" i="19"/>
  <c r="AF37" i="19" s="1"/>
  <c r="N37" i="19"/>
  <c r="T253" i="18"/>
  <c r="S252" i="18"/>
  <c r="R251" i="18"/>
  <c r="AD76" i="19"/>
  <c r="AE61" i="19"/>
  <c r="AD46" i="19"/>
  <c r="G74" i="19"/>
  <c r="K59" i="19"/>
  <c r="L44" i="19"/>
  <c r="F72" i="19"/>
  <c r="E42" i="19"/>
  <c r="K70" i="19"/>
  <c r="T39" i="19"/>
  <c r="X68" i="19"/>
  <c r="Y53" i="19"/>
  <c r="X38" i="19"/>
  <c r="AC67" i="19"/>
  <c r="AC52" i="19"/>
  <c r="W37" i="19"/>
  <c r="L253" i="18"/>
  <c r="R252" i="18"/>
  <c r="M225" i="18"/>
  <c r="X71" i="19" s="1"/>
  <c r="L224" i="18"/>
  <c r="W56" i="19" s="1"/>
  <c r="K223" i="18"/>
  <c r="V41" i="19" s="1"/>
  <c r="M155" i="18"/>
  <c r="L154" i="18"/>
  <c r="K153" i="18"/>
  <c r="AE46" i="19"/>
  <c r="J74" i="19"/>
  <c r="M59" i="19"/>
  <c r="M44" i="19"/>
  <c r="H72" i="19"/>
  <c r="I42" i="19"/>
  <c r="L70" i="19"/>
  <c r="T40" i="19"/>
  <c r="U69" i="19"/>
  <c r="V54" i="19"/>
  <c r="W39" i="19"/>
  <c r="Z68" i="19"/>
  <c r="Z53" i="19"/>
  <c r="Y38" i="19"/>
  <c r="AD67" i="19"/>
  <c r="AE52" i="19"/>
  <c r="AF52" i="19" s="1"/>
  <c r="AA37" i="19"/>
  <c r="N253" i="18"/>
  <c r="T252" i="18"/>
  <c r="N225" i="18"/>
  <c r="Y71" i="19" s="1"/>
  <c r="M224" i="18"/>
  <c r="X56" i="19" s="1"/>
  <c r="L223" i="18"/>
  <c r="W41" i="19" s="1"/>
  <c r="N155" i="18"/>
  <c r="M154" i="18"/>
  <c r="L153" i="18"/>
  <c r="D76" i="19"/>
  <c r="E61" i="19"/>
  <c r="I46" i="19"/>
  <c r="L74" i="19"/>
  <c r="N59" i="19"/>
  <c r="O44" i="19"/>
  <c r="J72" i="19"/>
  <c r="L42" i="19"/>
  <c r="V55" i="19"/>
  <c r="U40" i="19"/>
  <c r="W69" i="19"/>
  <c r="Y54" i="19"/>
  <c r="Y39" i="19"/>
  <c r="AA68" i="19"/>
  <c r="AB53" i="19"/>
  <c r="AE67" i="19"/>
  <c r="AF67" i="19" s="1"/>
  <c r="D52" i="19"/>
  <c r="AB37" i="19"/>
  <c r="P253" i="18"/>
  <c r="O225" i="18"/>
  <c r="Z71" i="19" s="1"/>
  <c r="N224" i="18"/>
  <c r="Y56" i="19" s="1"/>
  <c r="M223" i="18"/>
  <c r="X41" i="19" s="1"/>
  <c r="O155" i="18"/>
  <c r="N154" i="18"/>
  <c r="M153" i="18"/>
  <c r="E76" i="19"/>
  <c r="J61" i="19"/>
  <c r="J46" i="19"/>
  <c r="O59" i="19"/>
  <c r="K72" i="19"/>
  <c r="O42" i="19"/>
  <c r="W70" i="19"/>
  <c r="W55" i="19"/>
  <c r="V40" i="19"/>
  <c r="X69" i="19"/>
  <c r="AB54" i="19"/>
  <c r="AC39" i="19"/>
  <c r="AB68" i="19"/>
  <c r="D53" i="19"/>
  <c r="D38" i="19"/>
  <c r="E52" i="19"/>
  <c r="AD37" i="19"/>
  <c r="Q253" i="18"/>
  <c r="I251" i="18"/>
  <c r="P225" i="18"/>
  <c r="AA71" i="19" s="1"/>
  <c r="O224" i="18"/>
  <c r="Z56" i="19" s="1"/>
  <c r="N223" i="18"/>
  <c r="Y41" i="19" s="1"/>
  <c r="M76" i="19"/>
  <c r="L61" i="19"/>
  <c r="N46" i="19"/>
  <c r="U74" i="19"/>
  <c r="V59" i="19"/>
  <c r="Z44" i="19"/>
  <c r="Y70" i="19"/>
  <c r="AA55" i="19"/>
  <c r="AC40" i="19"/>
  <c r="AC69" i="19"/>
  <c r="AE54" i="19"/>
  <c r="AF54" i="19" s="1"/>
  <c r="G68" i="19"/>
  <c r="F53" i="19"/>
  <c r="H38" i="19"/>
  <c r="J67" i="19"/>
  <c r="H52" i="19"/>
  <c r="D37" i="19"/>
  <c r="L251" i="18"/>
  <c r="R225" i="18"/>
  <c r="AC71" i="19" s="1"/>
  <c r="Q224" i="18"/>
  <c r="AB56" i="19" s="1"/>
  <c r="P223" i="18"/>
  <c r="AA41" i="19" s="1"/>
  <c r="AA61" i="19"/>
  <c r="AA75" i="19"/>
  <c r="X45" i="19"/>
  <c r="T59" i="19"/>
  <c r="F44" i="19"/>
  <c r="G57" i="19"/>
  <c r="AE55" i="19"/>
  <c r="AF55" i="19" s="1"/>
  <c r="AA69" i="19"/>
  <c r="L68" i="19"/>
  <c r="I38" i="19"/>
  <c r="AB52" i="19"/>
  <c r="K37" i="19"/>
  <c r="J251" i="18"/>
  <c r="T225" i="18"/>
  <c r="AE71" i="19" s="1"/>
  <c r="AF71" i="19" s="1"/>
  <c r="O223" i="18"/>
  <c r="Z41" i="19" s="1"/>
  <c r="I155" i="18"/>
  <c r="K154" i="18"/>
  <c r="P153" i="18"/>
  <c r="Q153" i="18"/>
  <c r="T76" i="19"/>
  <c r="X70" i="19"/>
  <c r="U53" i="19"/>
  <c r="J224" i="18"/>
  <c r="U56" i="19" s="1"/>
  <c r="K61" i="19"/>
  <c r="AB75" i="19"/>
  <c r="Z45" i="19"/>
  <c r="AA59" i="19"/>
  <c r="H44" i="19"/>
  <c r="H57" i="19"/>
  <c r="D55" i="19"/>
  <c r="M68" i="19"/>
  <c r="L38" i="19"/>
  <c r="F52" i="19"/>
  <c r="M37" i="19"/>
  <c r="I253" i="18"/>
  <c r="N251" i="18"/>
  <c r="Q223" i="18"/>
  <c r="AB41" i="19" s="1"/>
  <c r="J155" i="18"/>
  <c r="O154" i="18"/>
  <c r="O57" i="19"/>
  <c r="M52" i="19"/>
  <c r="K253" i="18"/>
  <c r="S223" i="18"/>
  <c r="AD41" i="19" s="1"/>
  <c r="M61" i="19"/>
  <c r="AD75" i="19"/>
  <c r="AE45" i="19"/>
  <c r="AB59" i="19"/>
  <c r="J57" i="19"/>
  <c r="H55" i="19"/>
  <c r="AD39" i="19"/>
  <c r="N38" i="19"/>
  <c r="L52" i="19"/>
  <c r="O37" i="19"/>
  <c r="J253" i="18"/>
  <c r="O251" i="18"/>
  <c r="I224" i="18"/>
  <c r="T56" i="19" s="1"/>
  <c r="R223" i="18"/>
  <c r="AC41" i="19" s="1"/>
  <c r="K155" i="18"/>
  <c r="P154" i="18"/>
  <c r="R153" i="18"/>
  <c r="T46" i="19"/>
  <c r="AC59" i="19"/>
  <c r="I55" i="19"/>
  <c r="U67" i="19"/>
  <c r="Q251" i="18"/>
  <c r="L155" i="18"/>
  <c r="AA76" i="19"/>
  <c r="Z46" i="19"/>
  <c r="X60" i="19"/>
  <c r="T74" i="19"/>
  <c r="E59" i="19"/>
  <c r="D42" i="19"/>
  <c r="AD70" i="19"/>
  <c r="Z40" i="19"/>
  <c r="G53" i="19"/>
  <c r="X67" i="19"/>
  <c r="T37" i="19"/>
  <c r="T251" i="18"/>
  <c r="P224" i="18"/>
  <c r="AA56" i="19" s="1"/>
  <c r="Q155" i="18"/>
  <c r="S154" i="18"/>
  <c r="F76" i="19"/>
  <c r="AB46" i="19"/>
  <c r="Y60" i="19"/>
  <c r="V74" i="19"/>
  <c r="H59" i="19"/>
  <c r="D70" i="19"/>
  <c r="K53" i="19"/>
  <c r="G67" i="19"/>
  <c r="U37" i="19"/>
  <c r="I252" i="18"/>
  <c r="I225" i="18"/>
  <c r="T71" i="19" s="1"/>
  <c r="R224" i="18"/>
  <c r="AC56" i="19" s="1"/>
  <c r="R155" i="18"/>
  <c r="T154" i="18"/>
  <c r="S225" i="18"/>
  <c r="AD71" i="19" s="1"/>
  <c r="O40" i="19"/>
  <c r="N72" i="19"/>
  <c r="W45" i="19"/>
  <c r="J154" i="18"/>
  <c r="AC68" i="19"/>
  <c r="AC44" i="19"/>
  <c r="U61" i="19"/>
  <c r="V38" i="19"/>
  <c r="O46" i="19"/>
  <c r="I153" i="18"/>
  <c r="S224" i="18"/>
  <c r="AD56" i="19" s="1"/>
  <c r="T38" i="19"/>
  <c r="I70" i="19"/>
  <c r="AD74" i="19"/>
  <c r="L46" i="19"/>
  <c r="Q154" i="18"/>
  <c r="U52" i="19"/>
  <c r="Y61" i="19"/>
  <c r="T52" i="19"/>
  <c r="H68" i="19"/>
  <c r="E72" i="19"/>
  <c r="J252" i="18"/>
  <c r="W38" i="19"/>
  <c r="Y55" i="19"/>
  <c r="D74" i="19"/>
  <c r="U75" i="19"/>
  <c r="J153" i="18"/>
  <c r="T224" i="18"/>
  <c r="AE56" i="19" s="1"/>
  <c r="AF56" i="19" s="1"/>
  <c r="E37" i="19"/>
  <c r="J70" i="19"/>
  <c r="R123" i="18"/>
  <c r="J120" i="18"/>
  <c r="K120" i="18"/>
  <c r="L120" i="18"/>
  <c r="O120" i="18"/>
  <c r="P120" i="18"/>
  <c r="K224" i="18"/>
  <c r="V56" i="19" s="1"/>
  <c r="S251" i="18"/>
  <c r="V37" i="19"/>
  <c r="N53" i="19"/>
  <c r="AD54" i="19"/>
  <c r="G70" i="19"/>
  <c r="W74" i="19"/>
  <c r="AC46" i="19"/>
  <c r="V61" i="19"/>
  <c r="N153" i="18"/>
  <c r="F37" i="19"/>
  <c r="AE74" i="19"/>
  <c r="T120" i="18"/>
  <c r="R154" i="18"/>
  <c r="P252" i="18"/>
  <c r="O52" i="19"/>
  <c r="E53" i="19"/>
  <c r="Z70" i="19"/>
  <c r="W46" i="19"/>
  <c r="D110" i="8"/>
  <c r="B23" i="18" s="1"/>
  <c r="D378" i="8" s="1"/>
  <c r="D109" i="8"/>
  <c r="B22" i="18" s="1"/>
  <c r="D377" i="8" s="1"/>
  <c r="B49" i="19" s="1"/>
  <c r="D108" i="8"/>
  <c r="B21" i="18" s="1"/>
  <c r="D376" i="8" s="1"/>
  <c r="B218" i="18" s="1"/>
  <c r="H12" i="18"/>
  <c r="H14" i="18" s="1"/>
  <c r="I78" i="18" s="1"/>
  <c r="I79" i="18" s="1"/>
  <c r="H142" i="10" s="1"/>
  <c r="J5" i="18"/>
  <c r="K5" i="18"/>
  <c r="L5" i="18"/>
  <c r="J4" i="18"/>
  <c r="K4" i="18"/>
  <c r="L4" i="18"/>
  <c r="H22" i="7"/>
  <c r="AE142" i="10" l="1"/>
  <c r="AQ142" i="10"/>
  <c r="T142" i="10"/>
  <c r="T153" i="10" s="1"/>
  <c r="AR142" i="10"/>
  <c r="AR153" i="10" s="1"/>
  <c r="K142" i="10"/>
  <c r="K153" i="10" s="1"/>
  <c r="O142" i="10"/>
  <c r="O153" i="10" s="1"/>
  <c r="W142" i="10"/>
  <c r="W153" i="10" s="1"/>
  <c r="AI142" i="10"/>
  <c r="AI153" i="10" s="1"/>
  <c r="AJ142" i="10"/>
  <c r="AJ153" i="10" s="1"/>
  <c r="AM142" i="10"/>
  <c r="AM153" i="10" s="1"/>
  <c r="AA142" i="10"/>
  <c r="AA153" i="10" s="1"/>
  <c r="S142" i="10"/>
  <c r="S153" i="10" s="1"/>
  <c r="AN142" i="10"/>
  <c r="AN153" i="10" s="1"/>
  <c r="Q142" i="10"/>
  <c r="Q153" i="10" s="1"/>
  <c r="AB142" i="10"/>
  <c r="AB153" i="10" s="1"/>
  <c r="N142" i="10"/>
  <c r="N153" i="10" s="1"/>
  <c r="Z142" i="10"/>
  <c r="Z153" i="10" s="1"/>
  <c r="V142" i="10"/>
  <c r="V153" i="10" s="1"/>
  <c r="AP142" i="10"/>
  <c r="AP153" i="10" s="1"/>
  <c r="M142" i="10"/>
  <c r="M153" i="10" s="1"/>
  <c r="U142" i="10"/>
  <c r="U153" i="10" s="1"/>
  <c r="J142" i="10"/>
  <c r="J153" i="10" s="1"/>
  <c r="R142" i="10"/>
  <c r="R153" i="10" s="1"/>
  <c r="AS142" i="10"/>
  <c r="AS153" i="10" s="1"/>
  <c r="AD142" i="10"/>
  <c r="AD153" i="10" s="1"/>
  <c r="AH142" i="10"/>
  <c r="AH153" i="10" s="1"/>
  <c r="AG142" i="10"/>
  <c r="AG153" i="10" s="1"/>
  <c r="AL142" i="10"/>
  <c r="AL153" i="10" s="1"/>
  <c r="X142" i="10"/>
  <c r="X153" i="10" s="1"/>
  <c r="AF142" i="10"/>
  <c r="AF153" i="10" s="1"/>
  <c r="P142" i="10"/>
  <c r="P153" i="10" s="1"/>
  <c r="L142" i="10"/>
  <c r="L153" i="10" s="1"/>
  <c r="AC142" i="10"/>
  <c r="AC153" i="10" s="1"/>
  <c r="Y142" i="10"/>
  <c r="Y153" i="10" s="1"/>
  <c r="AK142" i="10"/>
  <c r="AK153" i="10" s="1"/>
  <c r="AO142" i="10"/>
  <c r="AO153" i="10" s="1"/>
  <c r="AE153" i="10"/>
  <c r="AQ153" i="10"/>
  <c r="I27" i="18"/>
  <c r="I28" i="18" s="1"/>
  <c r="H22" i="10" s="1"/>
  <c r="K22" i="10" s="1"/>
  <c r="K61" i="10" s="1"/>
  <c r="K91" i="10" s="1"/>
  <c r="AB162" i="11"/>
  <c r="M43" i="12"/>
  <c r="M44" i="12" s="1"/>
  <c r="M35" i="12"/>
  <c r="D69" i="19"/>
  <c r="D71" i="19" s="1"/>
  <c r="D73" i="19" s="1"/>
  <c r="D75" i="19" s="1"/>
  <c r="D77" i="19" s="1"/>
  <c r="I260" i="18" s="1"/>
  <c r="F54" i="19"/>
  <c r="F56" i="19" s="1"/>
  <c r="F58" i="19" s="1"/>
  <c r="F60" i="19" s="1"/>
  <c r="F62" i="19" s="1"/>
  <c r="K259" i="18" s="1"/>
  <c r="T47" i="19"/>
  <c r="K39" i="19"/>
  <c r="K41" i="19" s="1"/>
  <c r="K43" i="19" s="1"/>
  <c r="K45" i="19" s="1"/>
  <c r="K47" i="19" s="1"/>
  <c r="P258" i="18" s="1"/>
  <c r="X62" i="19"/>
  <c r="K54" i="19"/>
  <c r="K56" i="19" s="1"/>
  <c r="K58" i="19" s="1"/>
  <c r="K60" i="19" s="1"/>
  <c r="K62" i="19" s="1"/>
  <c r="P259" i="18" s="1"/>
  <c r="F39" i="19"/>
  <c r="F41" i="19" s="1"/>
  <c r="F43" i="19" s="1"/>
  <c r="F45" i="19" s="1"/>
  <c r="F47" i="19" s="1"/>
  <c r="K258" i="18" s="1"/>
  <c r="M54" i="19"/>
  <c r="M56" i="19" s="1"/>
  <c r="M58" i="19" s="1"/>
  <c r="M60" i="19" s="1"/>
  <c r="M62" i="19" s="1"/>
  <c r="R259" i="18" s="1"/>
  <c r="G69" i="19"/>
  <c r="G71" i="19" s="1"/>
  <c r="G73" i="19" s="1"/>
  <c r="G75" i="19" s="1"/>
  <c r="G77" i="19" s="1"/>
  <c r="L260" i="18" s="1"/>
  <c r="N69" i="19"/>
  <c r="N71" i="19" s="1"/>
  <c r="N73" i="19" s="1"/>
  <c r="N75" i="19" s="1"/>
  <c r="N77" i="19" s="1"/>
  <c r="S260" i="18" s="1"/>
  <c r="M69" i="19"/>
  <c r="M71" i="19" s="1"/>
  <c r="M73" i="19" s="1"/>
  <c r="M75" i="19" s="1"/>
  <c r="M77" i="19" s="1"/>
  <c r="R260" i="18" s="1"/>
  <c r="F69" i="19"/>
  <c r="F71" i="19" s="1"/>
  <c r="F73" i="19" s="1"/>
  <c r="F75" i="19" s="1"/>
  <c r="F77" i="19" s="1"/>
  <c r="K260" i="18" s="1"/>
  <c r="E39" i="19"/>
  <c r="E41" i="19" s="1"/>
  <c r="E43" i="19" s="1"/>
  <c r="E45" i="19" s="1"/>
  <c r="E47" i="19" s="1"/>
  <c r="J258" i="18" s="1"/>
  <c r="H39" i="19"/>
  <c r="H41" i="19" s="1"/>
  <c r="H43" i="19" s="1"/>
  <c r="H45" i="19" s="1"/>
  <c r="H47" i="19" s="1"/>
  <c r="M258" i="18" s="1"/>
  <c r="K69" i="19"/>
  <c r="K71" i="19" s="1"/>
  <c r="K73" i="19" s="1"/>
  <c r="K75" i="19" s="1"/>
  <c r="K77" i="19" s="1"/>
  <c r="P260" i="18" s="1"/>
  <c r="X77" i="19"/>
  <c r="AE77" i="19"/>
  <c r="Y77" i="19"/>
  <c r="U47" i="19"/>
  <c r="L69" i="19"/>
  <c r="L71" i="19" s="1"/>
  <c r="L73" i="19" s="1"/>
  <c r="L75" i="19" s="1"/>
  <c r="L77" i="19" s="1"/>
  <c r="Q260" i="18" s="1"/>
  <c r="E69" i="19"/>
  <c r="E71" i="19" s="1"/>
  <c r="E73" i="19" s="1"/>
  <c r="E75" i="19" s="1"/>
  <c r="E77" i="19" s="1"/>
  <c r="J260" i="18" s="1"/>
  <c r="D54" i="19"/>
  <c r="D56" i="19" s="1"/>
  <c r="D58" i="19" s="1"/>
  <c r="D60" i="19" s="1"/>
  <c r="D62" i="19" s="1"/>
  <c r="I259" i="18" s="1"/>
  <c r="J69" i="19"/>
  <c r="J71" i="19" s="1"/>
  <c r="J73" i="19" s="1"/>
  <c r="J75" i="19" s="1"/>
  <c r="J77" i="19" s="1"/>
  <c r="O260" i="18" s="1"/>
  <c r="J39" i="19"/>
  <c r="J41" i="19" s="1"/>
  <c r="J43" i="19" s="1"/>
  <c r="J45" i="19" s="1"/>
  <c r="J47" i="19" s="1"/>
  <c r="O258" i="18" s="1"/>
  <c r="O69" i="19"/>
  <c r="O71" i="19" s="1"/>
  <c r="O73" i="19" s="1"/>
  <c r="O75" i="19" s="1"/>
  <c r="O77" i="19" s="1"/>
  <c r="T260" i="18" s="1"/>
  <c r="L54" i="19"/>
  <c r="L56" i="19" s="1"/>
  <c r="L58" i="19" s="1"/>
  <c r="L60" i="19" s="1"/>
  <c r="L62" i="19" s="1"/>
  <c r="Q259" i="18" s="1"/>
  <c r="H54" i="19"/>
  <c r="H56" i="19" s="1"/>
  <c r="H58" i="19" s="1"/>
  <c r="H60" i="19" s="1"/>
  <c r="H62" i="19" s="1"/>
  <c r="M259" i="18" s="1"/>
  <c r="P57" i="19"/>
  <c r="AC77" i="19"/>
  <c r="W47" i="19"/>
  <c r="Y47" i="19"/>
  <c r="T62" i="19"/>
  <c r="AE62" i="19"/>
  <c r="V77" i="19"/>
  <c r="AB77" i="19"/>
  <c r="U77" i="19"/>
  <c r="V47" i="19"/>
  <c r="V62" i="19"/>
  <c r="Z77" i="19"/>
  <c r="AF44" i="19"/>
  <c r="Z62" i="19"/>
  <c r="P46" i="19"/>
  <c r="P61" i="19"/>
  <c r="P42" i="19"/>
  <c r="P38" i="19"/>
  <c r="M39" i="19"/>
  <c r="M41" i="19" s="1"/>
  <c r="M43" i="19" s="1"/>
  <c r="M45" i="19" s="1"/>
  <c r="M47" i="19" s="1"/>
  <c r="R258" i="18" s="1"/>
  <c r="P40" i="19"/>
  <c r="W62" i="19"/>
  <c r="W77" i="19"/>
  <c r="AD77" i="19"/>
  <c r="P70" i="19"/>
  <c r="AA62" i="19"/>
  <c r="AF45" i="19"/>
  <c r="AE47" i="19"/>
  <c r="AA77" i="19"/>
  <c r="N39" i="19"/>
  <c r="N41" i="19" s="1"/>
  <c r="N43" i="19" s="1"/>
  <c r="N45" i="19" s="1"/>
  <c r="N47" i="19" s="1"/>
  <c r="S258" i="18" s="1"/>
  <c r="P72" i="19"/>
  <c r="AF75" i="19"/>
  <c r="AA47" i="19"/>
  <c r="N54" i="19"/>
  <c r="N56" i="19" s="1"/>
  <c r="N58" i="19" s="1"/>
  <c r="N60" i="19" s="1"/>
  <c r="N62" i="19" s="1"/>
  <c r="S259" i="18" s="1"/>
  <c r="U62" i="19"/>
  <c r="AF74" i="19"/>
  <c r="AD47" i="19"/>
  <c r="AB47" i="19"/>
  <c r="G54" i="19"/>
  <c r="G56" i="19" s="1"/>
  <c r="G58" i="19" s="1"/>
  <c r="G60" i="19" s="1"/>
  <c r="G62" i="19" s="1"/>
  <c r="L259" i="18" s="1"/>
  <c r="P44" i="19"/>
  <c r="P74" i="19"/>
  <c r="AC47" i="19"/>
  <c r="AC62" i="19"/>
  <c r="P55" i="19"/>
  <c r="P52" i="19"/>
  <c r="AF61" i="19"/>
  <c r="P59" i="19"/>
  <c r="AF46" i="19"/>
  <c r="Z47" i="19"/>
  <c r="Y62" i="19"/>
  <c r="L39" i="19"/>
  <c r="L41" i="19" s="1"/>
  <c r="L43" i="19" s="1"/>
  <c r="L45" i="19" s="1"/>
  <c r="L47" i="19" s="1"/>
  <c r="Q258" i="18" s="1"/>
  <c r="J54" i="19"/>
  <c r="J56" i="19" s="1"/>
  <c r="J58" i="19" s="1"/>
  <c r="J60" i="19" s="1"/>
  <c r="J62" i="19" s="1"/>
  <c r="O259" i="18" s="1"/>
  <c r="G39" i="19"/>
  <c r="G41" i="19" s="1"/>
  <c r="G43" i="19" s="1"/>
  <c r="G45" i="19" s="1"/>
  <c r="G47" i="19" s="1"/>
  <c r="L258" i="18" s="1"/>
  <c r="I69" i="19"/>
  <c r="I71" i="19" s="1"/>
  <c r="I73" i="19" s="1"/>
  <c r="I75" i="19" s="1"/>
  <c r="I77" i="19" s="1"/>
  <c r="N260" i="18" s="1"/>
  <c r="H69" i="19"/>
  <c r="H71" i="19" s="1"/>
  <c r="H73" i="19" s="1"/>
  <c r="H75" i="19" s="1"/>
  <c r="H77" i="19" s="1"/>
  <c r="M260" i="18" s="1"/>
  <c r="P53" i="19"/>
  <c r="I39" i="19"/>
  <c r="I41" i="19" s="1"/>
  <c r="I43" i="19" s="1"/>
  <c r="I45" i="19" s="1"/>
  <c r="I47" i="19" s="1"/>
  <c r="N258" i="18" s="1"/>
  <c r="I54" i="19"/>
  <c r="I56" i="19" s="1"/>
  <c r="I58" i="19" s="1"/>
  <c r="I60" i="19" s="1"/>
  <c r="I62" i="19" s="1"/>
  <c r="N259" i="18" s="1"/>
  <c r="O39" i="19"/>
  <c r="O41" i="19" s="1"/>
  <c r="O43" i="19" s="1"/>
  <c r="O45" i="19" s="1"/>
  <c r="O47" i="19" s="1"/>
  <c r="T258" i="18" s="1"/>
  <c r="AF76" i="19"/>
  <c r="O54" i="19"/>
  <c r="O56" i="19" s="1"/>
  <c r="O58" i="19" s="1"/>
  <c r="O60" i="19" s="1"/>
  <c r="O62" i="19" s="1"/>
  <c r="T259" i="18" s="1"/>
  <c r="AB62" i="19"/>
  <c r="X47" i="19"/>
  <c r="D39" i="19"/>
  <c r="D41" i="19" s="1"/>
  <c r="D43" i="19" s="1"/>
  <c r="D45" i="19" s="1"/>
  <c r="D47" i="19" s="1"/>
  <c r="I258" i="18" s="1"/>
  <c r="P76" i="19"/>
  <c r="P68" i="19"/>
  <c r="AD62" i="19"/>
  <c r="P37" i="19"/>
  <c r="AF59" i="19"/>
  <c r="E54" i="19"/>
  <c r="E56" i="19" s="1"/>
  <c r="E58" i="19" s="1"/>
  <c r="E60" i="19" s="1"/>
  <c r="E62" i="19" s="1"/>
  <c r="J259" i="18" s="1"/>
  <c r="P67" i="19"/>
  <c r="T77" i="19"/>
  <c r="AF60" i="19"/>
  <c r="K127" i="9"/>
  <c r="K128" i="9" s="1"/>
  <c r="K130" i="9" s="1"/>
  <c r="L69" i="13"/>
  <c r="K75" i="13"/>
  <c r="K77" i="13" s="1"/>
  <c r="K80" i="13" s="1"/>
  <c r="J77" i="13"/>
  <c r="J79" i="13" s="1"/>
  <c r="L140" i="9"/>
  <c r="L141" i="9" s="1"/>
  <c r="L146" i="9" s="1"/>
  <c r="M59" i="13"/>
  <c r="L229" i="9"/>
  <c r="AR133" i="13"/>
  <c r="AQ133" i="13"/>
  <c r="AQ130" i="13"/>
  <c r="L69" i="9"/>
  <c r="L70" i="9" s="1"/>
  <c r="L71" i="13"/>
  <c r="L230" i="9" s="1"/>
  <c r="V122" i="11"/>
  <c r="V163" i="11" s="1"/>
  <c r="V164" i="11" s="1"/>
  <c r="V222" i="11" s="1"/>
  <c r="V223" i="9" s="1"/>
  <c r="W162" i="11"/>
  <c r="Z162" i="11"/>
  <c r="V162" i="11"/>
  <c r="Z122" i="11"/>
  <c r="Z163" i="11" s="1"/>
  <c r="W122" i="11"/>
  <c r="W163" i="11" s="1"/>
  <c r="Y162" i="11"/>
  <c r="AB122" i="11"/>
  <c r="AB163" i="11" s="1"/>
  <c r="AB164" i="11" s="1"/>
  <c r="AB222" i="11" s="1"/>
  <c r="AB223" i="9" s="1"/>
  <c r="Y122" i="11"/>
  <c r="Y163" i="11" s="1"/>
  <c r="I100" i="18"/>
  <c r="I101" i="18" s="1"/>
  <c r="H176" i="10" s="1"/>
  <c r="M176" i="10" s="1"/>
  <c r="M181" i="10" s="1"/>
  <c r="AQ122" i="11"/>
  <c r="AQ163" i="11" s="1"/>
  <c r="I65" i="18"/>
  <c r="I66" i="18" s="1"/>
  <c r="H101" i="10" s="1"/>
  <c r="I97" i="18"/>
  <c r="I98" i="18" s="1"/>
  <c r="H175" i="10" s="1"/>
  <c r="M164" i="11"/>
  <c r="M222" i="11" s="1"/>
  <c r="M223" i="9" s="1"/>
  <c r="AO162" i="11"/>
  <c r="AM56" i="14"/>
  <c r="Q55" i="14"/>
  <c r="R64" i="14"/>
  <c r="S64" i="14" s="1"/>
  <c r="AL65" i="14"/>
  <c r="Y63" i="14"/>
  <c r="L46" i="13"/>
  <c r="L126" i="9" s="1"/>
  <c r="T164" i="11"/>
  <c r="T222" i="11" s="1"/>
  <c r="T223" i="9" s="1"/>
  <c r="J73" i="16"/>
  <c r="J75" i="16" s="1"/>
  <c r="J76" i="16" s="1"/>
  <c r="J77" i="16" s="1"/>
  <c r="J157" i="9"/>
  <c r="J109" i="13" s="1"/>
  <c r="J123" i="13" s="1"/>
  <c r="N172" i="12"/>
  <c r="N193" i="12"/>
  <c r="AQ162" i="11"/>
  <c r="AK162" i="11"/>
  <c r="O162" i="11"/>
  <c r="R162" i="11" s="1"/>
  <c r="U162" i="11" s="1"/>
  <c r="AE130" i="13"/>
  <c r="AE133" i="13"/>
  <c r="AP130" i="13"/>
  <c r="AA130" i="13"/>
  <c r="I72" i="18"/>
  <c r="I73" i="18" s="1"/>
  <c r="H140" i="10" s="1"/>
  <c r="I75" i="18"/>
  <c r="I76" i="18" s="1"/>
  <c r="H141" i="10" s="1"/>
  <c r="I62" i="18"/>
  <c r="I63" i="18" s="1"/>
  <c r="H100" i="10" s="1"/>
  <c r="I59" i="18"/>
  <c r="I60" i="18" s="1"/>
  <c r="H99" i="10" s="1"/>
  <c r="I43" i="18"/>
  <c r="I44" i="18" s="1"/>
  <c r="H65" i="10" s="1"/>
  <c r="I49" i="18"/>
  <c r="I50" i="18" s="1"/>
  <c r="H68" i="10" s="1"/>
  <c r="I32" i="18"/>
  <c r="AL130" i="13"/>
  <c r="AL133" i="13"/>
  <c r="Z130" i="13"/>
  <c r="Z133" i="13"/>
  <c r="AK130" i="13"/>
  <c r="AK133" i="13"/>
  <c r="AJ130" i="13"/>
  <c r="AJ133" i="13"/>
  <c r="AC130" i="13"/>
  <c r="AH122" i="11"/>
  <c r="AH163" i="11" s="1"/>
  <c r="AN122" i="11"/>
  <c r="AN163" i="11" s="1"/>
  <c r="W130" i="13"/>
  <c r="W133" i="13"/>
  <c r="AO130" i="13"/>
  <c r="AO133" i="13"/>
  <c r="AI122" i="11"/>
  <c r="AI163" i="11" s="1"/>
  <c r="K130" i="13"/>
  <c r="K133" i="13"/>
  <c r="AG133" i="13"/>
  <c r="AG130" i="13"/>
  <c r="N164" i="11"/>
  <c r="N222" i="11" s="1"/>
  <c r="N223" i="9" s="1"/>
  <c r="AL162" i="11"/>
  <c r="Y130" i="13"/>
  <c r="Y133" i="13"/>
  <c r="AB130" i="13"/>
  <c r="AB133" i="13"/>
  <c r="V130" i="13"/>
  <c r="V133" i="13"/>
  <c r="I46" i="18"/>
  <c r="I47" i="18" s="1"/>
  <c r="H67" i="10" s="1"/>
  <c r="AE122" i="11"/>
  <c r="AE163" i="11" s="1"/>
  <c r="AF122" i="11"/>
  <c r="AF163" i="11" s="1"/>
  <c r="AK122" i="11"/>
  <c r="AK163" i="11" s="1"/>
  <c r="AL122" i="11"/>
  <c r="AL163" i="11" s="1"/>
  <c r="AR122" i="11"/>
  <c r="AR163" i="11" s="1"/>
  <c r="AN162" i="11"/>
  <c r="AF162" i="11"/>
  <c r="AC122" i="11"/>
  <c r="AC163" i="11" s="1"/>
  <c r="AH162" i="11"/>
  <c r="AR162" i="11"/>
  <c r="AE162" i="11"/>
  <c r="AC162" i="11"/>
  <c r="AO122" i="11"/>
  <c r="AO163" i="11" s="1"/>
  <c r="AI162" i="11"/>
  <c r="Y367" i="11"/>
  <c r="W348" i="11"/>
  <c r="V348" i="11"/>
  <c r="S348" i="11"/>
  <c r="S368" i="11" s="1"/>
  <c r="Q348" i="11"/>
  <c r="Q368" i="11" s="1"/>
  <c r="I87" i="18"/>
  <c r="I88" i="18" s="1"/>
  <c r="H145" i="10" s="1"/>
  <c r="I84" i="18"/>
  <c r="I85" i="18" s="1"/>
  <c r="H144" i="10" s="1"/>
  <c r="I81" i="18"/>
  <c r="I82" i="18" s="1"/>
  <c r="H143" i="10" s="1"/>
  <c r="AF367" i="11"/>
  <c r="AH348" i="11"/>
  <c r="AC348" i="11"/>
  <c r="T367" i="11"/>
  <c r="AI367" i="11"/>
  <c r="AI348" i="11"/>
  <c r="V367" i="11"/>
  <c r="W367" i="11"/>
  <c r="AN348" i="11"/>
  <c r="Z367" i="11"/>
  <c r="AH367" i="11"/>
  <c r="AR367" i="11"/>
  <c r="T348" i="11"/>
  <c r="AQ367" i="11"/>
  <c r="AB367" i="11"/>
  <c r="AC367" i="11"/>
  <c r="Q367" i="11"/>
  <c r="N367" i="11"/>
  <c r="M367" i="11"/>
  <c r="M348" i="11"/>
  <c r="M368" i="11" s="1"/>
  <c r="K348" i="11"/>
  <c r="K368" i="11" s="1"/>
  <c r="N348" i="11"/>
  <c r="N368" i="11" s="1"/>
  <c r="K367" i="11"/>
  <c r="J348" i="11"/>
  <c r="J368" i="11" s="1"/>
  <c r="J369" i="11" s="1"/>
  <c r="J379" i="11" s="1"/>
  <c r="J235" i="9" s="1"/>
  <c r="AR348" i="11"/>
  <c r="Z348" i="11"/>
  <c r="AO348" i="11"/>
  <c r="M146" i="11"/>
  <c r="M147" i="11" s="1"/>
  <c r="M133" i="11"/>
  <c r="M134" i="11" s="1"/>
  <c r="M128" i="11"/>
  <c r="N127" i="11" s="1"/>
  <c r="N128" i="11" s="1"/>
  <c r="AK348" i="11"/>
  <c r="AL367" i="11"/>
  <c r="AQ348" i="11"/>
  <c r="AL348" i="11"/>
  <c r="Y348" i="11"/>
  <c r="AK367" i="11"/>
  <c r="P367" i="11"/>
  <c r="P348" i="11"/>
  <c r="P368" i="11" s="1"/>
  <c r="AE348" i="11"/>
  <c r="AN367" i="11"/>
  <c r="AB348" i="11"/>
  <c r="AF348" i="11"/>
  <c r="AO367" i="11"/>
  <c r="AE367" i="11"/>
  <c r="S367" i="11"/>
  <c r="J54" i="13"/>
  <c r="J55" i="13" s="1"/>
  <c r="S164" i="11"/>
  <c r="S222" i="11" s="1"/>
  <c r="S223" i="9" s="1"/>
  <c r="P148" i="15"/>
  <c r="P139" i="15"/>
  <c r="Q138" i="15"/>
  <c r="P71" i="15"/>
  <c r="P72" i="15" s="1"/>
  <c r="O74" i="15"/>
  <c r="O75" i="15" s="1"/>
  <c r="O81" i="15" s="1"/>
  <c r="O246" i="9" s="1"/>
  <c r="O247" i="9" s="1"/>
  <c r="O103" i="9"/>
  <c r="O104" i="9" s="1"/>
  <c r="O89" i="15"/>
  <c r="O91" i="15" s="1"/>
  <c r="O92" i="15" s="1"/>
  <c r="O93" i="15" s="1"/>
  <c r="O143" i="9"/>
  <c r="O144" i="9" s="1"/>
  <c r="P131" i="15"/>
  <c r="P132" i="15" s="1"/>
  <c r="O149" i="15"/>
  <c r="O151" i="15" s="1"/>
  <c r="O152" i="15" s="1"/>
  <c r="O153" i="15" s="1"/>
  <c r="O134" i="15"/>
  <c r="O135" i="15" s="1"/>
  <c r="O141" i="15" s="1"/>
  <c r="O265" i="9" s="1"/>
  <c r="N161" i="15"/>
  <c r="N162" i="15" s="1"/>
  <c r="M179" i="15"/>
  <c r="M181" i="15" s="1"/>
  <c r="M182" i="15" s="1"/>
  <c r="M183" i="15" s="1"/>
  <c r="M164" i="15"/>
  <c r="M165" i="15" s="1"/>
  <c r="M171" i="15" s="1"/>
  <c r="M266" i="9" s="1"/>
  <c r="M267" i="9" s="1"/>
  <c r="M282" i="9" s="1"/>
  <c r="M154" i="9"/>
  <c r="M155" i="9" s="1"/>
  <c r="O108" i="15"/>
  <c r="N109" i="15"/>
  <c r="N118" i="15"/>
  <c r="N169" i="15"/>
  <c r="O168" i="15"/>
  <c r="N178" i="15"/>
  <c r="P79" i="15"/>
  <c r="Q78" i="15"/>
  <c r="P88" i="15"/>
  <c r="M119" i="15"/>
  <c r="M121" i="15" s="1"/>
  <c r="M122" i="15" s="1"/>
  <c r="M123" i="15" s="1"/>
  <c r="M104" i="15"/>
  <c r="M105" i="15" s="1"/>
  <c r="M111" i="15" s="1"/>
  <c r="M215" i="9" s="1"/>
  <c r="M216" i="9" s="1"/>
  <c r="N101" i="15"/>
  <c r="N102" i="15" s="1"/>
  <c r="M134" i="9"/>
  <c r="M135" i="9" s="1"/>
  <c r="K50" i="13"/>
  <c r="K49" i="13"/>
  <c r="N62" i="15"/>
  <c r="N63" i="15" s="1"/>
  <c r="P164" i="11"/>
  <c r="P222" i="11" s="1"/>
  <c r="P223" i="9" s="1"/>
  <c r="Q164" i="11"/>
  <c r="Q222" i="11" s="1"/>
  <c r="Q223" i="9" s="1"/>
  <c r="M44" i="13"/>
  <c r="M68" i="9" s="1"/>
  <c r="M37" i="13"/>
  <c r="M139" i="9" s="1"/>
  <c r="O44" i="15"/>
  <c r="O45" i="15" s="1"/>
  <c r="O51" i="15" s="1"/>
  <c r="O237" i="9" s="1"/>
  <c r="O238" i="9" s="1"/>
  <c r="O59" i="15"/>
  <c r="O61" i="15" s="1"/>
  <c r="P41" i="15"/>
  <c r="P42" i="15" s="1"/>
  <c r="O94" i="9"/>
  <c r="O95" i="9" s="1"/>
  <c r="Q48" i="15"/>
  <c r="P49" i="15"/>
  <c r="P58" i="15"/>
  <c r="N164" i="12"/>
  <c r="M156" i="13"/>
  <c r="M88" i="13"/>
  <c r="S322" i="11"/>
  <c r="P96" i="12"/>
  <c r="P97" i="12" s="1"/>
  <c r="N258" i="12"/>
  <c r="N250" i="12"/>
  <c r="H131" i="18"/>
  <c r="B147" i="18" s="1"/>
  <c r="I107" i="18"/>
  <c r="I108" i="18" s="1"/>
  <c r="H26" i="14" s="1"/>
  <c r="I110" i="18"/>
  <c r="I111" i="18" s="1"/>
  <c r="H27" i="14" s="1"/>
  <c r="I90" i="18"/>
  <c r="I91" i="18" s="1"/>
  <c r="H147" i="10" s="1"/>
  <c r="I52" i="18"/>
  <c r="I53" i="18" s="1"/>
  <c r="H69" i="10" s="1"/>
  <c r="B149" i="18"/>
  <c r="B181" i="18"/>
  <c r="B233" i="18"/>
  <c r="B212" i="18"/>
  <c r="B198" i="18"/>
  <c r="B240" i="18"/>
  <c r="B220" i="18"/>
  <c r="B213" i="18"/>
  <c r="B241" i="18"/>
  <c r="B183" i="18"/>
  <c r="B155" i="18"/>
  <c r="B234" i="18"/>
  <c r="B176" i="18"/>
  <c r="B206" i="18"/>
  <c r="B150" i="18"/>
  <c r="B253" i="18"/>
  <c r="B169" i="18"/>
  <c r="B248" i="18"/>
  <c r="B64" i="19"/>
  <c r="B225" i="18"/>
  <c r="B199" i="18"/>
  <c r="B143" i="18"/>
  <c r="B190" i="18"/>
  <c r="B260" i="18" s="1"/>
  <c r="B162" i="18"/>
  <c r="B148" i="18"/>
  <c r="B168" i="18"/>
  <c r="B189" i="18"/>
  <c r="B259" i="18" s="1"/>
  <c r="B161" i="18"/>
  <c r="B205" i="18"/>
  <c r="B154" i="18"/>
  <c r="B175" i="18"/>
  <c r="B224" i="18"/>
  <c r="B142" i="18"/>
  <c r="B34" i="19"/>
  <c r="B252" i="18"/>
  <c r="B182" i="18"/>
  <c r="Q123" i="18"/>
  <c r="B219" i="18"/>
  <c r="N123" i="18"/>
  <c r="B247" i="18"/>
  <c r="B197" i="18"/>
  <c r="B188" i="18"/>
  <c r="B258" i="18" s="1"/>
  <c r="B211" i="18"/>
  <c r="B160" i="18"/>
  <c r="B232" i="18"/>
  <c r="B153" i="18"/>
  <c r="B246" i="18"/>
  <c r="B239" i="18"/>
  <c r="B204" i="18"/>
  <c r="B174" i="18"/>
  <c r="B223" i="18"/>
  <c r="B141" i="18"/>
  <c r="B251" i="18"/>
  <c r="B167" i="18"/>
  <c r="T123" i="18"/>
  <c r="J123" i="18"/>
  <c r="O123" i="18"/>
  <c r="L123" i="18"/>
  <c r="P123" i="18"/>
  <c r="K123" i="18"/>
  <c r="I18" i="18"/>
  <c r="J6" i="18"/>
  <c r="K6" i="18"/>
  <c r="L6" i="18"/>
  <c r="B220" i="17"/>
  <c r="S86" i="17" s="1"/>
  <c r="B219" i="17"/>
  <c r="S85" i="17" s="1"/>
  <c r="B218" i="17"/>
  <c r="S84" i="17" s="1"/>
  <c r="B217" i="17"/>
  <c r="S83" i="17" s="1"/>
  <c r="B216" i="17"/>
  <c r="S82" i="17" s="1"/>
  <c r="B215" i="17"/>
  <c r="S81" i="17" s="1"/>
  <c r="B214" i="17"/>
  <c r="S80" i="17" s="1"/>
  <c r="B213" i="17"/>
  <c r="S79" i="17" s="1"/>
  <c r="B212" i="17"/>
  <c r="S78" i="17" s="1"/>
  <c r="B211" i="17"/>
  <c r="S77" i="17" s="1"/>
  <c r="B210" i="17"/>
  <c r="S76" i="17" s="1"/>
  <c r="B209" i="17"/>
  <c r="S75" i="17" s="1"/>
  <c r="B208" i="17"/>
  <c r="S74" i="17" s="1"/>
  <c r="B207" i="17"/>
  <c r="S73" i="17" s="1"/>
  <c r="B206" i="17"/>
  <c r="S72" i="17" s="1"/>
  <c r="B205" i="17"/>
  <c r="S71" i="17" s="1"/>
  <c r="B204" i="17"/>
  <c r="S70" i="17" s="1"/>
  <c r="B203" i="17"/>
  <c r="S69" i="17" s="1"/>
  <c r="B202" i="17"/>
  <c r="S68" i="17" s="1"/>
  <c r="B201" i="17"/>
  <c r="S67" i="17" s="1"/>
  <c r="B200" i="17"/>
  <c r="S66" i="17" s="1"/>
  <c r="B199" i="17"/>
  <c r="S65" i="17" s="1"/>
  <c r="B164" i="17"/>
  <c r="S23" i="17"/>
  <c r="B143" i="17"/>
  <c r="B101" i="17"/>
  <c r="E92" i="17"/>
  <c r="N97" i="17" s="1"/>
  <c r="AD87" i="17"/>
  <c r="S87" i="17"/>
  <c r="B221" i="17" s="1"/>
  <c r="AD86" i="17"/>
  <c r="AD85" i="17"/>
  <c r="AD84" i="17"/>
  <c r="S64" i="17"/>
  <c r="B198" i="17" s="1"/>
  <c r="B59" i="17"/>
  <c r="B30" i="17"/>
  <c r="S18" i="17"/>
  <c r="S8" i="17"/>
  <c r="B8" i="17"/>
  <c r="I26" i="18" l="1"/>
  <c r="K50" i="2" s="1"/>
  <c r="M50" i="2" s="1"/>
  <c r="W164" i="11"/>
  <c r="W222" i="11" s="1"/>
  <c r="W223" i="9" s="1"/>
  <c r="L22" i="10"/>
  <c r="L61" i="10" s="1"/>
  <c r="L91" i="10" s="1"/>
  <c r="L100" i="10" s="1"/>
  <c r="L106" i="10" s="1"/>
  <c r="K30" i="10"/>
  <c r="N146" i="11"/>
  <c r="N147" i="11" s="1"/>
  <c r="Z164" i="11"/>
  <c r="Z222" i="11" s="1"/>
  <c r="Z223" i="9" s="1"/>
  <c r="M40" i="12"/>
  <c r="M41" i="12" s="1"/>
  <c r="N34" i="12"/>
  <c r="I38" i="18"/>
  <c r="H41" i="10" s="1"/>
  <c r="I33" i="18"/>
  <c r="I34" i="18"/>
  <c r="H37" i="10" s="1"/>
  <c r="J37" i="10" s="1"/>
  <c r="I35" i="18"/>
  <c r="H38" i="10" s="1"/>
  <c r="I36" i="18"/>
  <c r="H39" i="10" s="1"/>
  <c r="J39" i="10" s="1"/>
  <c r="I37" i="18"/>
  <c r="H40" i="10" s="1"/>
  <c r="H16" i="18"/>
  <c r="C4" i="25"/>
  <c r="H76" i="25"/>
  <c r="J24" i="10"/>
  <c r="P39" i="19"/>
  <c r="P41" i="19" s="1"/>
  <c r="P43" i="19" s="1"/>
  <c r="P45" i="19" s="1"/>
  <c r="P47" i="19" s="1"/>
  <c r="L261" i="18"/>
  <c r="K261" i="18"/>
  <c r="O261" i="18"/>
  <c r="P69" i="19"/>
  <c r="P71" i="19" s="1"/>
  <c r="P73" i="19" s="1"/>
  <c r="P75" i="19" s="1"/>
  <c r="P77" i="19" s="1"/>
  <c r="AF47" i="19"/>
  <c r="AF77" i="19"/>
  <c r="M261" i="18"/>
  <c r="S261" i="18"/>
  <c r="P54" i="19"/>
  <c r="P56" i="19" s="1"/>
  <c r="P58" i="19" s="1"/>
  <c r="P60" i="19" s="1"/>
  <c r="P62" i="19" s="1"/>
  <c r="N261" i="18"/>
  <c r="R261" i="18"/>
  <c r="T261" i="18"/>
  <c r="I261" i="18"/>
  <c r="P261" i="18"/>
  <c r="J261" i="18"/>
  <c r="Q261" i="18"/>
  <c r="J176" i="10"/>
  <c r="J181" i="10" s="1"/>
  <c r="J61" i="11" s="1"/>
  <c r="J183" i="11" s="1"/>
  <c r="J28" i="12" s="1"/>
  <c r="AN176" i="10"/>
  <c r="AN181" i="10" s="1"/>
  <c r="AN61" i="11" s="1"/>
  <c r="AN183" i="11" s="1"/>
  <c r="AN28" i="12" s="1"/>
  <c r="AF62" i="19"/>
  <c r="J80" i="13"/>
  <c r="J81" i="13" s="1"/>
  <c r="K79" i="13"/>
  <c r="K81" i="13" s="1"/>
  <c r="Y164" i="11"/>
  <c r="Y222" i="11" s="1"/>
  <c r="Y223" i="9" s="1"/>
  <c r="L72" i="13"/>
  <c r="L74" i="13" s="1"/>
  <c r="L75" i="13" s="1"/>
  <c r="M43" i="13"/>
  <c r="L48" i="13"/>
  <c r="L49" i="13" s="1"/>
  <c r="L231" i="9"/>
  <c r="L233" i="9" s="1"/>
  <c r="M70" i="13"/>
  <c r="M63" i="13"/>
  <c r="X176" i="10"/>
  <c r="X181" i="10" s="1"/>
  <c r="X61" i="11" s="1"/>
  <c r="X183" i="11" s="1"/>
  <c r="X28" i="12" s="1"/>
  <c r="O176" i="10"/>
  <c r="O181" i="10" s="1"/>
  <c r="O61" i="11" s="1"/>
  <c r="O183" i="11" s="1"/>
  <c r="O28" i="12" s="1"/>
  <c r="AQ164" i="11"/>
  <c r="AQ222" i="11" s="1"/>
  <c r="AQ223" i="9" s="1"/>
  <c r="N176" i="10"/>
  <c r="N181" i="10" s="1"/>
  <c r="N37" i="9" s="1"/>
  <c r="AA176" i="10"/>
  <c r="AA181" i="10" s="1"/>
  <c r="AA61" i="11" s="1"/>
  <c r="AA183" i="11" s="1"/>
  <c r="AA28" i="12" s="1"/>
  <c r="U176" i="10"/>
  <c r="U181" i="10" s="1"/>
  <c r="U37" i="9" s="1"/>
  <c r="K176" i="10"/>
  <c r="K181" i="10" s="1"/>
  <c r="K37" i="9" s="1"/>
  <c r="Y176" i="10"/>
  <c r="Y181" i="10" s="1"/>
  <c r="Y37" i="9" s="1"/>
  <c r="T176" i="10"/>
  <c r="T181" i="10" s="1"/>
  <c r="T37" i="9" s="1"/>
  <c r="P176" i="10"/>
  <c r="P181" i="10" s="1"/>
  <c r="P37" i="9" s="1"/>
  <c r="AP176" i="10"/>
  <c r="AP181" i="10" s="1"/>
  <c r="AP37" i="9" s="1"/>
  <c r="AR176" i="10"/>
  <c r="AR181" i="10" s="1"/>
  <c r="AR37" i="9" s="1"/>
  <c r="I95" i="18"/>
  <c r="K55" i="2" s="1"/>
  <c r="M55" i="2" s="1"/>
  <c r="AO176" i="10"/>
  <c r="AO181" i="10" s="1"/>
  <c r="AO37" i="9" s="1"/>
  <c r="AD176" i="10"/>
  <c r="AD181" i="10" s="1"/>
  <c r="AD61" i="11" s="1"/>
  <c r="AD183" i="11" s="1"/>
  <c r="AD28" i="12" s="1"/>
  <c r="AG176" i="10"/>
  <c r="AG181" i="10" s="1"/>
  <c r="AG61" i="11" s="1"/>
  <c r="AG183" i="11" s="1"/>
  <c r="AG28" i="12" s="1"/>
  <c r="V176" i="10"/>
  <c r="V181" i="10" s="1"/>
  <c r="V61" i="11" s="1"/>
  <c r="V183" i="11" s="1"/>
  <c r="V28" i="12" s="1"/>
  <c r="AH176" i="10"/>
  <c r="AH181" i="10" s="1"/>
  <c r="AH61" i="11" s="1"/>
  <c r="AH183" i="11" s="1"/>
  <c r="AH28" i="12" s="1"/>
  <c r="Q176" i="10"/>
  <c r="Q181" i="10" s="1"/>
  <c r="Q37" i="9" s="1"/>
  <c r="AM176" i="10"/>
  <c r="AM181" i="10" s="1"/>
  <c r="AM61" i="11" s="1"/>
  <c r="AM183" i="11" s="1"/>
  <c r="AM28" i="12" s="1"/>
  <c r="AS176" i="10"/>
  <c r="AS181" i="10" s="1"/>
  <c r="AS37" i="9" s="1"/>
  <c r="AQ176" i="10"/>
  <c r="AQ181" i="10" s="1"/>
  <c r="AQ37" i="9" s="1"/>
  <c r="Z176" i="10"/>
  <c r="Z181" i="10" s="1"/>
  <c r="Z61" i="11" s="1"/>
  <c r="Z183" i="11" s="1"/>
  <c r="Z28" i="12" s="1"/>
  <c r="AJ176" i="10"/>
  <c r="AJ181" i="10" s="1"/>
  <c r="AJ61" i="11" s="1"/>
  <c r="AJ183" i="11" s="1"/>
  <c r="AJ28" i="12" s="1"/>
  <c r="AE176" i="10"/>
  <c r="AE181" i="10" s="1"/>
  <c r="AE37" i="9" s="1"/>
  <c r="AK176" i="10"/>
  <c r="AK181" i="10" s="1"/>
  <c r="AK37" i="9" s="1"/>
  <c r="AI176" i="10"/>
  <c r="AI181" i="10" s="1"/>
  <c r="AI61" i="11" s="1"/>
  <c r="AI183" i="11" s="1"/>
  <c r="AI28" i="12" s="1"/>
  <c r="R176" i="10"/>
  <c r="R181" i="10" s="1"/>
  <c r="R37" i="9" s="1"/>
  <c r="L176" i="10"/>
  <c r="L181" i="10" s="1"/>
  <c r="L61" i="11" s="1"/>
  <c r="L183" i="11" s="1"/>
  <c r="L28" i="12" s="1"/>
  <c r="W176" i="10"/>
  <c r="W181" i="10" s="1"/>
  <c r="W61" i="11" s="1"/>
  <c r="W183" i="11" s="1"/>
  <c r="W28" i="12" s="1"/>
  <c r="AC176" i="10"/>
  <c r="AC181" i="10" s="1"/>
  <c r="AC37" i="9" s="1"/>
  <c r="S176" i="10"/>
  <c r="S181" i="10" s="1"/>
  <c r="S37" i="9" s="1"/>
  <c r="AB176" i="10"/>
  <c r="AB181" i="10" s="1"/>
  <c r="AB61" i="11" s="1"/>
  <c r="AB183" i="11" s="1"/>
  <c r="AB28" i="12" s="1"/>
  <c r="AF176" i="10"/>
  <c r="AF181" i="10" s="1"/>
  <c r="AF61" i="11" s="1"/>
  <c r="AF183" i="11" s="1"/>
  <c r="AF28" i="12" s="1"/>
  <c r="AL176" i="10"/>
  <c r="AL181" i="10" s="1"/>
  <c r="AL37" i="9" s="1"/>
  <c r="M61" i="11"/>
  <c r="M183" i="11" s="1"/>
  <c r="M28" i="12" s="1"/>
  <c r="M37" i="9"/>
  <c r="M175" i="10"/>
  <c r="M180" i="10" s="1"/>
  <c r="U175" i="10"/>
  <c r="U180" i="10" s="1"/>
  <c r="AC175" i="10"/>
  <c r="AC180" i="10" s="1"/>
  <c r="AK175" i="10"/>
  <c r="AK180" i="10" s="1"/>
  <c r="AS175" i="10"/>
  <c r="AS180" i="10" s="1"/>
  <c r="N175" i="10"/>
  <c r="N180" i="10" s="1"/>
  <c r="V175" i="10"/>
  <c r="V180" i="10" s="1"/>
  <c r="AD175" i="10"/>
  <c r="AD180" i="10" s="1"/>
  <c r="AL175" i="10"/>
  <c r="AL180" i="10" s="1"/>
  <c r="O175" i="10"/>
  <c r="O180" i="10" s="1"/>
  <c r="W175" i="10"/>
  <c r="W180" i="10" s="1"/>
  <c r="AE175" i="10"/>
  <c r="AE180" i="10" s="1"/>
  <c r="AM175" i="10"/>
  <c r="AM180" i="10" s="1"/>
  <c r="P175" i="10"/>
  <c r="P180" i="10" s="1"/>
  <c r="X175" i="10"/>
  <c r="X180" i="10" s="1"/>
  <c r="AF175" i="10"/>
  <c r="AF180" i="10" s="1"/>
  <c r="AN175" i="10"/>
  <c r="AN180" i="10" s="1"/>
  <c r="Q175" i="10"/>
  <c r="Q180" i="10" s="1"/>
  <c r="Y175" i="10"/>
  <c r="Y180" i="10" s="1"/>
  <c r="AG175" i="10"/>
  <c r="AG180" i="10" s="1"/>
  <c r="AO175" i="10"/>
  <c r="AO180" i="10" s="1"/>
  <c r="J175" i="10"/>
  <c r="J180" i="10" s="1"/>
  <c r="R175" i="10"/>
  <c r="R180" i="10" s="1"/>
  <c r="Z175" i="10"/>
  <c r="Z180" i="10" s="1"/>
  <c r="AH175" i="10"/>
  <c r="AH180" i="10" s="1"/>
  <c r="AP175" i="10"/>
  <c r="AP180" i="10" s="1"/>
  <c r="K175" i="10"/>
  <c r="K180" i="10" s="1"/>
  <c r="S175" i="10"/>
  <c r="S180" i="10" s="1"/>
  <c r="AA175" i="10"/>
  <c r="AA180" i="10" s="1"/>
  <c r="AI175" i="10"/>
  <c r="AI180" i="10" s="1"/>
  <c r="AQ175" i="10"/>
  <c r="AQ180" i="10" s="1"/>
  <c r="L175" i="10"/>
  <c r="L180" i="10" s="1"/>
  <c r="T175" i="10"/>
  <c r="T180" i="10" s="1"/>
  <c r="AB175" i="10"/>
  <c r="AB180" i="10" s="1"/>
  <c r="AJ175" i="10"/>
  <c r="AJ180" i="10" s="1"/>
  <c r="AR175" i="10"/>
  <c r="AR180" i="10" s="1"/>
  <c r="AO164" i="11"/>
  <c r="AO222" i="11" s="1"/>
  <c r="AO223" i="9" s="1"/>
  <c r="N190" i="12"/>
  <c r="N191" i="12" s="1"/>
  <c r="N169" i="12"/>
  <c r="N170" i="12" s="1"/>
  <c r="AK65" i="14"/>
  <c r="R55" i="14"/>
  <c r="AL56" i="14"/>
  <c r="T64" i="14"/>
  <c r="AI65" i="14" s="1"/>
  <c r="AJ65" i="14"/>
  <c r="Z63" i="14"/>
  <c r="AL164" i="11"/>
  <c r="AL222" i="11" s="1"/>
  <c r="AL223" i="9" s="1"/>
  <c r="AH164" i="11"/>
  <c r="AH222" i="11" s="1"/>
  <c r="AH223" i="9" s="1"/>
  <c r="AK164" i="11"/>
  <c r="AK222" i="11" s="1"/>
  <c r="AK223" i="9" s="1"/>
  <c r="AF164" i="11"/>
  <c r="AF222" i="11" s="1"/>
  <c r="AF223" i="9" s="1"/>
  <c r="N194" i="12"/>
  <c r="N173" i="12"/>
  <c r="M141" i="10"/>
  <c r="M152" i="10" s="1"/>
  <c r="U141" i="10"/>
  <c r="U152" i="10" s="1"/>
  <c r="AC141" i="10"/>
  <c r="AC152" i="10" s="1"/>
  <c r="AK141" i="10"/>
  <c r="AK152" i="10" s="1"/>
  <c r="AS141" i="10"/>
  <c r="AS152" i="10" s="1"/>
  <c r="N141" i="10"/>
  <c r="N152" i="10" s="1"/>
  <c r="V141" i="10"/>
  <c r="V152" i="10" s="1"/>
  <c r="AD141" i="10"/>
  <c r="AD152" i="10" s="1"/>
  <c r="AL141" i="10"/>
  <c r="AL152" i="10" s="1"/>
  <c r="O141" i="10"/>
  <c r="O152" i="10" s="1"/>
  <c r="W141" i="10"/>
  <c r="W152" i="10" s="1"/>
  <c r="AE141" i="10"/>
  <c r="AE152" i="10" s="1"/>
  <c r="AM141" i="10"/>
  <c r="AM152" i="10" s="1"/>
  <c r="P141" i="10"/>
  <c r="P152" i="10" s="1"/>
  <c r="X141" i="10"/>
  <c r="X152" i="10" s="1"/>
  <c r="AF141" i="10"/>
  <c r="AF152" i="10" s="1"/>
  <c r="AN141" i="10"/>
  <c r="AN152" i="10" s="1"/>
  <c r="L141" i="10"/>
  <c r="L152" i="10" s="1"/>
  <c r="AR141" i="10"/>
  <c r="AR152" i="10" s="1"/>
  <c r="Q141" i="10"/>
  <c r="Q152" i="10" s="1"/>
  <c r="Y141" i="10"/>
  <c r="Y152" i="10" s="1"/>
  <c r="AG141" i="10"/>
  <c r="AG152" i="10" s="1"/>
  <c r="AO141" i="10"/>
  <c r="AO152" i="10" s="1"/>
  <c r="J141" i="10"/>
  <c r="J152" i="10" s="1"/>
  <c r="R141" i="10"/>
  <c r="R152" i="10" s="1"/>
  <c r="Z141" i="10"/>
  <c r="Z152" i="10" s="1"/>
  <c r="AH141" i="10"/>
  <c r="AH152" i="10" s="1"/>
  <c r="AP141" i="10"/>
  <c r="AP152" i="10" s="1"/>
  <c r="AB141" i="10"/>
  <c r="AB152" i="10" s="1"/>
  <c r="K141" i="10"/>
  <c r="K152" i="10" s="1"/>
  <c r="S141" i="10"/>
  <c r="S152" i="10" s="1"/>
  <c r="AA141" i="10"/>
  <c r="AA152" i="10" s="1"/>
  <c r="AI141" i="10"/>
  <c r="AI152" i="10" s="1"/>
  <c r="AQ141" i="10"/>
  <c r="AQ152" i="10" s="1"/>
  <c r="T141" i="10"/>
  <c r="T152" i="10" s="1"/>
  <c r="AJ141" i="10"/>
  <c r="AJ152" i="10" s="1"/>
  <c r="J100" i="10"/>
  <c r="J106" i="10" s="1"/>
  <c r="K100" i="10"/>
  <c r="K106" i="10" s="1"/>
  <c r="B173" i="18"/>
  <c r="AR164" i="11"/>
  <c r="AR222" i="11" s="1"/>
  <c r="AR223" i="9" s="1"/>
  <c r="AN164" i="11"/>
  <c r="AN222" i="11" s="1"/>
  <c r="AN223" i="9" s="1"/>
  <c r="AI164" i="11"/>
  <c r="AI222" i="11" s="1"/>
  <c r="AI223" i="9" s="1"/>
  <c r="AE164" i="11"/>
  <c r="AE222" i="11" s="1"/>
  <c r="AE223" i="9" s="1"/>
  <c r="Q369" i="11"/>
  <c r="Q379" i="11" s="1"/>
  <c r="Q235" i="9" s="1"/>
  <c r="B180" i="18"/>
  <c r="B217" i="18"/>
  <c r="B231" i="18"/>
  <c r="B210" i="18"/>
  <c r="B196" i="18"/>
  <c r="B166" i="18"/>
  <c r="B245" i="18"/>
  <c r="AC164" i="11"/>
  <c r="AC222" i="11" s="1"/>
  <c r="AC223" i="9" s="1"/>
  <c r="S369" i="11"/>
  <c r="S379" i="11" s="1"/>
  <c r="S235" i="9" s="1"/>
  <c r="N133" i="11"/>
  <c r="N134" i="11" s="1"/>
  <c r="P369" i="11"/>
  <c r="P379" i="11" s="1"/>
  <c r="P235" i="9" s="1"/>
  <c r="J143" i="10"/>
  <c r="J154" i="10" s="1"/>
  <c r="R143" i="10"/>
  <c r="R154" i="10" s="1"/>
  <c r="Z143" i="10"/>
  <c r="Z154" i="10" s="1"/>
  <c r="AH143" i="10"/>
  <c r="AH154" i="10" s="1"/>
  <c r="AP143" i="10"/>
  <c r="AP154" i="10" s="1"/>
  <c r="K143" i="10"/>
  <c r="K154" i="10" s="1"/>
  <c r="S143" i="10"/>
  <c r="S154" i="10" s="1"/>
  <c r="AA143" i="10"/>
  <c r="AA154" i="10" s="1"/>
  <c r="AI143" i="10"/>
  <c r="AI154" i="10" s="1"/>
  <c r="AQ143" i="10"/>
  <c r="AQ154" i="10" s="1"/>
  <c r="Y143" i="10"/>
  <c r="Y154" i="10" s="1"/>
  <c r="L143" i="10"/>
  <c r="L154" i="10" s="1"/>
  <c r="T143" i="10"/>
  <c r="T154" i="10" s="1"/>
  <c r="AB143" i="10"/>
  <c r="AB154" i="10" s="1"/>
  <c r="AJ143" i="10"/>
  <c r="AJ154" i="10" s="1"/>
  <c r="AR143" i="10"/>
  <c r="AR154" i="10" s="1"/>
  <c r="AG143" i="10"/>
  <c r="AG154" i="10" s="1"/>
  <c r="M143" i="10"/>
  <c r="M154" i="10" s="1"/>
  <c r="U143" i="10"/>
  <c r="U154" i="10" s="1"/>
  <c r="AC143" i="10"/>
  <c r="AC154" i="10" s="1"/>
  <c r="AK143" i="10"/>
  <c r="AK154" i="10" s="1"/>
  <c r="AS143" i="10"/>
  <c r="AS154" i="10" s="1"/>
  <c r="N143" i="10"/>
  <c r="N154" i="10" s="1"/>
  <c r="V143" i="10"/>
  <c r="V154" i="10" s="1"/>
  <c r="AD143" i="10"/>
  <c r="AD154" i="10" s="1"/>
  <c r="AL143" i="10"/>
  <c r="AL154" i="10" s="1"/>
  <c r="AE143" i="10"/>
  <c r="AE154" i="10" s="1"/>
  <c r="O143" i="10"/>
  <c r="O154" i="10" s="1"/>
  <c r="W143" i="10"/>
  <c r="W154" i="10" s="1"/>
  <c r="AM143" i="10"/>
  <c r="AM154" i="10" s="1"/>
  <c r="Q143" i="10"/>
  <c r="Q154" i="10" s="1"/>
  <c r="AO143" i="10"/>
  <c r="AO154" i="10" s="1"/>
  <c r="P143" i="10"/>
  <c r="P154" i="10" s="1"/>
  <c r="X143" i="10"/>
  <c r="X154" i="10" s="1"/>
  <c r="AF143" i="10"/>
  <c r="AF154" i="10" s="1"/>
  <c r="AN143" i="10"/>
  <c r="AN154" i="10" s="1"/>
  <c r="B187" i="18"/>
  <c r="B203" i="18"/>
  <c r="B140" i="18"/>
  <c r="B238" i="18"/>
  <c r="J144" i="10"/>
  <c r="J155" i="10" s="1"/>
  <c r="R144" i="10"/>
  <c r="R155" i="10" s="1"/>
  <c r="Z144" i="10"/>
  <c r="Z155" i="10" s="1"/>
  <c r="AH144" i="10"/>
  <c r="AH155" i="10" s="1"/>
  <c r="AP144" i="10"/>
  <c r="AP155" i="10" s="1"/>
  <c r="K144" i="10"/>
  <c r="K155" i="10" s="1"/>
  <c r="S144" i="10"/>
  <c r="S155" i="10" s="1"/>
  <c r="AA144" i="10"/>
  <c r="AA155" i="10" s="1"/>
  <c r="AI144" i="10"/>
  <c r="AI155" i="10" s="1"/>
  <c r="AQ144" i="10"/>
  <c r="AQ155" i="10" s="1"/>
  <c r="L144" i="10"/>
  <c r="L155" i="10" s="1"/>
  <c r="T144" i="10"/>
  <c r="T155" i="10" s="1"/>
  <c r="AB144" i="10"/>
  <c r="AB155" i="10" s="1"/>
  <c r="AJ144" i="10"/>
  <c r="AJ155" i="10" s="1"/>
  <c r="AR144" i="10"/>
  <c r="AR155" i="10" s="1"/>
  <c r="M144" i="10"/>
  <c r="M155" i="10" s="1"/>
  <c r="U144" i="10"/>
  <c r="U155" i="10" s="1"/>
  <c r="AC144" i="10"/>
  <c r="AC155" i="10" s="1"/>
  <c r="AK144" i="10"/>
  <c r="AK155" i="10" s="1"/>
  <c r="AS144" i="10"/>
  <c r="AS155" i="10" s="1"/>
  <c r="O144" i="10"/>
  <c r="O155" i="10" s="1"/>
  <c r="W144" i="10"/>
  <c r="W155" i="10" s="1"/>
  <c r="AE144" i="10"/>
  <c r="AE155" i="10" s="1"/>
  <c r="AO144" i="10"/>
  <c r="AO155" i="10" s="1"/>
  <c r="N144" i="10"/>
  <c r="N155" i="10" s="1"/>
  <c r="V144" i="10"/>
  <c r="V155" i="10" s="1"/>
  <c r="AD144" i="10"/>
  <c r="AD155" i="10" s="1"/>
  <c r="AL144" i="10"/>
  <c r="AL155" i="10" s="1"/>
  <c r="AM144" i="10"/>
  <c r="AM155" i="10" s="1"/>
  <c r="Y144" i="10"/>
  <c r="Y155" i="10" s="1"/>
  <c r="P144" i="10"/>
  <c r="P155" i="10" s="1"/>
  <c r="X144" i="10"/>
  <c r="X155" i="10" s="1"/>
  <c r="AF144" i="10"/>
  <c r="AF155" i="10" s="1"/>
  <c r="AN144" i="10"/>
  <c r="AN155" i="10" s="1"/>
  <c r="Q144" i="10"/>
  <c r="Q155" i="10" s="1"/>
  <c r="AG144" i="10"/>
  <c r="AG155" i="10" s="1"/>
  <c r="J145" i="10"/>
  <c r="J156" i="10" s="1"/>
  <c r="B159" i="18"/>
  <c r="L367" i="11"/>
  <c r="O367" i="11" s="1"/>
  <c r="R367" i="11" s="1"/>
  <c r="K369" i="11"/>
  <c r="K379" i="11" s="1"/>
  <c r="K235" i="9" s="1"/>
  <c r="M369" i="11"/>
  <c r="M379" i="11" s="1"/>
  <c r="M235" i="9" s="1"/>
  <c r="N369" i="11"/>
  <c r="N379" i="11" s="1"/>
  <c r="N235" i="9" s="1"/>
  <c r="K51" i="13"/>
  <c r="K53" i="13" s="1"/>
  <c r="P74" i="15"/>
  <c r="P75" i="15" s="1"/>
  <c r="P81" i="15" s="1"/>
  <c r="P246" i="9" s="1"/>
  <c r="P247" i="9" s="1"/>
  <c r="P103" i="9"/>
  <c r="P104" i="9" s="1"/>
  <c r="P89" i="15"/>
  <c r="P91" i="15" s="1"/>
  <c r="P92" i="15" s="1"/>
  <c r="P93" i="15" s="1"/>
  <c r="Q71" i="15"/>
  <c r="Q72" i="15" s="1"/>
  <c r="O109" i="15"/>
  <c r="P108" i="15"/>
  <c r="O118" i="15"/>
  <c r="L26" i="14"/>
  <c r="L31" i="14" s="1"/>
  <c r="T26" i="14"/>
  <c r="T31" i="14" s="1"/>
  <c r="AB26" i="14"/>
  <c r="AB31" i="14" s="1"/>
  <c r="AJ26" i="14"/>
  <c r="AJ31" i="14" s="1"/>
  <c r="AR26" i="14"/>
  <c r="AR31" i="14" s="1"/>
  <c r="M26" i="14"/>
  <c r="M31" i="14" s="1"/>
  <c r="U26" i="14"/>
  <c r="U31" i="14" s="1"/>
  <c r="AC26" i="14"/>
  <c r="AC31" i="14" s="1"/>
  <c r="AK26" i="14"/>
  <c r="AK31" i="14" s="1"/>
  <c r="AS26" i="14"/>
  <c r="AS31" i="14" s="1"/>
  <c r="N26" i="14"/>
  <c r="N31" i="14" s="1"/>
  <c r="V26" i="14"/>
  <c r="V31" i="14" s="1"/>
  <c r="AD26" i="14"/>
  <c r="AD31" i="14" s="1"/>
  <c r="AL26" i="14"/>
  <c r="AL31" i="14" s="1"/>
  <c r="O26" i="14"/>
  <c r="O31" i="14" s="1"/>
  <c r="W26" i="14"/>
  <c r="W31" i="14" s="1"/>
  <c r="AE26" i="14"/>
  <c r="AE31" i="14" s="1"/>
  <c r="AM26" i="14"/>
  <c r="AM31" i="14" s="1"/>
  <c r="P26" i="14"/>
  <c r="P31" i="14" s="1"/>
  <c r="X26" i="14"/>
  <c r="X31" i="14" s="1"/>
  <c r="AF26" i="14"/>
  <c r="AF31" i="14" s="1"/>
  <c r="AN26" i="14"/>
  <c r="AN31" i="14" s="1"/>
  <c r="Q26" i="14"/>
  <c r="Q31" i="14" s="1"/>
  <c r="Y26" i="14"/>
  <c r="Y31" i="14" s="1"/>
  <c r="AG26" i="14"/>
  <c r="AG31" i="14" s="1"/>
  <c r="AO26" i="14"/>
  <c r="AO31" i="14" s="1"/>
  <c r="J26" i="14"/>
  <c r="J31" i="14" s="1"/>
  <c r="R26" i="14"/>
  <c r="R31" i="14" s="1"/>
  <c r="Z26" i="14"/>
  <c r="Z31" i="14" s="1"/>
  <c r="AH26" i="14"/>
  <c r="AH31" i="14" s="1"/>
  <c r="AP26" i="14"/>
  <c r="AP31" i="14" s="1"/>
  <c r="AI26" i="14"/>
  <c r="AI31" i="14" s="1"/>
  <c r="AQ26" i="14"/>
  <c r="AQ31" i="14" s="1"/>
  <c r="S26" i="14"/>
  <c r="S31" i="14" s="1"/>
  <c r="K26" i="14"/>
  <c r="K31" i="14" s="1"/>
  <c r="AA26" i="14"/>
  <c r="AA31" i="14" s="1"/>
  <c r="J69" i="10"/>
  <c r="J77" i="10" s="1"/>
  <c r="K69" i="10"/>
  <c r="K77" i="10" s="1"/>
  <c r="R78" i="15"/>
  <c r="Q88" i="15"/>
  <c r="Q79" i="15"/>
  <c r="P27" i="14"/>
  <c r="P32" i="14" s="1"/>
  <c r="P46" i="14" s="1"/>
  <c r="P62" i="14" s="1"/>
  <c r="P76" i="14" s="1"/>
  <c r="X27" i="14"/>
  <c r="X32" i="14" s="1"/>
  <c r="X46" i="14" s="1"/>
  <c r="X62" i="14" s="1"/>
  <c r="X76" i="14" s="1"/>
  <c r="AF27" i="14"/>
  <c r="AF32" i="14" s="1"/>
  <c r="AF46" i="14" s="1"/>
  <c r="AF62" i="14" s="1"/>
  <c r="AF76" i="14" s="1"/>
  <c r="AN27" i="14"/>
  <c r="AN32" i="14" s="1"/>
  <c r="AN46" i="14" s="1"/>
  <c r="AN62" i="14" s="1"/>
  <c r="AN76" i="14" s="1"/>
  <c r="Q27" i="14"/>
  <c r="Q32" i="14" s="1"/>
  <c r="Q46" i="14" s="1"/>
  <c r="Q62" i="14" s="1"/>
  <c r="Q76" i="14" s="1"/>
  <c r="Y27" i="14"/>
  <c r="Y32" i="14" s="1"/>
  <c r="Y46" i="14" s="1"/>
  <c r="Y62" i="14" s="1"/>
  <c r="Y76" i="14" s="1"/>
  <c r="AG27" i="14"/>
  <c r="AG32" i="14" s="1"/>
  <c r="AG46" i="14" s="1"/>
  <c r="AG62" i="14" s="1"/>
  <c r="AG76" i="14" s="1"/>
  <c r="AO27" i="14"/>
  <c r="AO32" i="14" s="1"/>
  <c r="AO46" i="14" s="1"/>
  <c r="AO62" i="14" s="1"/>
  <c r="AO76" i="14" s="1"/>
  <c r="J27" i="14"/>
  <c r="J32" i="14" s="1"/>
  <c r="J46" i="14" s="1"/>
  <c r="J62" i="14" s="1"/>
  <c r="R27" i="14"/>
  <c r="R32" i="14" s="1"/>
  <c r="R46" i="14" s="1"/>
  <c r="R62" i="14" s="1"/>
  <c r="R76" i="14" s="1"/>
  <c r="Z27" i="14"/>
  <c r="Z32" i="14" s="1"/>
  <c r="Z46" i="14" s="1"/>
  <c r="Z62" i="14" s="1"/>
  <c r="Z76" i="14" s="1"/>
  <c r="AH27" i="14"/>
  <c r="AH32" i="14" s="1"/>
  <c r="AH46" i="14" s="1"/>
  <c r="AH62" i="14" s="1"/>
  <c r="AH76" i="14" s="1"/>
  <c r="AP27" i="14"/>
  <c r="AP32" i="14" s="1"/>
  <c r="AP46" i="14" s="1"/>
  <c r="AP62" i="14" s="1"/>
  <c r="AP76" i="14" s="1"/>
  <c r="K27" i="14"/>
  <c r="K32" i="14" s="1"/>
  <c r="K46" i="14" s="1"/>
  <c r="K62" i="14" s="1"/>
  <c r="K76" i="14" s="1"/>
  <c r="S27" i="14"/>
  <c r="S32" i="14" s="1"/>
  <c r="S46" i="14" s="1"/>
  <c r="S62" i="14" s="1"/>
  <c r="S76" i="14" s="1"/>
  <c r="AA27" i="14"/>
  <c r="AA32" i="14" s="1"/>
  <c r="AA46" i="14" s="1"/>
  <c r="AA62" i="14" s="1"/>
  <c r="AA76" i="14" s="1"/>
  <c r="AI27" i="14"/>
  <c r="AI32" i="14" s="1"/>
  <c r="AI46" i="14" s="1"/>
  <c r="AI62" i="14" s="1"/>
  <c r="AI76" i="14" s="1"/>
  <c r="AQ27" i="14"/>
  <c r="AQ32" i="14" s="1"/>
  <c r="AQ46" i="14" s="1"/>
  <c r="AQ62" i="14" s="1"/>
  <c r="AQ76" i="14" s="1"/>
  <c r="L27" i="14"/>
  <c r="L32" i="14" s="1"/>
  <c r="L46" i="14" s="1"/>
  <c r="L62" i="14" s="1"/>
  <c r="L76" i="14" s="1"/>
  <c r="T27" i="14"/>
  <c r="T32" i="14" s="1"/>
  <c r="T46" i="14" s="1"/>
  <c r="T62" i="14" s="1"/>
  <c r="T76" i="14" s="1"/>
  <c r="AB27" i="14"/>
  <c r="AB32" i="14" s="1"/>
  <c r="AB46" i="14" s="1"/>
  <c r="AB62" i="14" s="1"/>
  <c r="AB76" i="14" s="1"/>
  <c r="AJ27" i="14"/>
  <c r="AJ32" i="14" s="1"/>
  <c r="AJ46" i="14" s="1"/>
  <c r="AJ62" i="14" s="1"/>
  <c r="AJ76" i="14" s="1"/>
  <c r="AR27" i="14"/>
  <c r="AR32" i="14" s="1"/>
  <c r="AR46" i="14" s="1"/>
  <c r="AR62" i="14" s="1"/>
  <c r="AR76" i="14" s="1"/>
  <c r="M27" i="14"/>
  <c r="M32" i="14" s="1"/>
  <c r="M46" i="14" s="1"/>
  <c r="M62" i="14" s="1"/>
  <c r="M76" i="14" s="1"/>
  <c r="U27" i="14"/>
  <c r="U32" i="14" s="1"/>
  <c r="U46" i="14" s="1"/>
  <c r="U62" i="14" s="1"/>
  <c r="U76" i="14" s="1"/>
  <c r="AC27" i="14"/>
  <c r="AC32" i="14" s="1"/>
  <c r="AC46" i="14" s="1"/>
  <c r="AC62" i="14" s="1"/>
  <c r="AC76" i="14" s="1"/>
  <c r="AK27" i="14"/>
  <c r="AK32" i="14" s="1"/>
  <c r="AK46" i="14" s="1"/>
  <c r="AK62" i="14" s="1"/>
  <c r="AK76" i="14" s="1"/>
  <c r="AS27" i="14"/>
  <c r="AS32" i="14" s="1"/>
  <c r="AS46" i="14" s="1"/>
  <c r="AS62" i="14" s="1"/>
  <c r="AS76" i="14" s="1"/>
  <c r="N27" i="14"/>
  <c r="N32" i="14" s="1"/>
  <c r="N46" i="14" s="1"/>
  <c r="N62" i="14" s="1"/>
  <c r="N76" i="14" s="1"/>
  <c r="V27" i="14"/>
  <c r="V32" i="14" s="1"/>
  <c r="V46" i="14" s="1"/>
  <c r="V62" i="14" s="1"/>
  <c r="V76" i="14" s="1"/>
  <c r="AD27" i="14"/>
  <c r="AD32" i="14" s="1"/>
  <c r="AD46" i="14" s="1"/>
  <c r="AD62" i="14" s="1"/>
  <c r="AD76" i="14" s="1"/>
  <c r="AL27" i="14"/>
  <c r="AL32" i="14" s="1"/>
  <c r="AL46" i="14" s="1"/>
  <c r="AL62" i="14" s="1"/>
  <c r="AL76" i="14" s="1"/>
  <c r="O27" i="14"/>
  <c r="O32" i="14" s="1"/>
  <c r="O46" i="14" s="1"/>
  <c r="O62" i="14" s="1"/>
  <c r="O76" i="14" s="1"/>
  <c r="W27" i="14"/>
  <c r="W32" i="14" s="1"/>
  <c r="W46" i="14" s="1"/>
  <c r="W62" i="14" s="1"/>
  <c r="W76" i="14" s="1"/>
  <c r="AE27" i="14"/>
  <c r="AE32" i="14" s="1"/>
  <c r="AE46" i="14" s="1"/>
  <c r="AE62" i="14" s="1"/>
  <c r="AE76" i="14" s="1"/>
  <c r="AM27" i="14"/>
  <c r="AM32" i="14" s="1"/>
  <c r="AM46" i="14" s="1"/>
  <c r="AM62" i="14" s="1"/>
  <c r="AM76" i="14" s="1"/>
  <c r="N104" i="15"/>
  <c r="N105" i="15" s="1"/>
  <c r="N111" i="15" s="1"/>
  <c r="N215" i="9" s="1"/>
  <c r="N216" i="9" s="1"/>
  <c r="N119" i="15"/>
  <c r="N121" i="15" s="1"/>
  <c r="N122" i="15" s="1"/>
  <c r="N123" i="15" s="1"/>
  <c r="O101" i="15"/>
  <c r="O102" i="15" s="1"/>
  <c r="N134" i="9"/>
  <c r="N135" i="9" s="1"/>
  <c r="Q139" i="15"/>
  <c r="R138" i="15"/>
  <c r="Q148" i="15"/>
  <c r="M147" i="10"/>
  <c r="M158" i="10" s="1"/>
  <c r="U147" i="10"/>
  <c r="U158" i="10" s="1"/>
  <c r="AC147" i="10"/>
  <c r="AC158" i="10" s="1"/>
  <c r="AK147" i="10"/>
  <c r="AK158" i="10" s="1"/>
  <c r="AS147" i="10"/>
  <c r="AS158" i="10" s="1"/>
  <c r="P147" i="10"/>
  <c r="P158" i="10" s="1"/>
  <c r="X147" i="10"/>
  <c r="X158" i="10" s="1"/>
  <c r="AF147" i="10"/>
  <c r="AF158" i="10" s="1"/>
  <c r="AN147" i="10"/>
  <c r="AN158" i="10" s="1"/>
  <c r="Q147" i="10"/>
  <c r="Q158" i="10" s="1"/>
  <c r="Y147" i="10"/>
  <c r="Y158" i="10" s="1"/>
  <c r="AG147" i="10"/>
  <c r="AG158" i="10" s="1"/>
  <c r="AO147" i="10"/>
  <c r="AO158" i="10" s="1"/>
  <c r="J147" i="10"/>
  <c r="J158" i="10" s="1"/>
  <c r="R147" i="10"/>
  <c r="R158" i="10" s="1"/>
  <c r="Z147" i="10"/>
  <c r="Z158" i="10" s="1"/>
  <c r="AH147" i="10"/>
  <c r="AH158" i="10" s="1"/>
  <c r="AP147" i="10"/>
  <c r="AP158" i="10" s="1"/>
  <c r="K147" i="10"/>
  <c r="K158" i="10" s="1"/>
  <c r="S147" i="10"/>
  <c r="S158" i="10" s="1"/>
  <c r="AA147" i="10"/>
  <c r="AA158" i="10" s="1"/>
  <c r="AI147" i="10"/>
  <c r="AI158" i="10" s="1"/>
  <c r="AQ147" i="10"/>
  <c r="AQ158" i="10" s="1"/>
  <c r="L147" i="10"/>
  <c r="L158" i="10" s="1"/>
  <c r="AE147" i="10"/>
  <c r="AE158" i="10" s="1"/>
  <c r="N147" i="10"/>
  <c r="N158" i="10" s="1"/>
  <c r="AJ147" i="10"/>
  <c r="AJ158" i="10" s="1"/>
  <c r="O147" i="10"/>
  <c r="O158" i="10" s="1"/>
  <c r="AL147" i="10"/>
  <c r="AL158" i="10" s="1"/>
  <c r="T147" i="10"/>
  <c r="T158" i="10" s="1"/>
  <c r="AM147" i="10"/>
  <c r="AM158" i="10" s="1"/>
  <c r="AB147" i="10"/>
  <c r="AB158" i="10" s="1"/>
  <c r="AR147" i="10"/>
  <c r="AR158" i="10" s="1"/>
  <c r="V147" i="10"/>
  <c r="V158" i="10" s="1"/>
  <c r="W147" i="10"/>
  <c r="W158" i="10" s="1"/>
  <c r="AD147" i="10"/>
  <c r="AD158" i="10" s="1"/>
  <c r="N154" i="9"/>
  <c r="N155" i="9" s="1"/>
  <c r="N179" i="15"/>
  <c r="N181" i="15" s="1"/>
  <c r="N182" i="15" s="1"/>
  <c r="N183" i="15" s="1"/>
  <c r="N164" i="15"/>
  <c r="N165" i="15" s="1"/>
  <c r="N171" i="15" s="1"/>
  <c r="N266" i="9" s="1"/>
  <c r="N267" i="9" s="1"/>
  <c r="N282" i="9" s="1"/>
  <c r="O161" i="15"/>
  <c r="O162" i="15" s="1"/>
  <c r="O178" i="15"/>
  <c r="P168" i="15"/>
  <c r="O169" i="15"/>
  <c r="P149" i="15"/>
  <c r="P151" i="15" s="1"/>
  <c r="P152" i="15" s="1"/>
  <c r="P153" i="15" s="1"/>
  <c r="P134" i="15"/>
  <c r="P135" i="15" s="1"/>
  <c r="P141" i="15" s="1"/>
  <c r="P265" i="9" s="1"/>
  <c r="Q131" i="15"/>
  <c r="Q132" i="15" s="1"/>
  <c r="P143" i="9"/>
  <c r="P144" i="9" s="1"/>
  <c r="Q49" i="15"/>
  <c r="R48" i="15"/>
  <c r="Q58" i="15"/>
  <c r="M45" i="13"/>
  <c r="O127" i="11"/>
  <c r="Q96" i="12"/>
  <c r="Q97" i="12" s="1"/>
  <c r="T322" i="11"/>
  <c r="O62" i="15"/>
  <c r="O63" i="15" s="1"/>
  <c r="X162" i="11"/>
  <c r="N259" i="12"/>
  <c r="O163" i="12"/>
  <c r="P44" i="15"/>
  <c r="P45" i="15" s="1"/>
  <c r="P51" i="15" s="1"/>
  <c r="P237" i="9" s="1"/>
  <c r="P238" i="9" s="1"/>
  <c r="P59" i="15"/>
  <c r="P61" i="15" s="1"/>
  <c r="Q41" i="15"/>
  <c r="Q42" i="15" s="1"/>
  <c r="P94" i="9"/>
  <c r="P95" i="9" s="1"/>
  <c r="O249" i="12"/>
  <c r="M91" i="13"/>
  <c r="N153" i="13"/>
  <c r="M152" i="9"/>
  <c r="N33" i="13"/>
  <c r="I57" i="18"/>
  <c r="K53" i="2" s="1"/>
  <c r="M53" i="2" s="1"/>
  <c r="I70" i="18"/>
  <c r="K54" i="2" s="1"/>
  <c r="M54" i="2" s="1"/>
  <c r="I41" i="18"/>
  <c r="K52" i="2" s="1"/>
  <c r="M52" i="2" s="1"/>
  <c r="I105" i="18"/>
  <c r="K56" i="2" s="1"/>
  <c r="M56" i="2" s="1"/>
  <c r="E97" i="17"/>
  <c r="G97" i="17"/>
  <c r="O97" i="17"/>
  <c r="F97" i="17"/>
  <c r="P97" i="17"/>
  <c r="H97" i="17"/>
  <c r="I97" i="17"/>
  <c r="J97" i="17"/>
  <c r="K97" i="17"/>
  <c r="L97" i="17"/>
  <c r="M97" i="17"/>
  <c r="L69" i="10" l="1"/>
  <c r="L77" i="10" s="1"/>
  <c r="AB201" i="9"/>
  <c r="AB84" i="11"/>
  <c r="AB206" i="11" s="1"/>
  <c r="AB156" i="12" s="1"/>
  <c r="AB47" i="9"/>
  <c r="S84" i="11"/>
  <c r="S206" i="11" s="1"/>
  <c r="S156" i="12" s="1"/>
  <c r="S201" i="9"/>
  <c r="S47" i="9"/>
  <c r="N155" i="17" s="1"/>
  <c r="U84" i="11"/>
  <c r="U206" i="11" s="1"/>
  <c r="U156" i="12" s="1"/>
  <c r="U201" i="9"/>
  <c r="U47" i="9"/>
  <c r="P155" i="17" s="1"/>
  <c r="V198" i="9"/>
  <c r="V81" i="11"/>
  <c r="V203" i="11" s="1"/>
  <c r="V153" i="12" s="1"/>
  <c r="V44" i="9"/>
  <c r="R81" i="11"/>
  <c r="R203" i="11" s="1"/>
  <c r="R153" i="12" s="1"/>
  <c r="R198" i="9"/>
  <c r="R44" i="9"/>
  <c r="M152" i="17" s="1"/>
  <c r="L80" i="11"/>
  <c r="L202" i="11" s="1"/>
  <c r="L152" i="12" s="1"/>
  <c r="L197" i="9"/>
  <c r="L43" i="9"/>
  <c r="G151" i="17" s="1"/>
  <c r="AQ195" i="9"/>
  <c r="AQ41" i="9"/>
  <c r="AQ78" i="11"/>
  <c r="AQ200" i="11" s="1"/>
  <c r="AQ150" i="12" s="1"/>
  <c r="AF78" i="11"/>
  <c r="AF200" i="11" s="1"/>
  <c r="AF150" i="12" s="1"/>
  <c r="AF195" i="9"/>
  <c r="AF41" i="9"/>
  <c r="AK78" i="11"/>
  <c r="AK200" i="11" s="1"/>
  <c r="AK150" i="12" s="1"/>
  <c r="AK41" i="9"/>
  <c r="AK195" i="9"/>
  <c r="AR79" i="11"/>
  <c r="AR201" i="11" s="1"/>
  <c r="AR151" i="12" s="1"/>
  <c r="AR196" i="9"/>
  <c r="AR42" i="9"/>
  <c r="X79" i="11"/>
  <c r="X201" i="11" s="1"/>
  <c r="X151" i="12" s="1"/>
  <c r="X42" i="9"/>
  <c r="X196" i="9"/>
  <c r="AN79" i="11"/>
  <c r="AN201" i="11" s="1"/>
  <c r="AN151" i="12" s="1"/>
  <c r="AN196" i="9"/>
  <c r="AN42" i="9"/>
  <c r="AM79" i="11"/>
  <c r="AM201" i="11" s="1"/>
  <c r="AM151" i="12" s="1"/>
  <c r="AM196" i="9"/>
  <c r="AM42" i="9"/>
  <c r="K84" i="11"/>
  <c r="K206" i="11" s="1"/>
  <c r="K156" i="12" s="1"/>
  <c r="K201" i="9"/>
  <c r="K47" i="9"/>
  <c r="F155" i="17" s="1"/>
  <c r="AO84" i="11"/>
  <c r="AO206" i="11" s="1"/>
  <c r="AO156" i="12" s="1"/>
  <c r="AO201" i="9"/>
  <c r="AO47" i="9"/>
  <c r="M84" i="11"/>
  <c r="M206" i="11" s="1"/>
  <c r="M156" i="12" s="1"/>
  <c r="M47" i="9"/>
  <c r="H155" i="17" s="1"/>
  <c r="M201" i="9"/>
  <c r="P198" i="9"/>
  <c r="P81" i="11"/>
  <c r="P203" i="11" s="1"/>
  <c r="P153" i="12" s="1"/>
  <c r="P44" i="9"/>
  <c r="K152" i="17" s="1"/>
  <c r="AB81" i="11"/>
  <c r="AB203" i="11" s="1"/>
  <c r="AB153" i="12" s="1"/>
  <c r="AB198" i="9"/>
  <c r="AB44" i="9"/>
  <c r="AF80" i="11"/>
  <c r="AF202" i="11" s="1"/>
  <c r="AF152" i="12" s="1"/>
  <c r="AF197" i="9"/>
  <c r="AF43" i="9"/>
  <c r="N80" i="11"/>
  <c r="N202" i="11" s="1"/>
  <c r="N152" i="12" s="1"/>
  <c r="N197" i="9"/>
  <c r="N43" i="9"/>
  <c r="I151" i="17" s="1"/>
  <c r="AP80" i="11"/>
  <c r="AP202" i="11" s="1"/>
  <c r="AP152" i="12" s="1"/>
  <c r="AP197" i="9"/>
  <c r="AP43" i="9"/>
  <c r="AI78" i="11"/>
  <c r="AI200" i="11" s="1"/>
  <c r="AI150" i="12" s="1"/>
  <c r="AI195" i="9"/>
  <c r="AI41" i="9"/>
  <c r="AL78" i="11"/>
  <c r="AL200" i="11" s="1"/>
  <c r="AL150" i="12" s="1"/>
  <c r="AL195" i="9"/>
  <c r="AL41" i="9"/>
  <c r="AF79" i="11"/>
  <c r="AF201" i="11" s="1"/>
  <c r="AF151" i="12" s="1"/>
  <c r="AF196" i="9"/>
  <c r="AF42" i="9"/>
  <c r="AE79" i="11"/>
  <c r="AE201" i="11" s="1"/>
  <c r="AE151" i="12" s="1"/>
  <c r="AE196" i="9"/>
  <c r="AE42" i="9"/>
  <c r="AD84" i="11"/>
  <c r="AD206" i="11" s="1"/>
  <c r="AD156" i="12" s="1"/>
  <c r="AD201" i="9"/>
  <c r="AD47" i="9"/>
  <c r="T84" i="11"/>
  <c r="T206" i="11" s="1"/>
  <c r="T156" i="12" s="1"/>
  <c r="T201" i="9"/>
  <c r="T47" i="9"/>
  <c r="O155" i="17" s="1"/>
  <c r="AG84" i="11"/>
  <c r="AG206" i="11" s="1"/>
  <c r="AG156" i="12" s="1"/>
  <c r="AG201" i="9"/>
  <c r="AG47" i="9"/>
  <c r="P84" i="11"/>
  <c r="P206" i="11" s="1"/>
  <c r="P156" i="12" s="1"/>
  <c r="P201" i="9"/>
  <c r="P47" i="9"/>
  <c r="K155" i="17" s="1"/>
  <c r="AS80" i="11"/>
  <c r="AS202" i="11" s="1"/>
  <c r="AS152" i="12" s="1"/>
  <c r="AS197" i="9"/>
  <c r="AS43" i="9"/>
  <c r="Q78" i="11"/>
  <c r="Q200" i="11" s="1"/>
  <c r="Q150" i="12" s="1"/>
  <c r="Q195" i="9"/>
  <c r="Q41" i="9"/>
  <c r="P195" i="9"/>
  <c r="P41" i="9"/>
  <c r="K149" i="17" s="1"/>
  <c r="P78" i="11"/>
  <c r="P200" i="11" s="1"/>
  <c r="P150" i="12" s="1"/>
  <c r="U78" i="11"/>
  <c r="U200" i="11" s="1"/>
  <c r="U150" i="12" s="1"/>
  <c r="U195" i="9"/>
  <c r="U41" i="9"/>
  <c r="P149" i="17" s="1"/>
  <c r="AA79" i="11"/>
  <c r="AA201" i="11" s="1"/>
  <c r="AA151" i="12" s="1"/>
  <c r="AA196" i="9"/>
  <c r="AA42" i="9"/>
  <c r="W84" i="11"/>
  <c r="W206" i="11" s="1"/>
  <c r="W156" i="12" s="1"/>
  <c r="W201" i="9"/>
  <c r="W47" i="9"/>
  <c r="AL201" i="9"/>
  <c r="AL84" i="11"/>
  <c r="AL206" i="11" s="1"/>
  <c r="AL156" i="12" s="1"/>
  <c r="AL47" i="9"/>
  <c r="AQ47" i="9"/>
  <c r="AQ201" i="9"/>
  <c r="AQ84" i="11"/>
  <c r="AQ206" i="11" s="1"/>
  <c r="AQ156" i="12" s="1"/>
  <c r="AH201" i="9"/>
  <c r="AH84" i="11"/>
  <c r="AH206" i="11" s="1"/>
  <c r="AH156" i="12" s="1"/>
  <c r="AH47" i="9"/>
  <c r="Y47" i="9"/>
  <c r="Y201" i="9"/>
  <c r="Y84" i="11"/>
  <c r="Y206" i="11" s="1"/>
  <c r="Y156" i="12" s="1"/>
  <c r="AS84" i="11"/>
  <c r="AS206" i="11" s="1"/>
  <c r="AS156" i="12" s="1"/>
  <c r="AS201" i="9"/>
  <c r="AS47" i="9"/>
  <c r="Q81" i="11"/>
  <c r="Q203" i="11" s="1"/>
  <c r="Q153" i="12" s="1"/>
  <c r="Q198" i="9"/>
  <c r="Q44" i="9"/>
  <c r="L152" i="17" s="1"/>
  <c r="AM81" i="11"/>
  <c r="AM203" i="11" s="1"/>
  <c r="AM153" i="12" s="1"/>
  <c r="AM198" i="9"/>
  <c r="AM44" i="9"/>
  <c r="AE198" i="9"/>
  <c r="AE81" i="11"/>
  <c r="AE203" i="11" s="1"/>
  <c r="AE153" i="12" s="1"/>
  <c r="AE44" i="9"/>
  <c r="U81" i="11"/>
  <c r="U203" i="11" s="1"/>
  <c r="U153" i="12" s="1"/>
  <c r="U198" i="9"/>
  <c r="U44" i="9"/>
  <c r="P152" i="17" s="1"/>
  <c r="L198" i="9"/>
  <c r="L81" i="11"/>
  <c r="L203" i="11" s="1"/>
  <c r="L153" i="12" s="1"/>
  <c r="L44" i="9"/>
  <c r="G152" i="17" s="1"/>
  <c r="AP81" i="11"/>
  <c r="AP203" i="11" s="1"/>
  <c r="AP153" i="12" s="1"/>
  <c r="AP198" i="9"/>
  <c r="AP44" i="9"/>
  <c r="P197" i="9"/>
  <c r="P80" i="11"/>
  <c r="P202" i="11" s="1"/>
  <c r="P152" i="12" s="1"/>
  <c r="P43" i="9"/>
  <c r="K151" i="17" s="1"/>
  <c r="AE80" i="11"/>
  <c r="AE202" i="11" s="1"/>
  <c r="AE152" i="12" s="1"/>
  <c r="AE197" i="9"/>
  <c r="AE43" i="9"/>
  <c r="AK80" i="11"/>
  <c r="AK202" i="11" s="1"/>
  <c r="AK152" i="12" s="1"/>
  <c r="AK43" i="9"/>
  <c r="AK197" i="9"/>
  <c r="AJ80" i="11"/>
  <c r="AJ202" i="11" s="1"/>
  <c r="AJ152" i="12" s="1"/>
  <c r="AJ197" i="9"/>
  <c r="AJ43" i="9"/>
  <c r="AI80" i="11"/>
  <c r="AI202" i="11" s="1"/>
  <c r="AI152" i="12" s="1"/>
  <c r="AI197" i="9"/>
  <c r="AI43" i="9"/>
  <c r="Z80" i="11"/>
  <c r="Z202" i="11" s="1"/>
  <c r="Z152" i="12" s="1"/>
  <c r="Z197" i="9"/>
  <c r="Z43" i="9"/>
  <c r="S78" i="11"/>
  <c r="S200" i="11" s="1"/>
  <c r="S150" i="12" s="1"/>
  <c r="S41" i="9"/>
  <c r="N149" i="17" s="1"/>
  <c r="S195" i="9"/>
  <c r="R78" i="11"/>
  <c r="R200" i="11" s="1"/>
  <c r="R150" i="12" s="1"/>
  <c r="R195" i="9"/>
  <c r="R41" i="9"/>
  <c r="M149" i="17" s="1"/>
  <c r="AR78" i="11"/>
  <c r="AR200" i="11" s="1"/>
  <c r="AR150" i="12" s="1"/>
  <c r="AR195" i="9"/>
  <c r="AR41" i="9"/>
  <c r="AM78" i="11"/>
  <c r="AM200" i="11" s="1"/>
  <c r="AM150" i="12" s="1"/>
  <c r="AM195" i="9"/>
  <c r="AM41" i="9"/>
  <c r="V78" i="11"/>
  <c r="V200" i="11" s="1"/>
  <c r="V150" i="12" s="1"/>
  <c r="V195" i="9"/>
  <c r="V41" i="9"/>
  <c r="M78" i="11"/>
  <c r="M200" i="11" s="1"/>
  <c r="M150" i="12" s="1"/>
  <c r="M195" i="9"/>
  <c r="M41" i="9"/>
  <c r="H149" i="17" s="1"/>
  <c r="N43" i="12"/>
  <c r="N44" i="12" s="1"/>
  <c r="N35" i="12"/>
  <c r="AP79" i="11"/>
  <c r="AP201" i="11" s="1"/>
  <c r="AP151" i="12" s="1"/>
  <c r="AP42" i="9"/>
  <c r="AP196" i="9"/>
  <c r="N79" i="11"/>
  <c r="N201" i="11" s="1"/>
  <c r="N151" i="12" s="1"/>
  <c r="N196" i="9"/>
  <c r="N42" i="9"/>
  <c r="I150" i="17" s="1"/>
  <c r="W79" i="11"/>
  <c r="W201" i="11" s="1"/>
  <c r="W151" i="12" s="1"/>
  <c r="W196" i="9"/>
  <c r="W42" i="9"/>
  <c r="S79" i="11"/>
  <c r="S201" i="11" s="1"/>
  <c r="S151" i="12" s="1"/>
  <c r="S42" i="9"/>
  <c r="N150" i="17" s="1"/>
  <c r="S196" i="9"/>
  <c r="P196" i="9"/>
  <c r="P79" i="11"/>
  <c r="P201" i="11" s="1"/>
  <c r="P151" i="12" s="1"/>
  <c r="P42" i="9"/>
  <c r="K150" i="17" s="1"/>
  <c r="U79" i="11"/>
  <c r="U201" i="11" s="1"/>
  <c r="U151" i="12" s="1"/>
  <c r="U196" i="9"/>
  <c r="U42" i="9"/>
  <c r="P150" i="17" s="1"/>
  <c r="N201" i="9"/>
  <c r="N84" i="11"/>
  <c r="N206" i="11" s="1"/>
  <c r="N156" i="12" s="1"/>
  <c r="N47" i="9"/>
  <c r="I155" i="17" s="1"/>
  <c r="AF84" i="11"/>
  <c r="AF206" i="11" s="1"/>
  <c r="AF156" i="12" s="1"/>
  <c r="AF201" i="9"/>
  <c r="AF47" i="9"/>
  <c r="X81" i="11"/>
  <c r="X203" i="11" s="1"/>
  <c r="X153" i="12" s="1"/>
  <c r="X44" i="9"/>
  <c r="X198" i="9"/>
  <c r="AS81" i="11"/>
  <c r="AS203" i="11" s="1"/>
  <c r="AS153" i="12" s="1"/>
  <c r="AS198" i="9"/>
  <c r="AS44" i="9"/>
  <c r="AA81" i="11"/>
  <c r="AA203" i="11" s="1"/>
  <c r="AA153" i="12" s="1"/>
  <c r="AA198" i="9"/>
  <c r="AA44" i="9"/>
  <c r="AN80" i="11"/>
  <c r="AN202" i="11" s="1"/>
  <c r="AN152" i="12" s="1"/>
  <c r="AN197" i="9"/>
  <c r="AN43" i="9"/>
  <c r="AM80" i="11"/>
  <c r="AM202" i="11" s="1"/>
  <c r="AM152" i="12" s="1"/>
  <c r="AM197" i="9"/>
  <c r="AM43" i="9"/>
  <c r="V80" i="11"/>
  <c r="V202" i="11" s="1"/>
  <c r="V152" i="12" s="1"/>
  <c r="V197" i="9"/>
  <c r="V43" i="9"/>
  <c r="K80" i="11"/>
  <c r="K202" i="11" s="1"/>
  <c r="K152" i="12" s="1"/>
  <c r="K197" i="9"/>
  <c r="K43" i="9"/>
  <c r="F151" i="17" s="1"/>
  <c r="AG78" i="11"/>
  <c r="AG200" i="11" s="1"/>
  <c r="AG150" i="12" s="1"/>
  <c r="AG195" i="9"/>
  <c r="AG41" i="9"/>
  <c r="AO79" i="11"/>
  <c r="AO201" i="11" s="1"/>
  <c r="AO151" i="12" s="1"/>
  <c r="AO196" i="9"/>
  <c r="AO42" i="9"/>
  <c r="AE84" i="11"/>
  <c r="AE206" i="11" s="1"/>
  <c r="AE156" i="12" s="1"/>
  <c r="AE201" i="9"/>
  <c r="AE47" i="9"/>
  <c r="N81" i="11"/>
  <c r="N203" i="11" s="1"/>
  <c r="N153" i="12" s="1"/>
  <c r="N198" i="9"/>
  <c r="N44" i="9"/>
  <c r="I152" i="17" s="1"/>
  <c r="S81" i="11"/>
  <c r="S203" i="11" s="1"/>
  <c r="S153" i="12" s="1"/>
  <c r="S44" i="9"/>
  <c r="N152" i="17" s="1"/>
  <c r="S198" i="9"/>
  <c r="W80" i="11"/>
  <c r="W202" i="11" s="1"/>
  <c r="W152" i="12" s="1"/>
  <c r="W197" i="9"/>
  <c r="W43" i="9"/>
  <c r="Y197" i="9"/>
  <c r="Y43" i="9"/>
  <c r="Y80" i="11"/>
  <c r="Y202" i="11" s="1"/>
  <c r="Y152" i="12" s="1"/>
  <c r="AH195" i="9"/>
  <c r="AH78" i="11"/>
  <c r="AH200" i="11" s="1"/>
  <c r="AH150" i="12" s="1"/>
  <c r="AH41" i="9"/>
  <c r="Y195" i="9"/>
  <c r="Y78" i="11"/>
  <c r="Y200" i="11" s="1"/>
  <c r="Y150" i="12" s="1"/>
  <c r="Y41" i="9"/>
  <c r="AC78" i="11"/>
  <c r="AC200" i="11" s="1"/>
  <c r="AC150" i="12" s="1"/>
  <c r="AC195" i="9"/>
  <c r="AC41" i="9"/>
  <c r="AL79" i="11"/>
  <c r="AL201" i="11" s="1"/>
  <c r="AL151" i="12" s="1"/>
  <c r="AL196" i="9"/>
  <c r="AL42" i="9"/>
  <c r="AH196" i="9"/>
  <c r="AH42" i="9"/>
  <c r="AH79" i="11"/>
  <c r="AH201" i="11" s="1"/>
  <c r="AH151" i="12" s="1"/>
  <c r="AG79" i="11"/>
  <c r="AG201" i="11" s="1"/>
  <c r="AG151" i="12" s="1"/>
  <c r="AG196" i="9"/>
  <c r="AG42" i="9"/>
  <c r="L149" i="17"/>
  <c r="AP84" i="11"/>
  <c r="AP206" i="11" s="1"/>
  <c r="AP156" i="12" s="1"/>
  <c r="AP201" i="9"/>
  <c r="AP47" i="9"/>
  <c r="AG81" i="11"/>
  <c r="AG203" i="11" s="1"/>
  <c r="AG153" i="12" s="1"/>
  <c r="AG198" i="9"/>
  <c r="AG44" i="9"/>
  <c r="AO81" i="11"/>
  <c r="AO203" i="11" s="1"/>
  <c r="AO153" i="12" s="1"/>
  <c r="AO198" i="9"/>
  <c r="AO44" i="9"/>
  <c r="T81" i="11"/>
  <c r="T203" i="11" s="1"/>
  <c r="T153" i="12" s="1"/>
  <c r="T198" i="9"/>
  <c r="T44" i="9"/>
  <c r="O152" i="17" s="1"/>
  <c r="AQ197" i="9"/>
  <c r="AQ43" i="9"/>
  <c r="AQ80" i="11"/>
  <c r="AQ202" i="11" s="1"/>
  <c r="AQ152" i="12" s="1"/>
  <c r="AA78" i="11"/>
  <c r="AA200" i="11" s="1"/>
  <c r="AA150" i="12" s="1"/>
  <c r="AA195" i="9"/>
  <c r="AA41" i="9"/>
  <c r="AD78" i="11"/>
  <c r="AD200" i="11" s="1"/>
  <c r="AD150" i="12" s="1"/>
  <c r="AD195" i="9"/>
  <c r="AD41" i="9"/>
  <c r="T79" i="11"/>
  <c r="T201" i="11" s="1"/>
  <c r="T151" i="12" s="1"/>
  <c r="T196" i="9"/>
  <c r="T42" i="9"/>
  <c r="O150" i="17" s="1"/>
  <c r="AI79" i="11"/>
  <c r="AI201" i="11" s="1"/>
  <c r="AI151" i="12" s="1"/>
  <c r="AI196" i="9"/>
  <c r="AI42" i="9"/>
  <c r="Y196" i="9"/>
  <c r="Y42" i="9"/>
  <c r="Y79" i="11"/>
  <c r="Y201" i="11" s="1"/>
  <c r="Y151" i="12" s="1"/>
  <c r="AB79" i="11"/>
  <c r="AB201" i="11" s="1"/>
  <c r="AB151" i="12" s="1"/>
  <c r="AB196" i="9"/>
  <c r="AB42" i="9"/>
  <c r="V201" i="9"/>
  <c r="V84" i="11"/>
  <c r="V206" i="11" s="1"/>
  <c r="V156" i="12" s="1"/>
  <c r="V47" i="9"/>
  <c r="O84" i="11"/>
  <c r="O206" i="11" s="1"/>
  <c r="O156" i="12" s="1"/>
  <c r="O201" i="9"/>
  <c r="O47" i="9"/>
  <c r="J155" i="17" s="1"/>
  <c r="AI84" i="11"/>
  <c r="AI206" i="11" s="1"/>
  <c r="AI156" i="12" s="1"/>
  <c r="AI201" i="9"/>
  <c r="AI47" i="9"/>
  <c r="Z84" i="11"/>
  <c r="Z206" i="11" s="1"/>
  <c r="Z156" i="12" s="1"/>
  <c r="Z201" i="9"/>
  <c r="Z47" i="9"/>
  <c r="Q84" i="11"/>
  <c r="Q206" i="11" s="1"/>
  <c r="Q156" i="12" s="1"/>
  <c r="Q201" i="9"/>
  <c r="Q47" i="9"/>
  <c r="L155" i="17" s="1"/>
  <c r="AK84" i="11"/>
  <c r="AK206" i="11" s="1"/>
  <c r="AK156" i="12" s="1"/>
  <c r="AK47" i="9"/>
  <c r="AK201" i="9"/>
  <c r="AN198" i="9"/>
  <c r="AN81" i="11"/>
  <c r="AN203" i="11" s="1"/>
  <c r="AN153" i="12" s="1"/>
  <c r="AN44" i="9"/>
  <c r="AL198" i="9"/>
  <c r="AL81" i="11"/>
  <c r="AL203" i="11" s="1"/>
  <c r="AL153" i="12" s="1"/>
  <c r="AL44" i="9"/>
  <c r="W81" i="11"/>
  <c r="W203" i="11" s="1"/>
  <c r="W153" i="12" s="1"/>
  <c r="W198" i="9"/>
  <c r="W44" i="9"/>
  <c r="M198" i="9"/>
  <c r="M81" i="11"/>
  <c r="M203" i="11" s="1"/>
  <c r="M153" i="12" s="1"/>
  <c r="M44" i="9"/>
  <c r="H152" i="17" s="1"/>
  <c r="AQ198" i="9"/>
  <c r="AQ44" i="9"/>
  <c r="AQ81" i="11"/>
  <c r="AQ203" i="11" s="1"/>
  <c r="AQ153" i="12" s="1"/>
  <c r="AH198" i="9"/>
  <c r="AH81" i="11"/>
  <c r="AH203" i="11" s="1"/>
  <c r="AH153" i="12" s="1"/>
  <c r="AH44" i="9"/>
  <c r="AO80" i="11"/>
  <c r="AO202" i="11" s="1"/>
  <c r="AO152" i="12" s="1"/>
  <c r="AO197" i="9"/>
  <c r="AO43" i="9"/>
  <c r="AL80" i="11"/>
  <c r="AL202" i="11" s="1"/>
  <c r="AL152" i="12" s="1"/>
  <c r="AL197" i="9"/>
  <c r="AL43" i="9"/>
  <c r="AC80" i="11"/>
  <c r="AC202" i="11" s="1"/>
  <c r="AC152" i="12" s="1"/>
  <c r="AC197" i="9"/>
  <c r="AC43" i="9"/>
  <c r="AB80" i="11"/>
  <c r="AB202" i="11" s="1"/>
  <c r="AB152" i="12" s="1"/>
  <c r="AB197" i="9"/>
  <c r="AB43" i="9"/>
  <c r="AA80" i="11"/>
  <c r="AA202" i="11" s="1"/>
  <c r="AA152" i="12" s="1"/>
  <c r="AA197" i="9"/>
  <c r="AA43" i="9"/>
  <c r="R80" i="11"/>
  <c r="R202" i="11" s="1"/>
  <c r="R152" i="12" s="1"/>
  <c r="R168" i="12" s="1"/>
  <c r="R197" i="9"/>
  <c r="R43" i="9"/>
  <c r="M151" i="17" s="1"/>
  <c r="AJ78" i="11"/>
  <c r="AJ200" i="11" s="1"/>
  <c r="AJ150" i="12" s="1"/>
  <c r="AJ195" i="9"/>
  <c r="AJ41" i="9"/>
  <c r="K78" i="11"/>
  <c r="K200" i="11" s="1"/>
  <c r="K150" i="12" s="1"/>
  <c r="K195" i="9"/>
  <c r="K41" i="9"/>
  <c r="F149" i="17" s="1"/>
  <c r="J78" i="11"/>
  <c r="J200" i="11" s="1"/>
  <c r="J150" i="12" s="1"/>
  <c r="J195" i="9"/>
  <c r="J41" i="9"/>
  <c r="E149" i="17" s="1"/>
  <c r="L78" i="11"/>
  <c r="L200" i="11" s="1"/>
  <c r="L150" i="12" s="1"/>
  <c r="L41" i="9"/>
  <c r="G149" i="17" s="1"/>
  <c r="L195" i="9"/>
  <c r="AE78" i="11"/>
  <c r="AE200" i="11" s="1"/>
  <c r="AE150" i="12" s="1"/>
  <c r="AE195" i="9"/>
  <c r="AE41" i="9"/>
  <c r="N41" i="9"/>
  <c r="I149" i="17" s="1"/>
  <c r="N78" i="11"/>
  <c r="N200" i="11" s="1"/>
  <c r="N150" i="12" s="1"/>
  <c r="N195" i="9"/>
  <c r="AD79" i="11"/>
  <c r="AD201" i="11" s="1"/>
  <c r="AD151" i="12" s="1"/>
  <c r="AD196" i="9"/>
  <c r="AD42" i="9"/>
  <c r="Q79" i="11"/>
  <c r="Q201" i="11" s="1"/>
  <c r="Q151" i="12" s="1"/>
  <c r="Q196" i="9"/>
  <c r="Q42" i="9"/>
  <c r="L150" i="17" s="1"/>
  <c r="K79" i="11"/>
  <c r="K201" i="11" s="1"/>
  <c r="K151" i="12" s="1"/>
  <c r="K196" i="9"/>
  <c r="K42" i="9"/>
  <c r="F150" i="17" s="1"/>
  <c r="M79" i="11"/>
  <c r="M201" i="11" s="1"/>
  <c r="M151" i="12" s="1"/>
  <c r="M196" i="9"/>
  <c r="M42" i="9"/>
  <c r="H150" i="17" s="1"/>
  <c r="J79" i="11"/>
  <c r="J201" i="11" s="1"/>
  <c r="J151" i="12" s="1"/>
  <c r="J196" i="9"/>
  <c r="J42" i="9"/>
  <c r="E150" i="17" s="1"/>
  <c r="O79" i="11"/>
  <c r="O201" i="11" s="1"/>
  <c r="O151" i="12" s="1"/>
  <c r="O196" i="9"/>
  <c r="O42" i="9"/>
  <c r="J150" i="17" s="1"/>
  <c r="M22" i="10"/>
  <c r="M61" i="10" s="1"/>
  <c r="L30" i="10"/>
  <c r="J84" i="11"/>
  <c r="J206" i="11" s="1"/>
  <c r="J156" i="12" s="1"/>
  <c r="J201" i="9"/>
  <c r="J47" i="9"/>
  <c r="E155" i="17" s="1"/>
  <c r="AJ81" i="11"/>
  <c r="AJ203" i="11" s="1"/>
  <c r="AJ153" i="12" s="1"/>
  <c r="AJ198" i="9"/>
  <c r="AJ44" i="9"/>
  <c r="M80" i="11"/>
  <c r="M202" i="11" s="1"/>
  <c r="M152" i="12" s="1"/>
  <c r="M197" i="9"/>
  <c r="M43" i="9"/>
  <c r="H151" i="17" s="1"/>
  <c r="AP78" i="11"/>
  <c r="AP200" i="11" s="1"/>
  <c r="AP150" i="12" s="1"/>
  <c r="AP41" i="9"/>
  <c r="AP195" i="9"/>
  <c r="O78" i="11"/>
  <c r="O200" i="11" s="1"/>
  <c r="O150" i="12" s="1"/>
  <c r="O195" i="9"/>
  <c r="O41" i="9"/>
  <c r="J149" i="17" s="1"/>
  <c r="AK79" i="11"/>
  <c r="AK201" i="11" s="1"/>
  <c r="AK151" i="12" s="1"/>
  <c r="AK42" i="9"/>
  <c r="AK196" i="9"/>
  <c r="AM84" i="11"/>
  <c r="AM206" i="11" s="1"/>
  <c r="AM156" i="12" s="1"/>
  <c r="AM47" i="9"/>
  <c r="AM201" i="9"/>
  <c r="X84" i="11"/>
  <c r="X206" i="11" s="1"/>
  <c r="X156" i="12" s="1"/>
  <c r="X201" i="9"/>
  <c r="X47" i="9"/>
  <c r="J82" i="11"/>
  <c r="J204" i="11" s="1"/>
  <c r="J154" i="12" s="1"/>
  <c r="J199" i="9"/>
  <c r="J45" i="9"/>
  <c r="E153" i="17" s="1"/>
  <c r="AK81" i="11"/>
  <c r="AK203" i="11" s="1"/>
  <c r="AK153" i="12" s="1"/>
  <c r="AK44" i="9"/>
  <c r="AK198" i="9"/>
  <c r="J81" i="11"/>
  <c r="J203" i="11" s="1"/>
  <c r="J153" i="12" s="1"/>
  <c r="J198" i="9"/>
  <c r="J44" i="9"/>
  <c r="E152" i="17" s="1"/>
  <c r="AG80" i="11"/>
  <c r="AG202" i="11" s="1"/>
  <c r="AG152" i="12" s="1"/>
  <c r="AG197" i="9"/>
  <c r="AG43" i="9"/>
  <c r="X78" i="11"/>
  <c r="X200" i="11" s="1"/>
  <c r="X150" i="12" s="1"/>
  <c r="X195" i="9"/>
  <c r="X41" i="9"/>
  <c r="L79" i="11"/>
  <c r="L201" i="11" s="1"/>
  <c r="L151" i="12" s="1"/>
  <c r="L196" i="9"/>
  <c r="L42" i="9"/>
  <c r="G150" i="17" s="1"/>
  <c r="L201" i="9"/>
  <c r="L84" i="11"/>
  <c r="L206" i="11" s="1"/>
  <c r="L156" i="12" s="1"/>
  <c r="L47" i="9"/>
  <c r="G155" i="17" s="1"/>
  <c r="Y198" i="9"/>
  <c r="Y44" i="9"/>
  <c r="Y81" i="11"/>
  <c r="Y203" i="11" s="1"/>
  <c r="Y153" i="12" s="1"/>
  <c r="AC81" i="11"/>
  <c r="AC203" i="11" s="1"/>
  <c r="AC153" i="12" s="1"/>
  <c r="AC198" i="9"/>
  <c r="AC44" i="9"/>
  <c r="K81" i="11"/>
  <c r="K203" i="11" s="1"/>
  <c r="K153" i="12" s="1"/>
  <c r="K198" i="9"/>
  <c r="K44" i="9"/>
  <c r="F152" i="17" s="1"/>
  <c r="X80" i="11"/>
  <c r="X202" i="11" s="1"/>
  <c r="X152" i="12" s="1"/>
  <c r="X197" i="9"/>
  <c r="X43" i="9"/>
  <c r="O80" i="11"/>
  <c r="O202" i="11" s="1"/>
  <c r="O152" i="12" s="1"/>
  <c r="O197" i="9"/>
  <c r="O43" i="9"/>
  <c r="J151" i="17" s="1"/>
  <c r="AR80" i="11"/>
  <c r="AR202" i="11" s="1"/>
  <c r="AR152" i="12" s="1"/>
  <c r="AR197" i="9"/>
  <c r="AR43" i="9"/>
  <c r="AH197" i="9"/>
  <c r="AH80" i="11"/>
  <c r="AH202" i="11" s="1"/>
  <c r="AH152" i="12" s="1"/>
  <c r="AH43" i="9"/>
  <c r="Z78" i="11"/>
  <c r="Z200" i="11" s="1"/>
  <c r="Z150" i="12" s="1"/>
  <c r="Z195" i="9"/>
  <c r="Z41" i="9"/>
  <c r="Z79" i="11"/>
  <c r="Z201" i="11" s="1"/>
  <c r="Z151" i="12" s="1"/>
  <c r="Z196" i="9"/>
  <c r="Z42" i="9"/>
  <c r="AR84" i="11"/>
  <c r="AR206" i="11" s="1"/>
  <c r="AR156" i="12" s="1"/>
  <c r="AR201" i="9"/>
  <c r="AR47" i="9"/>
  <c r="AJ84" i="11"/>
  <c r="AJ206" i="11" s="1"/>
  <c r="AJ156" i="12" s="1"/>
  <c r="AJ201" i="9"/>
  <c r="AJ47" i="9"/>
  <c r="AA84" i="11"/>
  <c r="AA206" i="11" s="1"/>
  <c r="AA156" i="12" s="1"/>
  <c r="AA201" i="9"/>
  <c r="AA47" i="9"/>
  <c r="R84" i="11"/>
  <c r="R206" i="11" s="1"/>
  <c r="R156" i="12" s="1"/>
  <c r="R201" i="9"/>
  <c r="R47" i="9"/>
  <c r="M155" i="17" s="1"/>
  <c r="AN201" i="9"/>
  <c r="AN84" i="11"/>
  <c r="AN206" i="11" s="1"/>
  <c r="AN156" i="12" s="1"/>
  <c r="AN47" i="9"/>
  <c r="AC84" i="11"/>
  <c r="AC206" i="11" s="1"/>
  <c r="AC156" i="12" s="1"/>
  <c r="AC201" i="9"/>
  <c r="AC47" i="9"/>
  <c r="AF81" i="11"/>
  <c r="AF203" i="11" s="1"/>
  <c r="AF153" i="12" s="1"/>
  <c r="AF198" i="9"/>
  <c r="AF44" i="9"/>
  <c r="AD198" i="9"/>
  <c r="AD81" i="11"/>
  <c r="AD203" i="11" s="1"/>
  <c r="AD153" i="12" s="1"/>
  <c r="AD44" i="9"/>
  <c r="O81" i="11"/>
  <c r="O203" i="11" s="1"/>
  <c r="O153" i="12" s="1"/>
  <c r="O198" i="9"/>
  <c r="O44" i="9"/>
  <c r="J152" i="17" s="1"/>
  <c r="AR81" i="11"/>
  <c r="AR203" i="11" s="1"/>
  <c r="AR153" i="12" s="1"/>
  <c r="AR198" i="9"/>
  <c r="AR44" i="9"/>
  <c r="AI81" i="11"/>
  <c r="AI203" i="11" s="1"/>
  <c r="AI153" i="12" s="1"/>
  <c r="AI198" i="9"/>
  <c r="AI44" i="9"/>
  <c r="Z81" i="11"/>
  <c r="Z203" i="11" s="1"/>
  <c r="Z153" i="12" s="1"/>
  <c r="Z198" i="9"/>
  <c r="Z44" i="9"/>
  <c r="Q80" i="11"/>
  <c r="Q202" i="11" s="1"/>
  <c r="Q152" i="12" s="1"/>
  <c r="Q197" i="9"/>
  <c r="Q43" i="9"/>
  <c r="L151" i="17" s="1"/>
  <c r="AD80" i="11"/>
  <c r="AD202" i="11" s="1"/>
  <c r="AD152" i="12" s="1"/>
  <c r="AD197" i="9"/>
  <c r="AD43" i="9"/>
  <c r="U80" i="11"/>
  <c r="U202" i="11" s="1"/>
  <c r="U152" i="12" s="1"/>
  <c r="U197" i="9"/>
  <c r="U43" i="9"/>
  <c r="P151" i="17" s="1"/>
  <c r="T80" i="11"/>
  <c r="T202" i="11" s="1"/>
  <c r="T152" i="12" s="1"/>
  <c r="T197" i="9"/>
  <c r="T43" i="9"/>
  <c r="O151" i="17" s="1"/>
  <c r="S80" i="11"/>
  <c r="S202" i="11" s="1"/>
  <c r="S152" i="12" s="1"/>
  <c r="S43" i="9"/>
  <c r="N151" i="17" s="1"/>
  <c r="S197" i="9"/>
  <c r="J80" i="11"/>
  <c r="J202" i="11" s="1"/>
  <c r="J152" i="12" s="1"/>
  <c r="J197" i="9"/>
  <c r="J43" i="9"/>
  <c r="E151" i="17" s="1"/>
  <c r="T78" i="11"/>
  <c r="T200" i="11" s="1"/>
  <c r="T150" i="12" s="1"/>
  <c r="T195" i="9"/>
  <c r="T41" i="9"/>
  <c r="O149" i="17" s="1"/>
  <c r="AB78" i="11"/>
  <c r="AB200" i="11" s="1"/>
  <c r="AB150" i="12" s="1"/>
  <c r="AB195" i="9"/>
  <c r="AB41" i="9"/>
  <c r="AO78" i="11"/>
  <c r="AO200" i="11" s="1"/>
  <c r="AO150" i="12" s="1"/>
  <c r="AO195" i="9"/>
  <c r="AO41" i="9"/>
  <c r="AN78" i="11"/>
  <c r="AN200" i="11" s="1"/>
  <c r="AN150" i="12" s="1"/>
  <c r="AN195" i="9"/>
  <c r="AN41" i="9"/>
  <c r="W78" i="11"/>
  <c r="W200" i="11" s="1"/>
  <c r="W150" i="12" s="1"/>
  <c r="W195" i="9"/>
  <c r="W41" i="9"/>
  <c r="AS78" i="11"/>
  <c r="AS200" i="11" s="1"/>
  <c r="AS150" i="12" s="1"/>
  <c r="AS195" i="9"/>
  <c r="AS41" i="9"/>
  <c r="AC79" i="11"/>
  <c r="AC201" i="11" s="1"/>
  <c r="AC151" i="12" s="1"/>
  <c r="AC196" i="9"/>
  <c r="AC42" i="9"/>
  <c r="R79" i="11"/>
  <c r="R201" i="11" s="1"/>
  <c r="R151" i="12" s="1"/>
  <c r="R196" i="9"/>
  <c r="R42" i="9"/>
  <c r="M150" i="17" s="1"/>
  <c r="AJ79" i="11"/>
  <c r="AJ201" i="11" s="1"/>
  <c r="AJ151" i="12" s="1"/>
  <c r="AJ196" i="9"/>
  <c r="AJ42" i="9"/>
  <c r="AQ196" i="9"/>
  <c r="AQ79" i="11"/>
  <c r="AQ201" i="11" s="1"/>
  <c r="AQ151" i="12" s="1"/>
  <c r="AQ42" i="9"/>
  <c r="V79" i="11"/>
  <c r="V201" i="11" s="1"/>
  <c r="V151" i="12" s="1"/>
  <c r="V196" i="9"/>
  <c r="V42" i="9"/>
  <c r="AS79" i="11"/>
  <c r="AS201" i="11" s="1"/>
  <c r="AS151" i="12" s="1"/>
  <c r="AS196" i="9"/>
  <c r="AS42" i="9"/>
  <c r="J40" i="10"/>
  <c r="K40" i="10"/>
  <c r="J38" i="10"/>
  <c r="P38" i="10"/>
  <c r="V38" i="10"/>
  <c r="AB38" i="10"/>
  <c r="AH38" i="10"/>
  <c r="AN38" i="10"/>
  <c r="N38" i="10"/>
  <c r="T38" i="10"/>
  <c r="Z38" i="10"/>
  <c r="AF38" i="10"/>
  <c r="AL38" i="10"/>
  <c r="O38" i="10"/>
  <c r="U38" i="10"/>
  <c r="K38" i="10"/>
  <c r="Q38" i="10"/>
  <c r="W38" i="10"/>
  <c r="AC38" i="10"/>
  <c r="AI38" i="10"/>
  <c r="AO38" i="10"/>
  <c r="L38" i="10"/>
  <c r="R38" i="10"/>
  <c r="X38" i="10"/>
  <c r="AD38" i="10"/>
  <c r="AJ38" i="10"/>
  <c r="AP38" i="10"/>
  <c r="M38" i="10"/>
  <c r="S38" i="10"/>
  <c r="Y38" i="10"/>
  <c r="AE38" i="10"/>
  <c r="AK38" i="10"/>
  <c r="AQ38" i="10"/>
  <c r="AR38" i="10"/>
  <c r="AA38" i="10"/>
  <c r="AS38" i="10"/>
  <c r="AG38" i="10"/>
  <c r="AM38" i="10"/>
  <c r="H36" i="10"/>
  <c r="I31" i="18"/>
  <c r="K51" i="2" s="1"/>
  <c r="M51" i="2" s="1"/>
  <c r="J41" i="10"/>
  <c r="P41" i="10"/>
  <c r="AB41" i="10"/>
  <c r="AH41" i="10"/>
  <c r="Q41" i="10"/>
  <c r="AI41" i="10"/>
  <c r="AO41" i="10"/>
  <c r="N41" i="10"/>
  <c r="Z41" i="10"/>
  <c r="AL41" i="10"/>
  <c r="L41" i="10"/>
  <c r="R41" i="10"/>
  <c r="X41" i="10"/>
  <c r="AJ41" i="10"/>
  <c r="AP41" i="10"/>
  <c r="M41" i="10"/>
  <c r="S41" i="10"/>
  <c r="Y41" i="10"/>
  <c r="AE41" i="10"/>
  <c r="AK41" i="10"/>
  <c r="AQ41" i="10"/>
  <c r="T41" i="10"/>
  <c r="AF41" i="10"/>
  <c r="AR41" i="10"/>
  <c r="AA41" i="10"/>
  <c r="AS41" i="10"/>
  <c r="O41" i="10"/>
  <c r="U41" i="10"/>
  <c r="AG41" i="10"/>
  <c r="AM41" i="10"/>
  <c r="V41" i="10"/>
  <c r="AC41" i="10"/>
  <c r="K41" i="10"/>
  <c r="AN41" i="10"/>
  <c r="W41" i="10"/>
  <c r="AD41" i="10"/>
  <c r="I76" i="25"/>
  <c r="K37" i="10"/>
  <c r="K131" i="10"/>
  <c r="K145" i="10" s="1"/>
  <c r="K156" i="10" s="1"/>
  <c r="L33" i="10"/>
  <c r="L40" i="10" s="1"/>
  <c r="K32" i="10"/>
  <c r="K39" i="10" s="1"/>
  <c r="K24" i="10"/>
  <c r="K25" i="10" s="1"/>
  <c r="J25" i="10"/>
  <c r="L50" i="13"/>
  <c r="L51" i="13" s="1"/>
  <c r="L53" i="13" s="1"/>
  <c r="AG37" i="9"/>
  <c r="H261" i="18"/>
  <c r="K11" i="2" s="1"/>
  <c r="M11" i="2" s="1"/>
  <c r="J37" i="9"/>
  <c r="AA37" i="9"/>
  <c r="U61" i="11"/>
  <c r="U183" i="11" s="1"/>
  <c r="U28" i="12" s="1"/>
  <c r="AJ37" i="9"/>
  <c r="Y61" i="11"/>
  <c r="Y183" i="11" s="1"/>
  <c r="Y28" i="12" s="1"/>
  <c r="O37" i="9"/>
  <c r="S61" i="11"/>
  <c r="S183" i="11" s="1"/>
  <c r="S28" i="12" s="1"/>
  <c r="AB37" i="9"/>
  <c r="X37" i="9"/>
  <c r="N61" i="11"/>
  <c r="N183" i="11" s="1"/>
  <c r="N28" i="12" s="1"/>
  <c r="AQ61" i="11"/>
  <c r="AQ183" i="11" s="1"/>
  <c r="AQ28" i="12" s="1"/>
  <c r="AL61" i="11"/>
  <c r="AL183" i="11" s="1"/>
  <c r="AL28" i="12" s="1"/>
  <c r="AM37" i="9"/>
  <c r="AI37" i="9"/>
  <c r="AR61" i="11"/>
  <c r="AR183" i="11" s="1"/>
  <c r="AR28" i="12" s="1"/>
  <c r="AE61" i="11"/>
  <c r="AE183" i="11" s="1"/>
  <c r="AE28" i="12" s="1"/>
  <c r="AO61" i="11"/>
  <c r="AO183" i="11" s="1"/>
  <c r="AO28" i="12" s="1"/>
  <c r="AN37" i="9"/>
  <c r="AC61" i="11"/>
  <c r="AC183" i="11" s="1"/>
  <c r="AC28" i="12" s="1"/>
  <c r="L127" i="9"/>
  <c r="L128" i="9" s="1"/>
  <c r="L130" i="9" s="1"/>
  <c r="M69" i="13"/>
  <c r="L76" i="13"/>
  <c r="L77" i="13" s="1"/>
  <c r="M140" i="9"/>
  <c r="M141" i="9" s="1"/>
  <c r="M146" i="9" s="1"/>
  <c r="N59" i="13"/>
  <c r="M69" i="9"/>
  <c r="M70" i="9" s="1"/>
  <c r="M71" i="13"/>
  <c r="M230" i="9" s="1"/>
  <c r="M229" i="9"/>
  <c r="J56" i="11"/>
  <c r="J178" i="11" s="1"/>
  <c r="J26" i="12" s="1"/>
  <c r="J24" i="9"/>
  <c r="E134" i="17" s="1"/>
  <c r="J178" i="9"/>
  <c r="K61" i="11"/>
  <c r="K183" i="11" s="1"/>
  <c r="K28" i="12" s="1"/>
  <c r="AD37" i="9"/>
  <c r="K56" i="11"/>
  <c r="K178" i="11" s="1"/>
  <c r="K26" i="12" s="1"/>
  <c r="K178" i="9"/>
  <c r="K24" i="9"/>
  <c r="F134" i="17" s="1"/>
  <c r="Z37" i="9"/>
  <c r="L56" i="11"/>
  <c r="L178" i="11" s="1"/>
  <c r="L26" i="12" s="1"/>
  <c r="L178" i="9"/>
  <c r="L24" i="9"/>
  <c r="G134" i="17" s="1"/>
  <c r="L37" i="9"/>
  <c r="T61" i="11"/>
  <c r="T183" i="11" s="1"/>
  <c r="T28" i="12" s="1"/>
  <c r="V37" i="9"/>
  <c r="P61" i="11"/>
  <c r="P183" i="11" s="1"/>
  <c r="P28" i="12" s="1"/>
  <c r="AS61" i="11"/>
  <c r="AS183" i="11" s="1"/>
  <c r="AS28" i="12" s="1"/>
  <c r="R61" i="11"/>
  <c r="R183" i="11" s="1"/>
  <c r="R28" i="12" s="1"/>
  <c r="AK61" i="11"/>
  <c r="AK183" i="11" s="1"/>
  <c r="AK28" i="12" s="1"/>
  <c r="Q61" i="11"/>
  <c r="Q183" i="11" s="1"/>
  <c r="Q28" i="12" s="1"/>
  <c r="AP61" i="11"/>
  <c r="AP183" i="11" s="1"/>
  <c r="AP28" i="12" s="1"/>
  <c r="AF37" i="9"/>
  <c r="W37" i="9"/>
  <c r="AH37" i="9"/>
  <c r="AD36" i="9"/>
  <c r="AD60" i="11"/>
  <c r="AD182" i="10"/>
  <c r="AQ36" i="9"/>
  <c r="AQ38" i="9" s="1"/>
  <c r="AQ60" i="11"/>
  <c r="AQ182" i="10"/>
  <c r="R36" i="9"/>
  <c r="R38" i="9" s="1"/>
  <c r="R182" i="10"/>
  <c r="R60" i="11"/>
  <c r="X36" i="9"/>
  <c r="X182" i="10"/>
  <c r="X60" i="11"/>
  <c r="V182" i="10"/>
  <c r="V36" i="9"/>
  <c r="V60" i="11"/>
  <c r="AI36" i="9"/>
  <c r="AI60" i="11"/>
  <c r="AI182" i="10"/>
  <c r="J36" i="9"/>
  <c r="J182" i="10"/>
  <c r="J60" i="11"/>
  <c r="N60" i="11"/>
  <c r="N36" i="9"/>
  <c r="N38" i="9" s="1"/>
  <c r="N182" i="10"/>
  <c r="AA60" i="11"/>
  <c r="AA182" i="10"/>
  <c r="AA36" i="9"/>
  <c r="AO60" i="11"/>
  <c r="AO36" i="9"/>
  <c r="AO38" i="9" s="1"/>
  <c r="AO182" i="10"/>
  <c r="AM60" i="11"/>
  <c r="AM36" i="9"/>
  <c r="AM182" i="10"/>
  <c r="AS36" i="9"/>
  <c r="AS38" i="9" s="1"/>
  <c r="AS182" i="10"/>
  <c r="AS60" i="11"/>
  <c r="AF36" i="9"/>
  <c r="AF60" i="11"/>
  <c r="AF182" i="10"/>
  <c r="AR60" i="11"/>
  <c r="AR182" i="10"/>
  <c r="AR36" i="9"/>
  <c r="AR38" i="9" s="1"/>
  <c r="S182" i="10"/>
  <c r="S36" i="9"/>
  <c r="S38" i="9" s="1"/>
  <c r="S60" i="11"/>
  <c r="AG60" i="11"/>
  <c r="AG36" i="9"/>
  <c r="AG182" i="10"/>
  <c r="AE60" i="11"/>
  <c r="AE36" i="9"/>
  <c r="AE38" i="9" s="1"/>
  <c r="AE182" i="10"/>
  <c r="AK36" i="9"/>
  <c r="AK38" i="9" s="1"/>
  <c r="AK182" i="10"/>
  <c r="AK60" i="11"/>
  <c r="Z36" i="9"/>
  <c r="Z60" i="11"/>
  <c r="Z182" i="10"/>
  <c r="AJ60" i="11"/>
  <c r="AJ182" i="10"/>
  <c r="AJ36" i="9"/>
  <c r="K182" i="10"/>
  <c r="K36" i="9"/>
  <c r="K38" i="9" s="1"/>
  <c r="K60" i="11"/>
  <c r="Y60" i="11"/>
  <c r="Y182" i="10"/>
  <c r="Y36" i="9"/>
  <c r="Y38" i="9" s="1"/>
  <c r="W60" i="11"/>
  <c r="W36" i="9"/>
  <c r="W182" i="10"/>
  <c r="AC36" i="9"/>
  <c r="AC38" i="9" s="1"/>
  <c r="AC60" i="11"/>
  <c r="AC182" i="10"/>
  <c r="L60" i="11"/>
  <c r="L182" i="10"/>
  <c r="L36" i="9"/>
  <c r="AB60" i="11"/>
  <c r="AB36" i="9"/>
  <c r="AB182" i="10"/>
  <c r="AP36" i="9"/>
  <c r="AP38" i="9" s="1"/>
  <c r="AP60" i="11"/>
  <c r="AP182" i="10"/>
  <c r="Q60" i="11"/>
  <c r="Q182" i="10"/>
  <c r="Q36" i="9"/>
  <c r="Q38" i="9" s="1"/>
  <c r="O60" i="11"/>
  <c r="O36" i="9"/>
  <c r="O182" i="10"/>
  <c r="U36" i="9"/>
  <c r="U38" i="9" s="1"/>
  <c r="U182" i="10"/>
  <c r="U60" i="11"/>
  <c r="P36" i="9"/>
  <c r="P38" i="9" s="1"/>
  <c r="P60" i="11"/>
  <c r="P182" i="10"/>
  <c r="T60" i="11"/>
  <c r="T182" i="10"/>
  <c r="T36" i="9"/>
  <c r="T38" i="9" s="1"/>
  <c r="AH36" i="9"/>
  <c r="AH60" i="11"/>
  <c r="AH182" i="10"/>
  <c r="AN60" i="11"/>
  <c r="AN182" i="10"/>
  <c r="AN36" i="9"/>
  <c r="AL182" i="10"/>
  <c r="AL36" i="9"/>
  <c r="AL38" i="9" s="1"/>
  <c r="AL60" i="11"/>
  <c r="M36" i="9"/>
  <c r="M38" i="9" s="1"/>
  <c r="M182" i="10"/>
  <c r="M60" i="11"/>
  <c r="L177" i="10"/>
  <c r="Z177" i="10"/>
  <c r="AF177" i="10"/>
  <c r="AD177" i="10"/>
  <c r="AQ177" i="10"/>
  <c r="R177" i="10"/>
  <c r="X177" i="10"/>
  <c r="V177" i="10"/>
  <c r="AI177" i="10"/>
  <c r="J177" i="10"/>
  <c r="P177" i="10"/>
  <c r="N177" i="10"/>
  <c r="AA177" i="10"/>
  <c r="AO177" i="10"/>
  <c r="AM177" i="10"/>
  <c r="AS177" i="10"/>
  <c r="AR177" i="10"/>
  <c r="S177" i="10"/>
  <c r="AG177" i="10"/>
  <c r="AE177" i="10"/>
  <c r="AK177" i="10"/>
  <c r="AJ177" i="10"/>
  <c r="K177" i="10"/>
  <c r="Y177" i="10"/>
  <c r="W177" i="10"/>
  <c r="AC177" i="10"/>
  <c r="AB177" i="10"/>
  <c r="AP177" i="10"/>
  <c r="Q177" i="10"/>
  <c r="O177" i="10"/>
  <c r="U177" i="10"/>
  <c r="T177" i="10"/>
  <c r="AH177" i="10"/>
  <c r="AN177" i="10"/>
  <c r="AL177" i="10"/>
  <c r="M177" i="10"/>
  <c r="Q66" i="14"/>
  <c r="Q80" i="14" s="1"/>
  <c r="Q59" i="9" s="1"/>
  <c r="AL243" i="9"/>
  <c r="AL93" i="11"/>
  <c r="AL215" i="11" s="1"/>
  <c r="AD93" i="11"/>
  <c r="AD215" i="11" s="1"/>
  <c r="AD243" i="9"/>
  <c r="AR243" i="9"/>
  <c r="AR93" i="11"/>
  <c r="AR215" i="11" s="1"/>
  <c r="S243" i="9"/>
  <c r="S93" i="11"/>
  <c r="S215" i="11" s="1"/>
  <c r="AG93" i="11"/>
  <c r="AG215" i="11" s="1"/>
  <c r="AG243" i="9"/>
  <c r="M93" i="11"/>
  <c r="M215" i="11" s="1"/>
  <c r="M243" i="9"/>
  <c r="K243" i="9"/>
  <c r="K93" i="11"/>
  <c r="K215" i="11" s="1"/>
  <c r="AB243" i="9"/>
  <c r="AB93" i="11"/>
  <c r="AB215" i="11" s="1"/>
  <c r="AA243" i="9"/>
  <c r="AA93" i="11"/>
  <c r="AA215" i="11" s="1"/>
  <c r="AJ243" i="9"/>
  <c r="AJ93" i="11"/>
  <c r="AJ215" i="11" s="1"/>
  <c r="Q93" i="11"/>
  <c r="Q215" i="11" s="1"/>
  <c r="Q243" i="9"/>
  <c r="AM243" i="9"/>
  <c r="AM93" i="11"/>
  <c r="AM215" i="11" s="1"/>
  <c r="AS243" i="9"/>
  <c r="AS93" i="11"/>
  <c r="AS215" i="11" s="1"/>
  <c r="T93" i="11"/>
  <c r="T215" i="11" s="1"/>
  <c r="T243" i="9"/>
  <c r="AH93" i="11"/>
  <c r="AH215" i="11" s="1"/>
  <c r="AH243" i="9"/>
  <c r="AN243" i="9"/>
  <c r="AN93" i="11"/>
  <c r="AN215" i="11" s="1"/>
  <c r="V93" i="11"/>
  <c r="V215" i="11" s="1"/>
  <c r="V243" i="9"/>
  <c r="AP93" i="11"/>
  <c r="AP215" i="11" s="1"/>
  <c r="AP243" i="9"/>
  <c r="AE243" i="9"/>
  <c r="AE93" i="11"/>
  <c r="AE215" i="11" s="1"/>
  <c r="AK93" i="11"/>
  <c r="AK215" i="11" s="1"/>
  <c r="AK243" i="9"/>
  <c r="L243" i="9"/>
  <c r="L93" i="11"/>
  <c r="L215" i="11" s="1"/>
  <c r="Z243" i="9"/>
  <c r="Z93" i="11"/>
  <c r="Z215" i="11" s="1"/>
  <c r="AF243" i="9"/>
  <c r="AF93" i="11"/>
  <c r="AF215" i="11" s="1"/>
  <c r="K68" i="11"/>
  <c r="K190" i="11" s="1"/>
  <c r="K147" i="12" s="1"/>
  <c r="K190" i="9"/>
  <c r="K29" i="9"/>
  <c r="K89" i="12"/>
  <c r="W243" i="9"/>
  <c r="W93" i="11"/>
  <c r="W215" i="11" s="1"/>
  <c r="AC93" i="11"/>
  <c r="AC215" i="11" s="1"/>
  <c r="AC243" i="9"/>
  <c r="AQ243" i="9"/>
  <c r="AQ93" i="11"/>
  <c r="AQ215" i="11" s="1"/>
  <c r="R243" i="9"/>
  <c r="R93" i="11"/>
  <c r="R215" i="11" s="1"/>
  <c r="X93" i="11"/>
  <c r="X215" i="11" s="1"/>
  <c r="X243" i="9"/>
  <c r="J68" i="11"/>
  <c r="J190" i="11" s="1"/>
  <c r="J147" i="12" s="1"/>
  <c r="J190" i="9"/>
  <c r="J89" i="12"/>
  <c r="J29" i="9"/>
  <c r="AO93" i="11"/>
  <c r="AO215" i="11" s="1"/>
  <c r="AO243" i="9"/>
  <c r="Y93" i="11"/>
  <c r="Y215" i="11" s="1"/>
  <c r="Y243" i="9"/>
  <c r="N243" i="9"/>
  <c r="N93" i="11"/>
  <c r="N215" i="11" s="1"/>
  <c r="O243" i="9"/>
  <c r="O93" i="11"/>
  <c r="O215" i="11" s="1"/>
  <c r="U93" i="11"/>
  <c r="U215" i="11" s="1"/>
  <c r="U243" i="9"/>
  <c r="AI243" i="9"/>
  <c r="AI93" i="11"/>
  <c r="AI215" i="11" s="1"/>
  <c r="J76" i="14"/>
  <c r="K66" i="14"/>
  <c r="K80" i="14" s="1"/>
  <c r="K59" i="9" s="1"/>
  <c r="L66" i="14"/>
  <c r="L80" i="14" s="1"/>
  <c r="L59" i="9" s="1"/>
  <c r="J66" i="14"/>
  <c r="J80" i="14" s="1"/>
  <c r="J59" i="9" s="1"/>
  <c r="N66" i="14"/>
  <c r="N80" i="14" s="1"/>
  <c r="N59" i="9" s="1"/>
  <c r="O66" i="14"/>
  <c r="O80" i="14" s="1"/>
  <c r="O59" i="9" s="1"/>
  <c r="M66" i="14"/>
  <c r="M80" i="14" s="1"/>
  <c r="M59" i="9" s="1"/>
  <c r="P66" i="14"/>
  <c r="P80" i="14" s="1"/>
  <c r="P59" i="9" s="1"/>
  <c r="P93" i="11"/>
  <c r="P215" i="11" s="1"/>
  <c r="P243" i="9"/>
  <c r="L68" i="11"/>
  <c r="L190" i="11" s="1"/>
  <c r="L147" i="12" s="1"/>
  <c r="L190" i="9"/>
  <c r="L89" i="12"/>
  <c r="L29" i="9"/>
  <c r="R66" i="14"/>
  <c r="R80" i="14" s="1"/>
  <c r="R59" i="9" s="1"/>
  <c r="T66" i="14"/>
  <c r="T80" i="14" s="1"/>
  <c r="T59" i="9" s="1"/>
  <c r="AI45" i="14"/>
  <c r="AI33" i="14"/>
  <c r="AC33" i="14"/>
  <c r="AC45" i="14"/>
  <c r="AH45" i="14"/>
  <c r="AH33" i="14"/>
  <c r="AN45" i="14"/>
  <c r="AN33" i="14"/>
  <c r="AL33" i="14"/>
  <c r="AL45" i="14"/>
  <c r="M33" i="14"/>
  <c r="M45" i="14"/>
  <c r="AK56" i="14"/>
  <c r="S55" i="14"/>
  <c r="Y33" i="14"/>
  <c r="Y45" i="14"/>
  <c r="Z33" i="14"/>
  <c r="Z45" i="14"/>
  <c r="AF45" i="14"/>
  <c r="AF33" i="14"/>
  <c r="AD33" i="14"/>
  <c r="AD45" i="14"/>
  <c r="AR33" i="14"/>
  <c r="AR45" i="14"/>
  <c r="X45" i="14"/>
  <c r="X33" i="14"/>
  <c r="K33" i="14"/>
  <c r="K45" i="14"/>
  <c r="J33" i="14"/>
  <c r="J45" i="14"/>
  <c r="P45" i="14"/>
  <c r="P33" i="14"/>
  <c r="N33" i="14"/>
  <c r="N45" i="14"/>
  <c r="AB33" i="14"/>
  <c r="AB45" i="14"/>
  <c r="U64" i="14"/>
  <c r="AA33" i="14"/>
  <c r="AA45" i="14"/>
  <c r="R33" i="14"/>
  <c r="R45" i="14"/>
  <c r="V33" i="14"/>
  <c r="V45" i="14"/>
  <c r="AJ33" i="14"/>
  <c r="AJ45" i="14"/>
  <c r="S33" i="14"/>
  <c r="S45" i="14"/>
  <c r="AO33" i="14"/>
  <c r="AO45" i="14"/>
  <c r="AM45" i="14"/>
  <c r="AM33" i="14"/>
  <c r="AS33" i="14"/>
  <c r="AS45" i="14"/>
  <c r="T33" i="14"/>
  <c r="T45" i="14"/>
  <c r="V64" i="14"/>
  <c r="AG65" i="14" s="1"/>
  <c r="AQ33" i="14"/>
  <c r="AQ45" i="14"/>
  <c r="AG33" i="14"/>
  <c r="AG45" i="14"/>
  <c r="AE45" i="14"/>
  <c r="AE33" i="14"/>
  <c r="AK33" i="14"/>
  <c r="AK45" i="14"/>
  <c r="L33" i="14"/>
  <c r="L45" i="14"/>
  <c r="S66" i="14"/>
  <c r="S80" i="14" s="1"/>
  <c r="S59" i="9" s="1"/>
  <c r="W45" i="14"/>
  <c r="W33" i="14"/>
  <c r="AP33" i="14"/>
  <c r="AP45" i="14"/>
  <c r="Q33" i="14"/>
  <c r="Q45" i="14"/>
  <c r="O45" i="14"/>
  <c r="O33" i="14"/>
  <c r="U33" i="14"/>
  <c r="U45" i="14"/>
  <c r="T55" i="14"/>
  <c r="AI56" i="14" s="1"/>
  <c r="AA63" i="14"/>
  <c r="O172" i="12"/>
  <c r="O193" i="12"/>
  <c r="U367" i="11"/>
  <c r="X367" i="11" s="1"/>
  <c r="K54" i="13"/>
  <c r="K55" i="13" s="1"/>
  <c r="R131" i="15"/>
  <c r="R132" i="15" s="1"/>
  <c r="Q149" i="15"/>
  <c r="Q151" i="15" s="1"/>
  <c r="Q152" i="15" s="1"/>
  <c r="Q153" i="15" s="1"/>
  <c r="Q134" i="15"/>
  <c r="Q135" i="15" s="1"/>
  <c r="Q141" i="15" s="1"/>
  <c r="Q265" i="9" s="1"/>
  <c r="Q143" i="9"/>
  <c r="Q144" i="9" s="1"/>
  <c r="K28" i="14"/>
  <c r="P28" i="14"/>
  <c r="AB28" i="14"/>
  <c r="S138" i="15"/>
  <c r="R148" i="15"/>
  <c r="R139" i="15"/>
  <c r="AO28" i="14"/>
  <c r="AM28" i="14"/>
  <c r="T28" i="14"/>
  <c r="AP28" i="14"/>
  <c r="AI28" i="14"/>
  <c r="Y28" i="14"/>
  <c r="W28" i="14"/>
  <c r="AC28" i="14"/>
  <c r="N28" i="14"/>
  <c r="Q103" i="9"/>
  <c r="Q104" i="9" s="1"/>
  <c r="Q89" i="15"/>
  <c r="Q91" i="15" s="1"/>
  <c r="Q92" i="15" s="1"/>
  <c r="Q93" i="15" s="1"/>
  <c r="R71" i="15"/>
  <c r="R72" i="15" s="1"/>
  <c r="Q74" i="15"/>
  <c r="Q75" i="15" s="1"/>
  <c r="Q81" i="15" s="1"/>
  <c r="Q246" i="9" s="1"/>
  <c r="Q247" i="9" s="1"/>
  <c r="AG28" i="14"/>
  <c r="L28" i="14"/>
  <c r="AS28" i="14"/>
  <c r="Q28" i="14"/>
  <c r="O28" i="14"/>
  <c r="U28" i="14"/>
  <c r="O119" i="15"/>
  <c r="O121" i="15" s="1"/>
  <c r="O122" i="15" s="1"/>
  <c r="O123" i="15" s="1"/>
  <c r="O104" i="15"/>
  <c r="O105" i="15" s="1"/>
  <c r="O111" i="15" s="1"/>
  <c r="O215" i="9" s="1"/>
  <c r="O216" i="9" s="1"/>
  <c r="O134" i="9"/>
  <c r="O135" i="9" s="1"/>
  <c r="P101" i="15"/>
  <c r="P102" i="15" s="1"/>
  <c r="S28" i="14"/>
  <c r="AH28" i="14"/>
  <c r="AN28" i="14"/>
  <c r="AL28" i="14"/>
  <c r="M28" i="14"/>
  <c r="Q108" i="15"/>
  <c r="P118" i="15"/>
  <c r="P109" i="15"/>
  <c r="AQ28" i="14"/>
  <c r="AK28" i="14"/>
  <c r="P169" i="15"/>
  <c r="Q168" i="15"/>
  <c r="P178" i="15"/>
  <c r="P161" i="15"/>
  <c r="P162" i="15" s="1"/>
  <c r="O179" i="15"/>
  <c r="O181" i="15" s="1"/>
  <c r="O182" i="15" s="1"/>
  <c r="O183" i="15" s="1"/>
  <c r="O164" i="15"/>
  <c r="O165" i="15" s="1"/>
  <c r="O171" i="15" s="1"/>
  <c r="O266" i="9" s="1"/>
  <c r="O267" i="9" s="1"/>
  <c r="O282" i="9" s="1"/>
  <c r="O154" i="9"/>
  <c r="O155" i="9" s="1"/>
  <c r="Z28" i="14"/>
  <c r="AF28" i="14"/>
  <c r="AD28" i="14"/>
  <c r="AR28" i="14"/>
  <c r="J28" i="14"/>
  <c r="R79" i="15"/>
  <c r="S78" i="15"/>
  <c r="R88" i="15"/>
  <c r="AE28" i="14"/>
  <c r="AA28" i="14"/>
  <c r="R28" i="14"/>
  <c r="X28" i="14"/>
  <c r="V28" i="14"/>
  <c r="AJ28" i="14"/>
  <c r="P62" i="15"/>
  <c r="P63" i="15" s="1"/>
  <c r="Q59" i="15"/>
  <c r="Q61" i="15" s="1"/>
  <c r="Q44" i="15"/>
  <c r="Q45" i="15" s="1"/>
  <c r="Q51" i="15" s="1"/>
  <c r="Q237" i="9" s="1"/>
  <c r="Q238" i="9" s="1"/>
  <c r="R41" i="15"/>
  <c r="R42" i="15" s="1"/>
  <c r="Q94" i="9"/>
  <c r="Q95" i="9" s="1"/>
  <c r="N156" i="13"/>
  <c r="N88" i="13"/>
  <c r="O258" i="12"/>
  <c r="O250" i="12"/>
  <c r="O164" i="12"/>
  <c r="R49" i="15"/>
  <c r="S48" i="15"/>
  <c r="R58" i="15"/>
  <c r="R96" i="12"/>
  <c r="R97" i="12" s="1"/>
  <c r="O146" i="11"/>
  <c r="O133" i="11"/>
  <c r="O128" i="11"/>
  <c r="N44" i="13"/>
  <c r="N68" i="9" s="1"/>
  <c r="N37" i="13"/>
  <c r="N139" i="9" s="1"/>
  <c r="M46" i="13"/>
  <c r="M126" i="9" s="1"/>
  <c r="AA162" i="11"/>
  <c r="AD162" i="11" s="1"/>
  <c r="D187" i="8"/>
  <c r="D186" i="8"/>
  <c r="D185" i="8"/>
  <c r="D184" i="8"/>
  <c r="D183" i="8"/>
  <c r="D182" i="8"/>
  <c r="D181" i="8"/>
  <c r="D180" i="8"/>
  <c r="D179" i="8"/>
  <c r="D178" i="8"/>
  <c r="D177" i="8"/>
  <c r="D176" i="8"/>
  <c r="B223" i="11"/>
  <c r="B222" i="11"/>
  <c r="B221" i="11"/>
  <c r="B220" i="11"/>
  <c r="I213" i="11"/>
  <c r="B213" i="11"/>
  <c r="B216" i="11" s="1"/>
  <c r="I209" i="11"/>
  <c r="B209" i="11"/>
  <c r="B211" i="11" s="1"/>
  <c r="I198" i="11"/>
  <c r="B198" i="11"/>
  <c r="B207" i="11" s="1"/>
  <c r="I194" i="11"/>
  <c r="B194" i="11"/>
  <c r="B196" i="11" s="1"/>
  <c r="I188" i="11"/>
  <c r="B188" i="11"/>
  <c r="B192" i="11" s="1"/>
  <c r="I181" i="11"/>
  <c r="B181" i="11"/>
  <c r="B184" i="11" s="1"/>
  <c r="I173" i="11"/>
  <c r="B173" i="11"/>
  <c r="B179" i="11" s="1"/>
  <c r="B169" i="11"/>
  <c r="B225" i="11" s="1"/>
  <c r="B167" i="11"/>
  <c r="B154" i="11"/>
  <c r="B145" i="11"/>
  <c r="B141" i="11"/>
  <c r="B132" i="11"/>
  <c r="B120" i="11"/>
  <c r="B118" i="11"/>
  <c r="B117" i="11"/>
  <c r="B116" i="11"/>
  <c r="B110" i="11"/>
  <c r="B109" i="11"/>
  <c r="B108" i="11"/>
  <c r="B107" i="11"/>
  <c r="B106" i="11"/>
  <c r="B105" i="11"/>
  <c r="B104" i="11"/>
  <c r="B101" i="11"/>
  <c r="B94" i="11"/>
  <c r="B89" i="11"/>
  <c r="B85" i="11"/>
  <c r="B74" i="11"/>
  <c r="B70" i="11"/>
  <c r="B62" i="11"/>
  <c r="B57" i="11"/>
  <c r="B42" i="11"/>
  <c r="B40" i="11"/>
  <c r="B33" i="11"/>
  <c r="B32" i="11"/>
  <c r="B26" i="11"/>
  <c r="B158" i="13"/>
  <c r="B156" i="13"/>
  <c r="E83" i="17"/>
  <c r="F83" i="17"/>
  <c r="G83" i="17"/>
  <c r="H83" i="17"/>
  <c r="I83" i="17"/>
  <c r="J83" i="17"/>
  <c r="K83" i="17"/>
  <c r="L83" i="17"/>
  <c r="M83" i="17"/>
  <c r="N83" i="17"/>
  <c r="O83" i="17"/>
  <c r="P83" i="17"/>
  <c r="B155" i="13"/>
  <c r="F82" i="17"/>
  <c r="G82" i="17"/>
  <c r="H82" i="17"/>
  <c r="I82" i="17"/>
  <c r="J82" i="17"/>
  <c r="K82" i="17"/>
  <c r="L82" i="17"/>
  <c r="M82" i="17"/>
  <c r="N82" i="17"/>
  <c r="O82" i="17"/>
  <c r="P82" i="17"/>
  <c r="B154" i="13"/>
  <c r="B153" i="13"/>
  <c r="B152" i="13"/>
  <c r="B137" i="13"/>
  <c r="B136" i="13"/>
  <c r="B133" i="13"/>
  <c r="B130" i="13"/>
  <c r="B129" i="13"/>
  <c r="B127" i="13"/>
  <c r="B126" i="13"/>
  <c r="B124" i="13"/>
  <c r="B123" i="13"/>
  <c r="B122" i="13"/>
  <c r="B119" i="13"/>
  <c r="B117" i="13"/>
  <c r="B96" i="13"/>
  <c r="B62" i="9"/>
  <c r="B53" i="9"/>
  <c r="B31" i="9"/>
  <c r="B25" i="9"/>
  <c r="P168" i="12" l="1"/>
  <c r="Q168" i="12"/>
  <c r="U168" i="12"/>
  <c r="M91" i="10"/>
  <c r="M100" i="10" s="1"/>
  <c r="M106" i="10" s="1"/>
  <c r="M69" i="10"/>
  <c r="M77" i="10" s="1"/>
  <c r="V168" i="12"/>
  <c r="J168" i="12"/>
  <c r="S168" i="12"/>
  <c r="AM168" i="12"/>
  <c r="AD168" i="12"/>
  <c r="X168" i="12"/>
  <c r="AQ168" i="12"/>
  <c r="AA168" i="12"/>
  <c r="AS168" i="12"/>
  <c r="N168" i="12"/>
  <c r="Y168" i="12"/>
  <c r="AH168" i="12"/>
  <c r="AO168" i="12"/>
  <c r="Q151" i="17"/>
  <c r="N40" i="12"/>
  <c r="N41" i="12" s="1"/>
  <c r="O34" i="12"/>
  <c r="O168" i="12"/>
  <c r="AG168" i="12"/>
  <c r="AB168" i="12"/>
  <c r="AI168" i="12"/>
  <c r="AK168" i="12"/>
  <c r="Q149" i="17"/>
  <c r="M168" i="12"/>
  <c r="AN168" i="12"/>
  <c r="L168" i="12"/>
  <c r="T168" i="12"/>
  <c r="AP168" i="12"/>
  <c r="AF168" i="12"/>
  <c r="Q152" i="17"/>
  <c r="AL168" i="12"/>
  <c r="AR168" i="12"/>
  <c r="N22" i="10"/>
  <c r="N61" i="10" s="1"/>
  <c r="M30" i="10"/>
  <c r="AC168" i="12"/>
  <c r="Z168" i="12"/>
  <c r="AJ168" i="12"/>
  <c r="AE168" i="12"/>
  <c r="K82" i="11"/>
  <c r="K204" i="11" s="1"/>
  <c r="K154" i="12" s="1"/>
  <c r="K199" i="9"/>
  <c r="K45" i="9"/>
  <c r="F153" i="17" s="1"/>
  <c r="Q155" i="17"/>
  <c r="Q150" i="17"/>
  <c r="W168" i="12"/>
  <c r="K168" i="12"/>
  <c r="J36" i="10"/>
  <c r="J43" i="10" s="1"/>
  <c r="J44" i="10" s="1"/>
  <c r="P36" i="10"/>
  <c r="V36" i="10"/>
  <c r="AB36" i="10"/>
  <c r="AH36" i="10"/>
  <c r="AN36" i="10"/>
  <c r="AF36" i="10"/>
  <c r="O36" i="10"/>
  <c r="U36" i="10"/>
  <c r="AG36" i="10"/>
  <c r="AM36" i="10"/>
  <c r="K36" i="10"/>
  <c r="K43" i="10" s="1"/>
  <c r="K44" i="10" s="1"/>
  <c r="Q36" i="10"/>
  <c r="W36" i="10"/>
  <c r="AC36" i="10"/>
  <c r="AI36" i="10"/>
  <c r="AO36" i="10"/>
  <c r="AA36" i="10"/>
  <c r="AS36" i="10"/>
  <c r="L36" i="10"/>
  <c r="R36" i="10"/>
  <c r="X36" i="10"/>
  <c r="AD36" i="10"/>
  <c r="AJ36" i="10"/>
  <c r="AP36" i="10"/>
  <c r="T36" i="10"/>
  <c r="Z36" i="10"/>
  <c r="AL36" i="10"/>
  <c r="AR36" i="10"/>
  <c r="M36" i="10"/>
  <c r="S36" i="10"/>
  <c r="Y36" i="10"/>
  <c r="AE36" i="10"/>
  <c r="AK36" i="10"/>
  <c r="AQ36" i="10"/>
  <c r="N36" i="10"/>
  <c r="J76" i="25"/>
  <c r="AG38" i="9"/>
  <c r="O38" i="9"/>
  <c r="J38" i="9"/>
  <c r="AA38" i="9"/>
  <c r="AJ38" i="9"/>
  <c r="AB38" i="9"/>
  <c r="AD38" i="9"/>
  <c r="AN38" i="9"/>
  <c r="X38" i="9"/>
  <c r="AM38" i="9"/>
  <c r="AI38" i="9"/>
  <c r="L54" i="13"/>
  <c r="L55" i="13" s="1"/>
  <c r="M72" i="13"/>
  <c r="M74" i="13" s="1"/>
  <c r="M76" i="13" s="1"/>
  <c r="L79" i="13"/>
  <c r="L80" i="13"/>
  <c r="M231" i="9"/>
  <c r="M233" i="9" s="1"/>
  <c r="N70" i="13"/>
  <c r="N63" i="13"/>
  <c r="W38" i="9"/>
  <c r="Z38" i="9"/>
  <c r="V38" i="9"/>
  <c r="L38" i="9"/>
  <c r="AF38" i="9"/>
  <c r="AH38" i="9"/>
  <c r="AP62" i="11"/>
  <c r="AP182" i="11"/>
  <c r="AP27" i="12" s="1"/>
  <c r="Y62" i="11"/>
  <c r="Y182" i="11"/>
  <c r="Y27" i="12" s="1"/>
  <c r="AC182" i="11"/>
  <c r="AC27" i="12" s="1"/>
  <c r="AC62" i="11"/>
  <c r="V182" i="11"/>
  <c r="V27" i="12" s="1"/>
  <c r="V62" i="11"/>
  <c r="T182" i="11"/>
  <c r="T27" i="12" s="1"/>
  <c r="T62" i="11"/>
  <c r="AK182" i="11"/>
  <c r="AK27" i="12" s="1"/>
  <c r="AK62" i="11"/>
  <c r="AG182" i="11"/>
  <c r="AG27" i="12" s="1"/>
  <c r="AG62" i="11"/>
  <c r="AF182" i="11"/>
  <c r="AF27" i="12" s="1"/>
  <c r="AF62" i="11"/>
  <c r="N62" i="11"/>
  <c r="N182" i="11"/>
  <c r="N27" i="12" s="1"/>
  <c r="Z62" i="11"/>
  <c r="Z182" i="11"/>
  <c r="Z27" i="12" s="1"/>
  <c r="K182" i="11"/>
  <c r="K27" i="12" s="1"/>
  <c r="K62" i="11"/>
  <c r="AM62" i="11"/>
  <c r="AM182" i="11"/>
  <c r="AM27" i="12" s="1"/>
  <c r="O62" i="11"/>
  <c r="O182" i="11"/>
  <c r="O27" i="12" s="1"/>
  <c r="S182" i="11"/>
  <c r="S27" i="12" s="1"/>
  <c r="S62" i="11"/>
  <c r="J182" i="11"/>
  <c r="J27" i="12" s="1"/>
  <c r="J62" i="11"/>
  <c r="AQ182" i="11"/>
  <c r="AQ27" i="12" s="1"/>
  <c r="AQ62" i="11"/>
  <c r="AR182" i="11"/>
  <c r="AR27" i="12" s="1"/>
  <c r="AR62" i="11"/>
  <c r="M182" i="11"/>
  <c r="M27" i="12" s="1"/>
  <c r="M62" i="11"/>
  <c r="AN182" i="11"/>
  <c r="AN27" i="12" s="1"/>
  <c r="AN62" i="11"/>
  <c r="P182" i="11"/>
  <c r="P27" i="12" s="1"/>
  <c r="P62" i="11"/>
  <c r="AB62" i="11"/>
  <c r="AB182" i="11"/>
  <c r="AB27" i="12" s="1"/>
  <c r="AS182" i="11"/>
  <c r="AS27" i="12" s="1"/>
  <c r="AS62" i="11"/>
  <c r="AO62" i="11"/>
  <c r="AO182" i="11"/>
  <c r="AO27" i="12" s="1"/>
  <c r="X182" i="11"/>
  <c r="X27" i="12" s="1"/>
  <c r="X62" i="11"/>
  <c r="W182" i="11"/>
  <c r="W27" i="12" s="1"/>
  <c r="W62" i="11"/>
  <c r="AH182" i="11"/>
  <c r="AH27" i="12" s="1"/>
  <c r="AH62" i="11"/>
  <c r="U182" i="11"/>
  <c r="U27" i="12" s="1"/>
  <c r="U62" i="11"/>
  <c r="Q62" i="11"/>
  <c r="Q182" i="11"/>
  <c r="Q27" i="12" s="1"/>
  <c r="AJ182" i="11"/>
  <c r="AJ27" i="12" s="1"/>
  <c r="AJ62" i="11"/>
  <c r="AD62" i="11"/>
  <c r="AD182" i="11"/>
  <c r="AD27" i="12" s="1"/>
  <c r="AL62" i="11"/>
  <c r="AL182" i="11"/>
  <c r="AL27" i="12" s="1"/>
  <c r="L62" i="11"/>
  <c r="L182" i="11"/>
  <c r="L27" i="12" s="1"/>
  <c r="AE62" i="11"/>
  <c r="AE182" i="11"/>
  <c r="AE27" i="12" s="1"/>
  <c r="AA182" i="11"/>
  <c r="AA27" i="12" s="1"/>
  <c r="AA62" i="11"/>
  <c r="AI182" i="11"/>
  <c r="AI27" i="12" s="1"/>
  <c r="AI62" i="11"/>
  <c r="R62" i="11"/>
  <c r="R182" i="11"/>
  <c r="R27" i="12" s="1"/>
  <c r="AS184" i="10"/>
  <c r="M184" i="10"/>
  <c r="Y184" i="10"/>
  <c r="AE184" i="10"/>
  <c r="N184" i="10"/>
  <c r="V184" i="10"/>
  <c r="AD184" i="10"/>
  <c r="U184" i="10"/>
  <c r="AF184" i="10"/>
  <c r="T184" i="10"/>
  <c r="AP184" i="10"/>
  <c r="AL184" i="10"/>
  <c r="AB184" i="10"/>
  <c r="K184" i="10"/>
  <c r="AG184" i="10"/>
  <c r="AM184" i="10"/>
  <c r="P184" i="10"/>
  <c r="X184" i="10"/>
  <c r="M58" i="2"/>
  <c r="O184" i="10"/>
  <c r="AJ184" i="10"/>
  <c r="AO184" i="10"/>
  <c r="J184" i="10"/>
  <c r="Z184" i="10"/>
  <c r="AN184" i="10"/>
  <c r="AC184" i="10"/>
  <c r="S184" i="10"/>
  <c r="R184" i="10"/>
  <c r="AH184" i="10"/>
  <c r="AK184" i="10"/>
  <c r="AR184" i="10"/>
  <c r="AA184" i="10"/>
  <c r="AQ184" i="10"/>
  <c r="Q184" i="10"/>
  <c r="W184" i="10"/>
  <c r="AI184" i="10"/>
  <c r="L184" i="10"/>
  <c r="J67" i="14"/>
  <c r="J93" i="11"/>
  <c r="J215" i="11" s="1"/>
  <c r="J243" i="9"/>
  <c r="O190" i="12"/>
  <c r="O191" i="12" s="1"/>
  <c r="O169" i="12"/>
  <c r="O170" i="12" s="1"/>
  <c r="AD47" i="14"/>
  <c r="AD53" i="14"/>
  <c r="AD75" i="14" s="1"/>
  <c r="AM47" i="14"/>
  <c r="AM53" i="14"/>
  <c r="AM75" i="14" s="1"/>
  <c r="AJ56" i="14"/>
  <c r="AN47" i="14"/>
  <c r="AN53" i="14"/>
  <c r="AN75" i="14" s="1"/>
  <c r="L47" i="14"/>
  <c r="L53" i="14"/>
  <c r="L75" i="14" s="1"/>
  <c r="V47" i="14"/>
  <c r="V53" i="14"/>
  <c r="V75" i="14" s="1"/>
  <c r="AP47" i="14"/>
  <c r="AP53" i="14"/>
  <c r="AP75" i="14" s="1"/>
  <c r="AP92" i="11" s="1"/>
  <c r="AK53" i="14"/>
  <c r="AK75" i="14" s="1"/>
  <c r="AK47" i="14"/>
  <c r="AO47" i="14"/>
  <c r="AO53" i="14"/>
  <c r="AO75" i="14" s="1"/>
  <c r="R47" i="14"/>
  <c r="R53" i="14"/>
  <c r="R75" i="14" s="1"/>
  <c r="N47" i="14"/>
  <c r="N53" i="14"/>
  <c r="N75" i="14" s="1"/>
  <c r="Q47" i="14"/>
  <c r="Q53" i="14"/>
  <c r="Q75" i="14" s="1"/>
  <c r="AQ47" i="14"/>
  <c r="AQ53" i="14"/>
  <c r="AQ75" i="14" s="1"/>
  <c r="AB47" i="14"/>
  <c r="AB53" i="14"/>
  <c r="AB75" i="14" s="1"/>
  <c r="X47" i="14"/>
  <c r="X53" i="14"/>
  <c r="X75" i="14" s="1"/>
  <c r="AF47" i="14"/>
  <c r="AF53" i="14"/>
  <c r="AF75" i="14" s="1"/>
  <c r="AH47" i="14"/>
  <c r="AH53" i="14"/>
  <c r="AH75" i="14" s="1"/>
  <c r="K47" i="14"/>
  <c r="K53" i="14"/>
  <c r="K75" i="14" s="1"/>
  <c r="U47" i="14"/>
  <c r="U53" i="14"/>
  <c r="U75" i="14" s="1"/>
  <c r="T47" i="14"/>
  <c r="T53" i="14"/>
  <c r="T75" i="14" s="1"/>
  <c r="S47" i="14"/>
  <c r="S53" i="14"/>
  <c r="S75" i="14" s="1"/>
  <c r="AA47" i="14"/>
  <c r="AA53" i="14"/>
  <c r="AA75" i="14" s="1"/>
  <c r="U55" i="14"/>
  <c r="Z47" i="14"/>
  <c r="Z53" i="14"/>
  <c r="Z75" i="14" s="1"/>
  <c r="M47" i="14"/>
  <c r="M53" i="14"/>
  <c r="M75" i="14" s="1"/>
  <c r="AC47" i="14"/>
  <c r="AC53" i="14"/>
  <c r="AC75" i="14" s="1"/>
  <c r="W47" i="14"/>
  <c r="W53" i="14"/>
  <c r="W75" i="14" s="1"/>
  <c r="AE47" i="14"/>
  <c r="AE53" i="14"/>
  <c r="AE75" i="14" s="1"/>
  <c r="P47" i="14"/>
  <c r="P53" i="14"/>
  <c r="P75" i="14" s="1"/>
  <c r="W64" i="14"/>
  <c r="AG53" i="14"/>
  <c r="AG75" i="14" s="1"/>
  <c r="AG47" i="14"/>
  <c r="AS47" i="14"/>
  <c r="AS53" i="14"/>
  <c r="AS75" i="14" s="1"/>
  <c r="AS242" i="9" s="1"/>
  <c r="AS244" i="9" s="1"/>
  <c r="AJ47" i="14"/>
  <c r="AJ53" i="14"/>
  <c r="AJ75" i="14" s="1"/>
  <c r="J47" i="14"/>
  <c r="J53" i="14"/>
  <c r="AR47" i="14"/>
  <c r="AR53" i="14"/>
  <c r="AR75" i="14" s="1"/>
  <c r="Y47" i="14"/>
  <c r="Y53" i="14"/>
  <c r="Y75" i="14" s="1"/>
  <c r="AL47" i="14"/>
  <c r="AL53" i="14"/>
  <c r="AL75" i="14" s="1"/>
  <c r="O47" i="14"/>
  <c r="O53" i="14"/>
  <c r="O75" i="14" s="1"/>
  <c r="AH65" i="14"/>
  <c r="U66" i="14" s="1"/>
  <c r="U80" i="14" s="1"/>
  <c r="U59" i="9" s="1"/>
  <c r="AI47" i="14"/>
  <c r="AI53" i="14"/>
  <c r="AI75" i="14" s="1"/>
  <c r="AB63" i="14"/>
  <c r="O194" i="12"/>
  <c r="O173" i="12"/>
  <c r="AA367" i="11"/>
  <c r="AD367" i="11" s="1"/>
  <c r="AG367" i="11" s="1"/>
  <c r="AJ367" i="11" s="1"/>
  <c r="AP35" i="14"/>
  <c r="AP36" i="14" s="1"/>
  <c r="AP37" i="14" s="1"/>
  <c r="AP38" i="14" s="1"/>
  <c r="Q169" i="15"/>
  <c r="R168" i="15"/>
  <c r="Q178" i="15"/>
  <c r="Q101" i="15"/>
  <c r="Q102" i="15" s="1"/>
  <c r="P119" i="15"/>
  <c r="P121" i="15" s="1"/>
  <c r="P122" i="15" s="1"/>
  <c r="P123" i="15" s="1"/>
  <c r="P134" i="9"/>
  <c r="P135" i="9" s="1"/>
  <c r="P104" i="15"/>
  <c r="P105" i="15" s="1"/>
  <c r="P111" i="15" s="1"/>
  <c r="P215" i="9" s="1"/>
  <c r="P216" i="9" s="1"/>
  <c r="AH35" i="14"/>
  <c r="AH36" i="14" s="1"/>
  <c r="AH37" i="14" s="1"/>
  <c r="AH38" i="14" s="1"/>
  <c r="U35" i="14"/>
  <c r="U36" i="14" s="1"/>
  <c r="U37" i="14" s="1"/>
  <c r="U38" i="14" s="1"/>
  <c r="Y35" i="14"/>
  <c r="Y36" i="14" s="1"/>
  <c r="Y37" i="14" s="1"/>
  <c r="Y38" i="14" s="1"/>
  <c r="Q118" i="15"/>
  <c r="R108" i="15"/>
  <c r="Q109" i="15"/>
  <c r="P35" i="14"/>
  <c r="P36" i="14" s="1"/>
  <c r="P37" i="14" s="1"/>
  <c r="P38" i="14" s="1"/>
  <c r="AD35" i="14"/>
  <c r="AD36" i="14" s="1"/>
  <c r="AD37" i="14" s="1"/>
  <c r="AD38" i="14" s="1"/>
  <c r="Z35" i="14"/>
  <c r="Z36" i="14" s="1"/>
  <c r="Z37" i="14" s="1"/>
  <c r="Z38" i="14" s="1"/>
  <c r="R149" i="15"/>
  <c r="R151" i="15" s="1"/>
  <c r="R152" i="15" s="1"/>
  <c r="R153" i="15" s="1"/>
  <c r="R134" i="15"/>
  <c r="R135" i="15" s="1"/>
  <c r="R141" i="15" s="1"/>
  <c r="R265" i="9" s="1"/>
  <c r="S131" i="15"/>
  <c r="S132" i="15" s="1"/>
  <c r="R143" i="9"/>
  <c r="R144" i="9" s="1"/>
  <c r="S35" i="14"/>
  <c r="S36" i="14" s="1"/>
  <c r="S37" i="14" s="1"/>
  <c r="S38" i="14" s="1"/>
  <c r="AO35" i="14"/>
  <c r="AO36" i="14" s="1"/>
  <c r="AO37" i="14" s="1"/>
  <c r="AO38" i="14" s="1"/>
  <c r="T78" i="15"/>
  <c r="S88" i="15"/>
  <c r="S79" i="15"/>
  <c r="AJ35" i="14"/>
  <c r="AJ36" i="14" s="1"/>
  <c r="AJ37" i="14" s="1"/>
  <c r="AJ38" i="14" s="1"/>
  <c r="AA35" i="14"/>
  <c r="AA36" i="14" s="1"/>
  <c r="AA37" i="14" s="1"/>
  <c r="AA38" i="14" s="1"/>
  <c r="AQ35" i="14"/>
  <c r="AQ36" i="14" s="1"/>
  <c r="AQ37" i="14" s="1"/>
  <c r="AQ38" i="14" s="1"/>
  <c r="L35" i="14"/>
  <c r="L36" i="14" s="1"/>
  <c r="L37" i="14" s="1"/>
  <c r="L38" i="14" s="1"/>
  <c r="AC35" i="14"/>
  <c r="AC36" i="14" s="1"/>
  <c r="AC37" i="14" s="1"/>
  <c r="AC38" i="14" s="1"/>
  <c r="AL35" i="14"/>
  <c r="AL36" i="14" s="1"/>
  <c r="AL37" i="14" s="1"/>
  <c r="AL38" i="14" s="1"/>
  <c r="Q35" i="14"/>
  <c r="Q36" i="14" s="1"/>
  <c r="Q37" i="14" s="1"/>
  <c r="Q38" i="14" s="1"/>
  <c r="AE35" i="14"/>
  <c r="AE36" i="14" s="1"/>
  <c r="AE37" i="14" s="1"/>
  <c r="AE38" i="14" s="1"/>
  <c r="AF35" i="14"/>
  <c r="AF36" i="14" s="1"/>
  <c r="AF37" i="14" s="1"/>
  <c r="AF38" i="14" s="1"/>
  <c r="M35" i="14"/>
  <c r="M36" i="14" s="1"/>
  <c r="M37" i="14" s="1"/>
  <c r="M38" i="14" s="1"/>
  <c r="AG35" i="14"/>
  <c r="AG36" i="14" s="1"/>
  <c r="AG37" i="14" s="1"/>
  <c r="AG38" i="14" s="1"/>
  <c r="N35" i="14"/>
  <c r="N36" i="14" s="1"/>
  <c r="N37" i="14" s="1"/>
  <c r="N38" i="14" s="1"/>
  <c r="AI35" i="14"/>
  <c r="AI36" i="14" s="1"/>
  <c r="AI37" i="14" s="1"/>
  <c r="AI38" i="14" s="1"/>
  <c r="AB35" i="14"/>
  <c r="AB36" i="14" s="1"/>
  <c r="AB37" i="14" s="1"/>
  <c r="AB38" i="14" s="1"/>
  <c r="V35" i="14"/>
  <c r="V36" i="14" s="1"/>
  <c r="V37" i="14" s="1"/>
  <c r="V38" i="14" s="1"/>
  <c r="J35" i="14"/>
  <c r="J36" i="14" s="1"/>
  <c r="J37" i="14" s="1"/>
  <c r="J38" i="14" s="1"/>
  <c r="P154" i="9"/>
  <c r="P155" i="9" s="1"/>
  <c r="P179" i="15"/>
  <c r="P181" i="15" s="1"/>
  <c r="P182" i="15" s="1"/>
  <c r="P183" i="15" s="1"/>
  <c r="P164" i="15"/>
  <c r="P165" i="15" s="1"/>
  <c r="P171" i="15" s="1"/>
  <c r="P266" i="9" s="1"/>
  <c r="P267" i="9" s="1"/>
  <c r="P282" i="9" s="1"/>
  <c r="Q161" i="15"/>
  <c r="Q162" i="15" s="1"/>
  <c r="T35" i="14"/>
  <c r="T36" i="14" s="1"/>
  <c r="T37" i="14" s="1"/>
  <c r="T38" i="14" s="1"/>
  <c r="S139" i="15"/>
  <c r="T138" i="15"/>
  <c r="S148" i="15"/>
  <c r="X35" i="14"/>
  <c r="X36" i="14" s="1"/>
  <c r="X37" i="14" s="1"/>
  <c r="X38" i="14" s="1"/>
  <c r="AR35" i="14"/>
  <c r="AR36" i="14" s="1"/>
  <c r="AR37" i="14" s="1"/>
  <c r="AR38" i="14" s="1"/>
  <c r="AK35" i="14"/>
  <c r="AK36" i="14" s="1"/>
  <c r="AK37" i="14" s="1"/>
  <c r="AK38" i="14" s="1"/>
  <c r="AN35" i="14"/>
  <c r="AN36" i="14" s="1"/>
  <c r="AN37" i="14" s="1"/>
  <c r="AN38" i="14" s="1"/>
  <c r="O35" i="14"/>
  <c r="O36" i="14" s="1"/>
  <c r="O37" i="14" s="1"/>
  <c r="O38" i="14" s="1"/>
  <c r="W35" i="14"/>
  <c r="W36" i="14" s="1"/>
  <c r="W37" i="14" s="1"/>
  <c r="W38" i="14" s="1"/>
  <c r="K35" i="14"/>
  <c r="K36" i="14" s="1"/>
  <c r="K37" i="14" s="1"/>
  <c r="K38" i="14" s="1"/>
  <c r="R35" i="14"/>
  <c r="R36" i="14" s="1"/>
  <c r="R37" i="14" s="1"/>
  <c r="R38" i="14" s="1"/>
  <c r="S71" i="15"/>
  <c r="S72" i="15" s="1"/>
  <c r="R89" i="15"/>
  <c r="R91" i="15" s="1"/>
  <c r="R92" i="15" s="1"/>
  <c r="R93" i="15" s="1"/>
  <c r="R74" i="15"/>
  <c r="R75" i="15" s="1"/>
  <c r="R81" i="15" s="1"/>
  <c r="R246" i="9" s="1"/>
  <c r="R247" i="9" s="1"/>
  <c r="R103" i="9"/>
  <c r="R104" i="9" s="1"/>
  <c r="AS35" i="14"/>
  <c r="AS36" i="14" s="1"/>
  <c r="AS37" i="14" s="1"/>
  <c r="AS38" i="14" s="1"/>
  <c r="AM35" i="14"/>
  <c r="AM36" i="14" s="1"/>
  <c r="AM37" i="14" s="1"/>
  <c r="AM38" i="14" s="1"/>
  <c r="AG162" i="11"/>
  <c r="P163" i="12"/>
  <c r="S96" i="12"/>
  <c r="S97" i="12" s="1"/>
  <c r="R59" i="15"/>
  <c r="R61" i="15" s="1"/>
  <c r="R44" i="15"/>
  <c r="R45" i="15" s="1"/>
  <c r="R51" i="15" s="1"/>
  <c r="R237" i="9" s="1"/>
  <c r="R238" i="9" s="1"/>
  <c r="S41" i="15"/>
  <c r="S42" i="15" s="1"/>
  <c r="R94" i="9"/>
  <c r="R95" i="9" s="1"/>
  <c r="P249" i="12"/>
  <c r="O33" i="13"/>
  <c r="O259" i="12"/>
  <c r="S49" i="15"/>
  <c r="T48" i="15"/>
  <c r="S58" i="15"/>
  <c r="N45" i="13"/>
  <c r="P127" i="11"/>
  <c r="Q62" i="15"/>
  <c r="Q63" i="15" s="1"/>
  <c r="O134" i="11"/>
  <c r="N43" i="13"/>
  <c r="M48" i="13"/>
  <c r="O147" i="11"/>
  <c r="N91" i="13"/>
  <c r="O153" i="13"/>
  <c r="N152" i="9"/>
  <c r="Q83" i="17"/>
  <c r="E218" i="17" s="1"/>
  <c r="H218" i="17" s="1"/>
  <c r="E82" i="17"/>
  <c r="Q82" i="17" s="1"/>
  <c r="E217" i="17" s="1"/>
  <c r="D239" i="8"/>
  <c r="D238" i="8"/>
  <c r="D237" i="8"/>
  <c r="D236" i="8"/>
  <c r="D235" i="8"/>
  <c r="D234" i="8"/>
  <c r="D233" i="8"/>
  <c r="D232" i="8"/>
  <c r="D231" i="8"/>
  <c r="D230" i="8"/>
  <c r="D229" i="8"/>
  <c r="D228" i="8"/>
  <c r="B380" i="11"/>
  <c r="B379" i="11"/>
  <c r="B378" i="11"/>
  <c r="B377" i="11"/>
  <c r="B376" i="11"/>
  <c r="B374" i="11"/>
  <c r="C361" i="11"/>
  <c r="C357" i="11"/>
  <c r="C355" i="11"/>
  <c r="B278" i="11" s="1"/>
  <c r="C348" i="11"/>
  <c r="C346" i="11"/>
  <c r="C345" i="11"/>
  <c r="C344" i="11"/>
  <c r="C343" i="11"/>
  <c r="C339" i="11"/>
  <c r="C332" i="11"/>
  <c r="C329" i="11"/>
  <c r="C316" i="11"/>
  <c r="C297" i="11"/>
  <c r="C296" i="11"/>
  <c r="C295" i="11"/>
  <c r="C293" i="11"/>
  <c r="C292" i="11"/>
  <c r="C291" i="11"/>
  <c r="C290" i="11"/>
  <c r="B279" i="11"/>
  <c r="C356" i="11" s="1"/>
  <c r="B277" i="11"/>
  <c r="B271" i="11"/>
  <c r="B270" i="11"/>
  <c r="B266" i="11"/>
  <c r="B265" i="11"/>
  <c r="B260" i="11"/>
  <c r="C298" i="11" s="1"/>
  <c r="B242" i="11"/>
  <c r="C292" i="9"/>
  <c r="C291" i="9"/>
  <c r="B288" i="9"/>
  <c r="B287" i="9"/>
  <c r="B285" i="9"/>
  <c r="B284" i="9"/>
  <c r="B282" i="9"/>
  <c r="B281" i="9"/>
  <c r="B280" i="9"/>
  <c r="B276" i="9"/>
  <c r="B275" i="9"/>
  <c r="N91" i="10" l="1"/>
  <c r="N100" i="10" s="1"/>
  <c r="N106" i="10" s="1"/>
  <c r="N69" i="10"/>
  <c r="N77" i="10" s="1"/>
  <c r="M56" i="11"/>
  <c r="M178" i="11" s="1"/>
  <c r="M26" i="12" s="1"/>
  <c r="M178" i="9"/>
  <c r="M24" i="9"/>
  <c r="H134" i="17" s="1"/>
  <c r="M68" i="11"/>
  <c r="M190" i="11" s="1"/>
  <c r="M147" i="12" s="1"/>
  <c r="M190" i="9"/>
  <c r="M89" i="12"/>
  <c r="M29" i="9"/>
  <c r="O43" i="12"/>
  <c r="O44" i="12" s="1"/>
  <c r="O35" i="12"/>
  <c r="O22" i="10"/>
  <c r="O61" i="10" s="1"/>
  <c r="N30" i="10"/>
  <c r="K76" i="25"/>
  <c r="L131" i="10"/>
  <c r="L145" i="10" s="1"/>
  <c r="L156" i="10" s="1"/>
  <c r="L24" i="10"/>
  <c r="L25" i="10" s="1"/>
  <c r="M33" i="10"/>
  <c r="M40" i="10" s="1"/>
  <c r="L32" i="10"/>
  <c r="L39" i="10" s="1"/>
  <c r="N33" i="10"/>
  <c r="N40" i="10" s="1"/>
  <c r="L37" i="10"/>
  <c r="J53" i="10"/>
  <c r="G71" i="25"/>
  <c r="G73" i="25" s="1"/>
  <c r="H71" i="25"/>
  <c r="H73" i="25" s="1"/>
  <c r="M75" i="13"/>
  <c r="M77" i="13" s="1"/>
  <c r="M79" i="13" s="1"/>
  <c r="N69" i="13"/>
  <c r="M127" i="9"/>
  <c r="M128" i="9" s="1"/>
  <c r="M130" i="9" s="1"/>
  <c r="L81" i="13"/>
  <c r="N140" i="9"/>
  <c r="N141" i="9" s="1"/>
  <c r="N146" i="9" s="1"/>
  <c r="O59" i="13"/>
  <c r="N229" i="9"/>
  <c r="N69" i="9"/>
  <c r="N70" i="9" s="1"/>
  <c r="N71" i="13"/>
  <c r="N230" i="9" s="1"/>
  <c r="Q184" i="11"/>
  <c r="P184" i="11"/>
  <c r="AF184" i="11"/>
  <c r="AL184" i="11"/>
  <c r="AO184" i="11"/>
  <c r="L184" i="11"/>
  <c r="AQ184" i="11"/>
  <c r="V184" i="11"/>
  <c r="AI184" i="11"/>
  <c r="U184" i="11"/>
  <c r="AN184" i="11"/>
  <c r="J184" i="11"/>
  <c r="K184" i="11"/>
  <c r="AG184" i="11"/>
  <c r="AC184" i="11"/>
  <c r="AM184" i="11"/>
  <c r="X184" i="11"/>
  <c r="AD184" i="11"/>
  <c r="Z184" i="11"/>
  <c r="Y184" i="11"/>
  <c r="AA184" i="11"/>
  <c r="AH184" i="11"/>
  <c r="AS184" i="11"/>
  <c r="M184" i="11"/>
  <c r="S184" i="11"/>
  <c r="AK184" i="11"/>
  <c r="AE184" i="11"/>
  <c r="AB184" i="11"/>
  <c r="O184" i="11"/>
  <c r="N184" i="11"/>
  <c r="AP184" i="11"/>
  <c r="R184" i="11"/>
  <c r="AJ184" i="11"/>
  <c r="W184" i="11"/>
  <c r="AR184" i="11"/>
  <c r="T184" i="11"/>
  <c r="F46" i="2"/>
  <c r="G46" i="2"/>
  <c r="AP185" i="10"/>
  <c r="AP186" i="10" s="1"/>
  <c r="AP187" i="10" s="1"/>
  <c r="AD185" i="10"/>
  <c r="AD186" i="10" s="1"/>
  <c r="AD187" i="10" s="1"/>
  <c r="W185" i="10"/>
  <c r="W186" i="10" s="1"/>
  <c r="W187" i="10" s="1"/>
  <c r="AJ185" i="10"/>
  <c r="AJ186" i="10" s="1"/>
  <c r="AJ187" i="10" s="1"/>
  <c r="AL185" i="10"/>
  <c r="AL186" i="10" s="1"/>
  <c r="AL187" i="10" s="1"/>
  <c r="AE185" i="10"/>
  <c r="AE186" i="10" s="1"/>
  <c r="AE187" i="10" s="1"/>
  <c r="AM185" i="10"/>
  <c r="AM186" i="10" s="1"/>
  <c r="AM187" i="10" s="1"/>
  <c r="T185" i="10"/>
  <c r="T186" i="10" s="1"/>
  <c r="T187" i="10" s="1"/>
  <c r="V185" i="10"/>
  <c r="V186" i="10" s="1"/>
  <c r="V187" i="10" s="1"/>
  <c r="J185" i="10"/>
  <c r="J186" i="10" s="1"/>
  <c r="J187" i="10" s="1"/>
  <c r="Z185" i="10"/>
  <c r="Z186" i="10" s="1"/>
  <c r="Z187" i="10" s="1"/>
  <c r="AR185" i="10"/>
  <c r="AR186" i="10" s="1"/>
  <c r="AR187" i="10" s="1"/>
  <c r="AA185" i="10"/>
  <c r="AA186" i="10" s="1"/>
  <c r="AA187" i="10" s="1"/>
  <c r="AO185" i="10"/>
  <c r="AO186" i="10" s="1"/>
  <c r="AO187" i="10" s="1"/>
  <c r="AS185" i="10"/>
  <c r="AS186" i="10" s="1"/>
  <c r="AS187" i="10" s="1"/>
  <c r="AH185" i="10"/>
  <c r="AH186" i="10" s="1"/>
  <c r="AH187" i="10" s="1"/>
  <c r="AN185" i="10"/>
  <c r="AN186" i="10" s="1"/>
  <c r="AN187" i="10" s="1"/>
  <c r="X185" i="10"/>
  <c r="X186" i="10" s="1"/>
  <c r="X187" i="10" s="1"/>
  <c r="AQ185" i="10"/>
  <c r="AQ186" i="10" s="1"/>
  <c r="AQ187" i="10" s="1"/>
  <c r="N185" i="10"/>
  <c r="N186" i="10" s="1"/>
  <c r="N187" i="10" s="1"/>
  <c r="AC185" i="10"/>
  <c r="AC186" i="10" s="1"/>
  <c r="AC187" i="10" s="1"/>
  <c r="Q185" i="10"/>
  <c r="Q186" i="10" s="1"/>
  <c r="Q187" i="10" s="1"/>
  <c r="AF185" i="10"/>
  <c r="AF186" i="10" s="1"/>
  <c r="AF187" i="10" s="1"/>
  <c r="AK185" i="10"/>
  <c r="AK186" i="10" s="1"/>
  <c r="AK187" i="10" s="1"/>
  <c r="AG185" i="10"/>
  <c r="AG186" i="10" s="1"/>
  <c r="AG187" i="10" s="1"/>
  <c r="M185" i="10"/>
  <c r="M186" i="10" s="1"/>
  <c r="M187" i="10" s="1"/>
  <c r="AI185" i="10"/>
  <c r="AI186" i="10" s="1"/>
  <c r="AI187" i="10" s="1"/>
  <c r="R185" i="10"/>
  <c r="R186" i="10" s="1"/>
  <c r="R187" i="10" s="1"/>
  <c r="K185" i="10"/>
  <c r="K186" i="10" s="1"/>
  <c r="K187" i="10" s="1"/>
  <c r="AS77" i="14"/>
  <c r="O185" i="10"/>
  <c r="O186" i="10" s="1"/>
  <c r="O187" i="10" s="1"/>
  <c r="AB185" i="10"/>
  <c r="AB186" i="10" s="1"/>
  <c r="AB187" i="10" s="1"/>
  <c r="AS92" i="11"/>
  <c r="AS214" i="11" s="1"/>
  <c r="AS216" i="11" s="1"/>
  <c r="L185" i="10"/>
  <c r="L186" i="10" s="1"/>
  <c r="L187" i="10" s="1"/>
  <c r="S185" i="10"/>
  <c r="S186" i="10" s="1"/>
  <c r="S187" i="10" s="1"/>
  <c r="P185" i="10"/>
  <c r="P186" i="10" s="1"/>
  <c r="P187" i="10" s="1"/>
  <c r="U185" i="10"/>
  <c r="U186" i="10" s="1"/>
  <c r="U187" i="10" s="1"/>
  <c r="Y185" i="10"/>
  <c r="Y186" i="10" s="1"/>
  <c r="Y187" i="10" s="1"/>
  <c r="J84" i="14"/>
  <c r="J100" i="9" s="1"/>
  <c r="K61" i="14"/>
  <c r="AP77" i="14"/>
  <c r="AH56" i="14"/>
  <c r="U57" i="14" s="1"/>
  <c r="U79" i="14" s="1"/>
  <c r="V66" i="14"/>
  <c r="V80" i="14" s="1"/>
  <c r="V59" i="9" s="1"/>
  <c r="AP242" i="9"/>
  <c r="AP244" i="9" s="1"/>
  <c r="AF65" i="14"/>
  <c r="W66" i="14" s="1"/>
  <c r="W80" i="14" s="1"/>
  <c r="W59" i="9" s="1"/>
  <c r="V55" i="14"/>
  <c r="AG56" i="14" s="1"/>
  <c r="X64" i="14"/>
  <c r="AC63" i="14"/>
  <c r="AR242" i="9"/>
  <c r="AR244" i="9" s="1"/>
  <c r="AR92" i="11"/>
  <c r="AR77" i="14"/>
  <c r="AO92" i="11"/>
  <c r="AO242" i="9"/>
  <c r="AO244" i="9" s="1"/>
  <c r="AO77" i="14"/>
  <c r="Z92" i="11"/>
  <c r="Z242" i="9"/>
  <c r="Z244" i="9" s="1"/>
  <c r="Z77" i="14"/>
  <c r="O242" i="9"/>
  <c r="O244" i="9" s="1"/>
  <c r="O77" i="14"/>
  <c r="O92" i="11"/>
  <c r="X242" i="9"/>
  <c r="X244" i="9" s="1"/>
  <c r="X77" i="14"/>
  <c r="X92" i="11"/>
  <c r="AB242" i="9"/>
  <c r="AB244" i="9" s="1"/>
  <c r="AB92" i="11"/>
  <c r="AB77" i="14"/>
  <c r="M92" i="11"/>
  <c r="M77" i="14"/>
  <c r="M242" i="9"/>
  <c r="M244" i="9" s="1"/>
  <c r="AL92" i="11"/>
  <c r="AL77" i="14"/>
  <c r="AL242" i="9"/>
  <c r="AL244" i="9" s="1"/>
  <c r="AA242" i="9"/>
  <c r="AA244" i="9" s="1"/>
  <c r="AA77" i="14"/>
  <c r="AA92" i="11"/>
  <c r="Y92" i="11"/>
  <c r="Y242" i="9"/>
  <c r="Y244" i="9" s="1"/>
  <c r="Y77" i="14"/>
  <c r="R92" i="11"/>
  <c r="R77" i="14"/>
  <c r="R242" i="9"/>
  <c r="R244" i="9" s="1"/>
  <c r="AI242" i="9"/>
  <c r="AI244" i="9" s="1"/>
  <c r="AI77" i="14"/>
  <c r="AI92" i="11"/>
  <c r="S242" i="9"/>
  <c r="S244" i="9" s="1"/>
  <c r="S77" i="14"/>
  <c r="S92" i="11"/>
  <c r="AD92" i="11"/>
  <c r="AD242" i="9"/>
  <c r="AD244" i="9" s="1"/>
  <c r="AD77" i="14"/>
  <c r="AP214" i="11"/>
  <c r="AP216" i="11" s="1"/>
  <c r="AP94" i="11"/>
  <c r="AM242" i="9"/>
  <c r="AM244" i="9" s="1"/>
  <c r="AM77" i="14"/>
  <c r="AM92" i="11"/>
  <c r="AF242" i="9"/>
  <c r="AF244" i="9" s="1"/>
  <c r="AF92" i="11"/>
  <c r="AF77" i="14"/>
  <c r="AC92" i="11"/>
  <c r="AC242" i="9"/>
  <c r="AC244" i="9" s="1"/>
  <c r="AC77" i="14"/>
  <c r="U92" i="11"/>
  <c r="U242" i="9"/>
  <c r="U244" i="9" s="1"/>
  <c r="U77" i="14"/>
  <c r="AN242" i="9"/>
  <c r="AN244" i="9" s="1"/>
  <c r="AN92" i="11"/>
  <c r="AN77" i="14"/>
  <c r="K242" i="9"/>
  <c r="K244" i="9" s="1"/>
  <c r="K77" i="14"/>
  <c r="K92" i="11"/>
  <c r="J75" i="14"/>
  <c r="M57" i="14"/>
  <c r="M79" i="14" s="1"/>
  <c r="L57" i="14"/>
  <c r="L79" i="14" s="1"/>
  <c r="R57" i="14"/>
  <c r="R79" i="14" s="1"/>
  <c r="T57" i="14"/>
  <c r="T79" i="14" s="1"/>
  <c r="K57" i="14"/>
  <c r="K79" i="14" s="1"/>
  <c r="J57" i="14"/>
  <c r="J79" i="14" s="1"/>
  <c r="P57" i="14"/>
  <c r="P79" i="14" s="1"/>
  <c r="S57" i="14"/>
  <c r="S79" i="14" s="1"/>
  <c r="O57" i="14"/>
  <c r="O79" i="14" s="1"/>
  <c r="N57" i="14"/>
  <c r="N79" i="14" s="1"/>
  <c r="Q57" i="14"/>
  <c r="Q79" i="14" s="1"/>
  <c r="N92" i="11"/>
  <c r="N77" i="14"/>
  <c r="N242" i="9"/>
  <c r="N244" i="9" s="1"/>
  <c r="AJ242" i="9"/>
  <c r="AJ244" i="9" s="1"/>
  <c r="AJ92" i="11"/>
  <c r="AJ77" i="14"/>
  <c r="P242" i="9"/>
  <c r="P244" i="9" s="1"/>
  <c r="P92" i="11"/>
  <c r="P77" i="14"/>
  <c r="AK92" i="11"/>
  <c r="AK77" i="14"/>
  <c r="AK242" i="9"/>
  <c r="AK244" i="9" s="1"/>
  <c r="AE242" i="9"/>
  <c r="AE244" i="9" s="1"/>
  <c r="AE77" i="14"/>
  <c r="AE92" i="11"/>
  <c r="AH92" i="11"/>
  <c r="AH77" i="14"/>
  <c r="AH242" i="9"/>
  <c r="AH244" i="9" s="1"/>
  <c r="W242" i="9"/>
  <c r="W244" i="9" s="1"/>
  <c r="W77" i="14"/>
  <c r="W92" i="11"/>
  <c r="V92" i="11"/>
  <c r="V242" i="9"/>
  <c r="V244" i="9" s="1"/>
  <c r="V77" i="14"/>
  <c r="AG92" i="11"/>
  <c r="AG242" i="9"/>
  <c r="AG244" i="9" s="1"/>
  <c r="AG77" i="14"/>
  <c r="L242" i="9"/>
  <c r="L244" i="9" s="1"/>
  <c r="L92" i="11"/>
  <c r="L77" i="14"/>
  <c r="T242" i="9"/>
  <c r="T244" i="9" s="1"/>
  <c r="T92" i="11"/>
  <c r="T77" i="14"/>
  <c r="Q92" i="11"/>
  <c r="Q242" i="9"/>
  <c r="Q244" i="9" s="1"/>
  <c r="Q77" i="14"/>
  <c r="AQ242" i="9"/>
  <c r="AQ244" i="9" s="1"/>
  <c r="AQ77" i="14"/>
  <c r="AQ92" i="11"/>
  <c r="P193" i="12"/>
  <c r="P172" i="12"/>
  <c r="K53" i="10"/>
  <c r="K50" i="10"/>
  <c r="I38" i="14"/>
  <c r="K78" i="2" s="1"/>
  <c r="M78" i="2" s="1"/>
  <c r="I37" i="14"/>
  <c r="K24" i="2" s="1"/>
  <c r="M24" i="2" s="1"/>
  <c r="Q179" i="15"/>
  <c r="Q181" i="15" s="1"/>
  <c r="Q182" i="15" s="1"/>
  <c r="Q183" i="15" s="1"/>
  <c r="Q154" i="9"/>
  <c r="Q155" i="9" s="1"/>
  <c r="Q164" i="15"/>
  <c r="Q165" i="15" s="1"/>
  <c r="Q171" i="15" s="1"/>
  <c r="Q266" i="9" s="1"/>
  <c r="Q267" i="9" s="1"/>
  <c r="Q282" i="9" s="1"/>
  <c r="R161" i="15"/>
  <c r="R162" i="15" s="1"/>
  <c r="T88" i="15"/>
  <c r="U78" i="15"/>
  <c r="T79" i="15"/>
  <c r="U138" i="15"/>
  <c r="T139" i="15"/>
  <c r="T148" i="15"/>
  <c r="N46" i="13"/>
  <c r="R178" i="15"/>
  <c r="S168" i="15"/>
  <c r="R169" i="15"/>
  <c r="R118" i="15"/>
  <c r="S108" i="15"/>
  <c r="R109" i="15"/>
  <c r="Q119" i="15"/>
  <c r="Q121" i="15" s="1"/>
  <c r="Q122" i="15" s="1"/>
  <c r="Q123" i="15" s="1"/>
  <c r="Q104" i="15"/>
  <c r="Q105" i="15" s="1"/>
  <c r="Q111" i="15" s="1"/>
  <c r="Q215" i="9" s="1"/>
  <c r="Q216" i="9" s="1"/>
  <c r="R101" i="15"/>
  <c r="R102" i="15" s="1"/>
  <c r="Q134" i="9"/>
  <c r="Q135" i="9" s="1"/>
  <c r="S134" i="15"/>
  <c r="S135" i="15" s="1"/>
  <c r="S141" i="15" s="1"/>
  <c r="S265" i="9" s="1"/>
  <c r="S149" i="15"/>
  <c r="S151" i="15" s="1"/>
  <c r="S152" i="15" s="1"/>
  <c r="S153" i="15" s="1"/>
  <c r="T131" i="15"/>
  <c r="T132" i="15" s="1"/>
  <c r="S143" i="9"/>
  <c r="S144" i="9" s="1"/>
  <c r="T71" i="15"/>
  <c r="T72" i="15" s="1"/>
  <c r="S103" i="9"/>
  <c r="S104" i="9" s="1"/>
  <c r="S89" i="15"/>
  <c r="S91" i="15" s="1"/>
  <c r="S92" i="15" s="1"/>
  <c r="S93" i="15" s="1"/>
  <c r="S74" i="15"/>
  <c r="S75" i="15" s="1"/>
  <c r="S81" i="15" s="1"/>
  <c r="S246" i="9" s="1"/>
  <c r="S247" i="9" s="1"/>
  <c r="R62" i="15"/>
  <c r="R63" i="15" s="1"/>
  <c r="T96" i="12"/>
  <c r="T97" i="12" s="1"/>
  <c r="M50" i="13"/>
  <c r="M49" i="13"/>
  <c r="O37" i="13"/>
  <c r="O139" i="9" s="1"/>
  <c r="O44" i="13"/>
  <c r="O68" i="9" s="1"/>
  <c r="P146" i="11"/>
  <c r="P133" i="11"/>
  <c r="P128" i="11"/>
  <c r="P164" i="12"/>
  <c r="AJ162" i="11"/>
  <c r="AM367" i="11"/>
  <c r="O88" i="13"/>
  <c r="O156" i="13"/>
  <c r="S59" i="15"/>
  <c r="S61" i="15" s="1"/>
  <c r="S44" i="15"/>
  <c r="S45" i="15" s="1"/>
  <c r="S51" i="15" s="1"/>
  <c r="S237" i="9" s="1"/>
  <c r="S238" i="9" s="1"/>
  <c r="T41" i="15"/>
  <c r="T42" i="15" s="1"/>
  <c r="S94" i="9"/>
  <c r="S95" i="9" s="1"/>
  <c r="U48" i="15"/>
  <c r="T49" i="15"/>
  <c r="T58" i="15"/>
  <c r="P250" i="12"/>
  <c r="P258" i="12"/>
  <c r="K218" i="17"/>
  <c r="L218" i="17"/>
  <c r="J217" i="17"/>
  <c r="K217" i="17"/>
  <c r="H217" i="17"/>
  <c r="L217" i="17"/>
  <c r="W83" i="17"/>
  <c r="J218" i="17"/>
  <c r="W84" i="17"/>
  <c r="O91" i="10" l="1"/>
  <c r="O100" i="10" s="1"/>
  <c r="O106" i="10" s="1"/>
  <c r="O69" i="10"/>
  <c r="O77" i="10" s="1"/>
  <c r="N56" i="11"/>
  <c r="N178" i="11" s="1"/>
  <c r="N26" i="12" s="1"/>
  <c r="N178" i="9"/>
  <c r="N24" i="9"/>
  <c r="I134" i="17" s="1"/>
  <c r="N68" i="11"/>
  <c r="N190" i="11" s="1"/>
  <c r="N147" i="12" s="1"/>
  <c r="N89" i="12"/>
  <c r="N190" i="9"/>
  <c r="N29" i="9"/>
  <c r="L199" i="9"/>
  <c r="L45" i="9"/>
  <c r="G153" i="17" s="1"/>
  <c r="L82" i="11"/>
  <c r="L204" i="11" s="1"/>
  <c r="L154" i="12" s="1"/>
  <c r="O40" i="12"/>
  <c r="O41" i="12" s="1"/>
  <c r="P34" i="12"/>
  <c r="L43" i="10"/>
  <c r="L44" i="10" s="1"/>
  <c r="P22" i="10"/>
  <c r="P61" i="10" s="1"/>
  <c r="O30" i="10"/>
  <c r="L76" i="25"/>
  <c r="M32" i="10"/>
  <c r="M39" i="10" s="1"/>
  <c r="M131" i="10"/>
  <c r="M145" i="10" s="1"/>
  <c r="M156" i="10" s="1"/>
  <c r="I71" i="25"/>
  <c r="I73" i="25" s="1"/>
  <c r="N131" i="10"/>
  <c r="N145" i="10" s="1"/>
  <c r="N156" i="10" s="1"/>
  <c r="M37" i="10"/>
  <c r="L53" i="10"/>
  <c r="M24" i="10"/>
  <c r="M25" i="10" s="1"/>
  <c r="M80" i="13"/>
  <c r="M81" i="13" s="1"/>
  <c r="AS94" i="11"/>
  <c r="N48" i="13"/>
  <c r="N50" i="13" s="1"/>
  <c r="N126" i="9"/>
  <c r="N231" i="9"/>
  <c r="N233" i="9" s="1"/>
  <c r="O63" i="13"/>
  <c r="O70" i="13"/>
  <c r="N72" i="13"/>
  <c r="I187" i="10"/>
  <c r="K72" i="2" s="1"/>
  <c r="M72" i="2" s="1"/>
  <c r="I186" i="10"/>
  <c r="K18" i="2" s="1"/>
  <c r="M18" i="2" s="1"/>
  <c r="K72" i="14"/>
  <c r="K67" i="14"/>
  <c r="V57" i="14"/>
  <c r="V79" i="14" s="1"/>
  <c r="V58" i="9" s="1"/>
  <c r="V60" i="9" s="1"/>
  <c r="P169" i="12"/>
  <c r="P170" i="12" s="1"/>
  <c r="P190" i="12"/>
  <c r="P191" i="12" s="1"/>
  <c r="AE65" i="14"/>
  <c r="X66" i="14" s="1"/>
  <c r="X80" i="14" s="1"/>
  <c r="X59" i="9" s="1"/>
  <c r="Y64" i="14"/>
  <c r="W55" i="14"/>
  <c r="AF56" i="14" s="1"/>
  <c r="W57" i="14" s="1"/>
  <c r="W79" i="14" s="1"/>
  <c r="W81" i="14" s="1"/>
  <c r="AD63" i="14"/>
  <c r="AG214" i="11"/>
  <c r="AG216" i="11" s="1"/>
  <c r="AG94" i="11"/>
  <c r="T58" i="9"/>
  <c r="T60" i="9" s="1"/>
  <c r="T81" i="14"/>
  <c r="V214" i="11"/>
  <c r="V216" i="11" s="1"/>
  <c r="V94" i="11"/>
  <c r="AH214" i="11"/>
  <c r="AH216" i="11" s="1"/>
  <c r="AH94" i="11"/>
  <c r="U81" i="14"/>
  <c r="U58" i="9"/>
  <c r="U60" i="9" s="1"/>
  <c r="R58" i="9"/>
  <c r="R60" i="9" s="1"/>
  <c r="R81" i="14"/>
  <c r="X214" i="11"/>
  <c r="X216" i="11" s="1"/>
  <c r="X94" i="11"/>
  <c r="S58" i="9"/>
  <c r="S60" i="9" s="1"/>
  <c r="S81" i="14"/>
  <c r="J92" i="11"/>
  <c r="J77" i="14"/>
  <c r="J242" i="9"/>
  <c r="J244" i="9" s="1"/>
  <c r="AI214" i="11"/>
  <c r="AI216" i="11" s="1"/>
  <c r="AI94" i="11"/>
  <c r="AL214" i="11"/>
  <c r="AL216" i="11" s="1"/>
  <c r="AL94" i="11"/>
  <c r="Z214" i="11"/>
  <c r="Z216" i="11" s="1"/>
  <c r="Z94" i="11"/>
  <c r="T214" i="11"/>
  <c r="T216" i="11" s="1"/>
  <c r="T94" i="11"/>
  <c r="AE94" i="11"/>
  <c r="AE214" i="11"/>
  <c r="AE216" i="11" s="1"/>
  <c r="J81" i="14"/>
  <c r="J58" i="9"/>
  <c r="J60" i="9" s="1"/>
  <c r="L214" i="11"/>
  <c r="L216" i="11" s="1"/>
  <c r="L94" i="11"/>
  <c r="AF94" i="11"/>
  <c r="AF214" i="11"/>
  <c r="AF216" i="11" s="1"/>
  <c r="K94" i="11"/>
  <c r="K214" i="11"/>
  <c r="K216" i="11" s="1"/>
  <c r="Q214" i="11"/>
  <c r="Q216" i="11" s="1"/>
  <c r="Q94" i="11"/>
  <c r="N214" i="11"/>
  <c r="N216" i="11" s="1"/>
  <c r="N94" i="11"/>
  <c r="N58" i="9"/>
  <c r="N60" i="9" s="1"/>
  <c r="N81" i="14"/>
  <c r="J58" i="14"/>
  <c r="L58" i="9"/>
  <c r="L60" i="9" s="1"/>
  <c r="L81" i="14"/>
  <c r="AM214" i="11"/>
  <c r="AM216" i="11" s="1"/>
  <c r="AM94" i="11"/>
  <c r="Y214" i="11"/>
  <c r="Y216" i="11" s="1"/>
  <c r="Y94" i="11"/>
  <c r="O214" i="11"/>
  <c r="O216" i="11" s="1"/>
  <c r="O94" i="11"/>
  <c r="W214" i="11"/>
  <c r="W216" i="11" s="1"/>
  <c r="W94" i="11"/>
  <c r="Q81" i="14"/>
  <c r="Q58" i="9"/>
  <c r="Q60" i="9" s="1"/>
  <c r="P94" i="11"/>
  <c r="P214" i="11"/>
  <c r="P216" i="11" s="1"/>
  <c r="K58" i="9"/>
  <c r="K60" i="9" s="1"/>
  <c r="K81" i="14"/>
  <c r="U214" i="11"/>
  <c r="U216" i="11" s="1"/>
  <c r="U94" i="11"/>
  <c r="AA94" i="11"/>
  <c r="AA214" i="11"/>
  <c r="AA216" i="11" s="1"/>
  <c r="M214" i="11"/>
  <c r="M216" i="11" s="1"/>
  <c r="M94" i="11"/>
  <c r="AO214" i="11"/>
  <c r="AO216" i="11" s="1"/>
  <c r="AO94" i="11"/>
  <c r="AD214" i="11"/>
  <c r="AD216" i="11" s="1"/>
  <c r="AD94" i="11"/>
  <c r="AN214" i="11"/>
  <c r="AN216" i="11" s="1"/>
  <c r="AN94" i="11"/>
  <c r="S214" i="11"/>
  <c r="S216" i="11" s="1"/>
  <c r="S94" i="11"/>
  <c r="R214" i="11"/>
  <c r="R216" i="11" s="1"/>
  <c r="R94" i="11"/>
  <c r="AB94" i="11"/>
  <c r="AB214" i="11"/>
  <c r="AB216" i="11" s="1"/>
  <c r="AR214" i="11"/>
  <c r="AR216" i="11" s="1"/>
  <c r="AR94" i="11"/>
  <c r="AQ214" i="11"/>
  <c r="AQ216" i="11" s="1"/>
  <c r="AQ94" i="11"/>
  <c r="AK214" i="11"/>
  <c r="AK216" i="11" s="1"/>
  <c r="AK94" i="11"/>
  <c r="AJ214" i="11"/>
  <c r="AJ216" i="11" s="1"/>
  <c r="AJ94" i="11"/>
  <c r="O58" i="9"/>
  <c r="O60" i="9" s="1"/>
  <c r="O81" i="14"/>
  <c r="P58" i="9"/>
  <c r="P60" i="9" s="1"/>
  <c r="P81" i="14"/>
  <c r="M81" i="14"/>
  <c r="M58" i="9"/>
  <c r="M60" i="9" s="1"/>
  <c r="AC214" i="11"/>
  <c r="AC216" i="11" s="1"/>
  <c r="AC94" i="11"/>
  <c r="P173" i="12"/>
  <c r="P194" i="12"/>
  <c r="L50" i="10"/>
  <c r="O43" i="13"/>
  <c r="M51" i="13"/>
  <c r="M53" i="13" s="1"/>
  <c r="T108" i="15"/>
  <c r="S109" i="15"/>
  <c r="S118" i="15"/>
  <c r="R119" i="15"/>
  <c r="R121" i="15" s="1"/>
  <c r="R122" i="15" s="1"/>
  <c r="R123" i="15" s="1"/>
  <c r="R104" i="15"/>
  <c r="R105" i="15" s="1"/>
  <c r="R111" i="15" s="1"/>
  <c r="R215" i="9" s="1"/>
  <c r="R216" i="9" s="1"/>
  <c r="S101" i="15"/>
  <c r="S102" i="15" s="1"/>
  <c r="R134" i="9"/>
  <c r="R135" i="9" s="1"/>
  <c r="V78" i="15"/>
  <c r="U79" i="15"/>
  <c r="U88" i="15"/>
  <c r="N249" i="9"/>
  <c r="M237" i="18" s="1"/>
  <c r="M238" i="18" s="1"/>
  <c r="T149" i="15"/>
  <c r="T151" i="15" s="1"/>
  <c r="T152" i="15" s="1"/>
  <c r="T153" i="15" s="1"/>
  <c r="T134" i="15"/>
  <c r="T135" i="15" s="1"/>
  <c r="T141" i="15" s="1"/>
  <c r="T265" i="9" s="1"/>
  <c r="U131" i="15"/>
  <c r="U132" i="15" s="1"/>
  <c r="T143" i="9"/>
  <c r="T144" i="9" s="1"/>
  <c r="T74" i="15"/>
  <c r="T75" i="15" s="1"/>
  <c r="T81" i="15" s="1"/>
  <c r="T246" i="9" s="1"/>
  <c r="T247" i="9" s="1"/>
  <c r="T89" i="15"/>
  <c r="T91" i="15" s="1"/>
  <c r="T92" i="15" s="1"/>
  <c r="T93" i="15" s="1"/>
  <c r="U71" i="15"/>
  <c r="U72" i="15" s="1"/>
  <c r="T103" i="9"/>
  <c r="T104" i="9" s="1"/>
  <c r="Q249" i="9"/>
  <c r="P237" i="18" s="1"/>
  <c r="P238" i="18" s="1"/>
  <c r="L249" i="9"/>
  <c r="K237" i="18" s="1"/>
  <c r="K238" i="18" s="1"/>
  <c r="P249" i="9"/>
  <c r="O237" i="18" s="1"/>
  <c r="O238" i="18" s="1"/>
  <c r="S249" i="9"/>
  <c r="R237" i="18" s="1"/>
  <c r="R238" i="18" s="1"/>
  <c r="O249" i="9"/>
  <c r="N237" i="18" s="1"/>
  <c r="N238" i="18" s="1"/>
  <c r="K249" i="9"/>
  <c r="J237" i="18" s="1"/>
  <c r="J238" i="18" s="1"/>
  <c r="U148" i="15"/>
  <c r="U139" i="15"/>
  <c r="V138" i="15"/>
  <c r="S161" i="15"/>
  <c r="S162" i="15" s="1"/>
  <c r="R154" i="9"/>
  <c r="R155" i="9" s="1"/>
  <c r="R179" i="15"/>
  <c r="R181" i="15" s="1"/>
  <c r="R182" i="15" s="1"/>
  <c r="R183" i="15" s="1"/>
  <c r="R164" i="15"/>
  <c r="R165" i="15" s="1"/>
  <c r="R171" i="15" s="1"/>
  <c r="R266" i="9" s="1"/>
  <c r="R267" i="9" s="1"/>
  <c r="R282" i="9" s="1"/>
  <c r="M249" i="9"/>
  <c r="L237" i="18" s="1"/>
  <c r="L238" i="18" s="1"/>
  <c r="S169" i="15"/>
  <c r="T168" i="15"/>
  <c r="S178" i="15"/>
  <c r="R249" i="9"/>
  <c r="Q237" i="18" s="1"/>
  <c r="Q238" i="18" s="1"/>
  <c r="Q163" i="12"/>
  <c r="Q249" i="12"/>
  <c r="P33" i="13"/>
  <c r="U96" i="12"/>
  <c r="U97" i="12" s="1"/>
  <c r="S62" i="15"/>
  <c r="S63" i="15" s="1"/>
  <c r="T59" i="15"/>
  <c r="T61" i="15" s="1"/>
  <c r="T44" i="15"/>
  <c r="T45" i="15" s="1"/>
  <c r="T51" i="15" s="1"/>
  <c r="T237" i="9" s="1"/>
  <c r="T238" i="9" s="1"/>
  <c r="U41" i="15"/>
  <c r="U42" i="15" s="1"/>
  <c r="T94" i="9"/>
  <c r="T95" i="9" s="1"/>
  <c r="Q127" i="11"/>
  <c r="AP367" i="11"/>
  <c r="P134" i="11"/>
  <c r="U49" i="15"/>
  <c r="V48" i="15"/>
  <c r="U58" i="15"/>
  <c r="P147" i="11"/>
  <c r="AM162" i="11"/>
  <c r="O91" i="13"/>
  <c r="P153" i="13"/>
  <c r="O152" i="9"/>
  <c r="P259" i="12"/>
  <c r="O45" i="13"/>
  <c r="H18" i="7"/>
  <c r="H11" i="7"/>
  <c r="D90" i="8"/>
  <c r="D91" i="8"/>
  <c r="D92" i="8"/>
  <c r="D93" i="8"/>
  <c r="D94" i="8"/>
  <c r="D95" i="8"/>
  <c r="D96" i="8"/>
  <c r="D97" i="8"/>
  <c r="D98" i="8"/>
  <c r="D99" i="8"/>
  <c r="D100" i="8"/>
  <c r="D101" i="8"/>
  <c r="D74" i="8"/>
  <c r="D75" i="8"/>
  <c r="D76" i="8"/>
  <c r="D77" i="8"/>
  <c r="D44" i="8"/>
  <c r="D45" i="8"/>
  <c r="D46" i="8"/>
  <c r="D47" i="8"/>
  <c r="D48" i="8"/>
  <c r="D49" i="8"/>
  <c r="D50" i="8"/>
  <c r="D51" i="8"/>
  <c r="D52" i="8"/>
  <c r="D53" i="8"/>
  <c r="D54" i="8"/>
  <c r="D55"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P91" i="10" l="1"/>
  <c r="P100" i="10" s="1"/>
  <c r="P106" i="10" s="1"/>
  <c r="P69" i="10"/>
  <c r="P77" i="10" s="1"/>
  <c r="O24" i="9"/>
  <c r="J134" i="17" s="1"/>
  <c r="O56" i="11"/>
  <c r="O178" i="11" s="1"/>
  <c r="O26" i="12" s="1"/>
  <c r="O178" i="9"/>
  <c r="O190" i="9"/>
  <c r="O29" i="9"/>
  <c r="O89" i="12"/>
  <c r="O68" i="11"/>
  <c r="O190" i="11" s="1"/>
  <c r="O147" i="12" s="1"/>
  <c r="M43" i="10"/>
  <c r="M44" i="10" s="1"/>
  <c r="M199" i="9"/>
  <c r="M82" i="11"/>
  <c r="M204" i="11" s="1"/>
  <c r="M154" i="12" s="1"/>
  <c r="M45" i="9"/>
  <c r="H153" i="17" s="1"/>
  <c r="P43" i="12"/>
  <c r="P44" i="12" s="1"/>
  <c r="P35" i="12"/>
  <c r="N82" i="11"/>
  <c r="N204" i="11" s="1"/>
  <c r="N154" i="12" s="1"/>
  <c r="N199" i="9"/>
  <c r="N45" i="9"/>
  <c r="I153" i="17" s="1"/>
  <c r="Q22" i="10"/>
  <c r="Q61" i="10" s="1"/>
  <c r="P30" i="10"/>
  <c r="M76" i="25"/>
  <c r="O33" i="10"/>
  <c r="O40" i="10" s="1"/>
  <c r="N24" i="10"/>
  <c r="N25" i="10" s="1"/>
  <c r="O131" i="10"/>
  <c r="O145" i="10" s="1"/>
  <c r="O156" i="10" s="1"/>
  <c r="N32" i="10"/>
  <c r="N39" i="10" s="1"/>
  <c r="J71" i="25"/>
  <c r="J73" i="25" s="1"/>
  <c r="L66" i="10"/>
  <c r="L94" i="10" s="1"/>
  <c r="L101" i="10" s="1"/>
  <c r="L107" i="10" s="1"/>
  <c r="L90" i="12" s="1"/>
  <c r="P276" i="9"/>
  <c r="R276" i="9"/>
  <c r="L276" i="9"/>
  <c r="Q276" i="9"/>
  <c r="N276" i="9"/>
  <c r="M276" i="9"/>
  <c r="K276" i="9"/>
  <c r="O276" i="9"/>
  <c r="S276" i="9"/>
  <c r="N49" i="13"/>
  <c r="N51" i="13" s="1"/>
  <c r="N54" i="13" s="1"/>
  <c r="N127" i="9"/>
  <c r="N128" i="9" s="1"/>
  <c r="N130" i="9" s="1"/>
  <c r="O69" i="13"/>
  <c r="N74" i="13"/>
  <c r="O229" i="9"/>
  <c r="O69" i="9"/>
  <c r="O70" i="9" s="1"/>
  <c r="O71" i="13"/>
  <c r="O230" i="9" s="1"/>
  <c r="O140" i="9"/>
  <c r="O141" i="9" s="1"/>
  <c r="O146" i="9" s="1"/>
  <c r="P59" i="13"/>
  <c r="K84" i="14"/>
  <c r="K100" i="9" s="1"/>
  <c r="L61" i="14"/>
  <c r="V81" i="14"/>
  <c r="W58" i="9"/>
  <c r="W60" i="9" s="1"/>
  <c r="W62" i="9" s="1"/>
  <c r="X55" i="14"/>
  <c r="AD65" i="14"/>
  <c r="Y66" i="14" s="1"/>
  <c r="Y80" i="14" s="1"/>
  <c r="Y59" i="9" s="1"/>
  <c r="Z64" i="14"/>
  <c r="AE63" i="14"/>
  <c r="J214" i="11"/>
  <c r="J216" i="11" s="1"/>
  <c r="J94" i="11"/>
  <c r="J83" i="14"/>
  <c r="K52" i="14"/>
  <c r="V140" i="10"/>
  <c r="V151" i="10" s="1"/>
  <c r="AF140" i="10"/>
  <c r="AF151" i="10" s="1"/>
  <c r="S140" i="10"/>
  <c r="S151" i="10" s="1"/>
  <c r="AH68" i="10"/>
  <c r="AH76" i="10" s="1"/>
  <c r="AM67" i="10"/>
  <c r="AM75" i="10" s="1"/>
  <c r="AH67" i="10"/>
  <c r="AH75" i="10" s="1"/>
  <c r="AK67" i="10"/>
  <c r="AK75" i="10" s="1"/>
  <c r="T140" i="10"/>
  <c r="T151" i="10" s="1"/>
  <c r="X140" i="10"/>
  <c r="X151" i="10" s="1"/>
  <c r="AO140" i="10"/>
  <c r="AO151" i="10" s="1"/>
  <c r="AJ140" i="10"/>
  <c r="AJ151" i="10" s="1"/>
  <c r="AD140" i="10"/>
  <c r="AD151" i="10" s="1"/>
  <c r="M99" i="10"/>
  <c r="M105" i="10" s="1"/>
  <c r="AL99" i="10"/>
  <c r="AL105" i="10" s="1"/>
  <c r="AN99" i="10"/>
  <c r="AN105" i="10" s="1"/>
  <c r="R99" i="10"/>
  <c r="R105" i="10" s="1"/>
  <c r="AQ99" i="10"/>
  <c r="AQ105" i="10" s="1"/>
  <c r="AS68" i="10"/>
  <c r="AS76" i="10" s="1"/>
  <c r="AO68" i="10"/>
  <c r="AO76" i="10" s="1"/>
  <c r="AK68" i="10"/>
  <c r="AK76" i="10" s="1"/>
  <c r="Y68" i="10"/>
  <c r="Y76" i="10" s="1"/>
  <c r="AI68" i="10"/>
  <c r="AI76" i="10" s="1"/>
  <c r="AC67" i="10"/>
  <c r="AC75" i="10" s="1"/>
  <c r="Y67" i="10"/>
  <c r="Y75" i="10" s="1"/>
  <c r="AP67" i="10"/>
  <c r="AP75" i="10" s="1"/>
  <c r="AQ67" i="10"/>
  <c r="AQ75" i="10" s="1"/>
  <c r="L140" i="10"/>
  <c r="L151" i="10" s="1"/>
  <c r="AE140" i="10"/>
  <c r="AE151" i="10" s="1"/>
  <c r="AM140" i="10"/>
  <c r="AM151" i="10" s="1"/>
  <c r="AP140" i="10"/>
  <c r="AP151" i="10" s="1"/>
  <c r="U99" i="10"/>
  <c r="U105" i="10" s="1"/>
  <c r="O99" i="10"/>
  <c r="O105" i="10" s="1"/>
  <c r="Q99" i="10"/>
  <c r="Q105" i="10" s="1"/>
  <c r="Z99" i="10"/>
  <c r="Z105" i="10" s="1"/>
  <c r="T99" i="10"/>
  <c r="T105" i="10" s="1"/>
  <c r="P68" i="10"/>
  <c r="P76" i="10" s="1"/>
  <c r="L68" i="10"/>
  <c r="L76" i="10" s="1"/>
  <c r="W68" i="10"/>
  <c r="W76" i="10" s="1"/>
  <c r="R68" i="10"/>
  <c r="R76" i="10" s="1"/>
  <c r="P67" i="10"/>
  <c r="P75" i="10" s="1"/>
  <c r="AG67" i="10"/>
  <c r="AG75" i="10" s="1"/>
  <c r="U67" i="10"/>
  <c r="U75" i="10" s="1"/>
  <c r="M67" i="10"/>
  <c r="M75" i="10" s="1"/>
  <c r="X68" i="10"/>
  <c r="X76" i="10" s="1"/>
  <c r="Z140" i="10"/>
  <c r="Z151" i="10" s="1"/>
  <c r="AA140" i="10"/>
  <c r="AA151" i="10" s="1"/>
  <c r="AK140" i="10"/>
  <c r="AK151" i="10" s="1"/>
  <c r="Y140" i="10"/>
  <c r="Y151" i="10" s="1"/>
  <c r="AC99" i="10"/>
  <c r="AC105" i="10" s="1"/>
  <c r="W99" i="10"/>
  <c r="W105" i="10" s="1"/>
  <c r="AO99" i="10"/>
  <c r="AO105" i="10" s="1"/>
  <c r="AH99" i="10"/>
  <c r="AH105" i="10" s="1"/>
  <c r="AB99" i="10"/>
  <c r="AB105" i="10" s="1"/>
  <c r="AR68" i="10"/>
  <c r="AR76" i="10" s="1"/>
  <c r="AP68" i="10"/>
  <c r="AP76" i="10" s="1"/>
  <c r="U68" i="10"/>
  <c r="U76" i="10" s="1"/>
  <c r="AN68" i="10"/>
  <c r="AN76" i="10" s="1"/>
  <c r="X67" i="10"/>
  <c r="X75" i="10" s="1"/>
  <c r="AO67" i="10"/>
  <c r="AO75" i="10" s="1"/>
  <c r="V67" i="10"/>
  <c r="V75" i="10" s="1"/>
  <c r="L67" i="10"/>
  <c r="L75" i="10" s="1"/>
  <c r="M140" i="10"/>
  <c r="M151" i="10" s="1"/>
  <c r="AI140" i="10"/>
  <c r="AI151" i="10" s="1"/>
  <c r="AR140" i="10"/>
  <c r="AR151" i="10" s="1"/>
  <c r="AL140" i="10"/>
  <c r="AL151" i="10" s="1"/>
  <c r="AE99" i="10"/>
  <c r="AE105" i="10" s="1"/>
  <c r="AJ99" i="10"/>
  <c r="AJ105" i="10" s="1"/>
  <c r="AR99" i="10"/>
  <c r="AR105" i="10" s="1"/>
  <c r="AG68" i="10"/>
  <c r="AG76" i="10" s="1"/>
  <c r="AF68" i="10"/>
  <c r="AF76" i="10" s="1"/>
  <c r="AF67" i="10"/>
  <c r="AF75" i="10" s="1"/>
  <c r="AS67" i="10"/>
  <c r="AS75" i="10" s="1"/>
  <c r="AL67" i="10"/>
  <c r="AL75" i="10" s="1"/>
  <c r="T67" i="10"/>
  <c r="T75" i="10" s="1"/>
  <c r="R140" i="10"/>
  <c r="R151" i="10" s="1"/>
  <c r="AK99" i="10"/>
  <c r="AK105" i="10" s="1"/>
  <c r="AP99" i="10"/>
  <c r="AP105" i="10" s="1"/>
  <c r="AA68" i="10"/>
  <c r="AA76" i="10" s="1"/>
  <c r="AQ68" i="10"/>
  <c r="AQ76" i="10" s="1"/>
  <c r="AN140" i="10"/>
  <c r="AN151" i="10" s="1"/>
  <c r="P140" i="10"/>
  <c r="P151" i="10" s="1"/>
  <c r="K140" i="10"/>
  <c r="K151" i="10" s="1"/>
  <c r="U140" i="10"/>
  <c r="U151" i="10" s="1"/>
  <c r="AS99" i="10"/>
  <c r="AS105" i="10" s="1"/>
  <c r="AM99" i="10"/>
  <c r="AM105" i="10" s="1"/>
  <c r="Y99" i="10"/>
  <c r="Y105" i="10" s="1"/>
  <c r="K99" i="10"/>
  <c r="K105" i="10" s="1"/>
  <c r="AB68" i="10"/>
  <c r="AB76" i="10" s="1"/>
  <c r="AD68" i="10"/>
  <c r="AD76" i="10" s="1"/>
  <c r="AE68" i="10"/>
  <c r="AE76" i="10" s="1"/>
  <c r="Z68" i="10"/>
  <c r="Z76" i="10" s="1"/>
  <c r="AJ68" i="10"/>
  <c r="AJ76" i="10" s="1"/>
  <c r="O67" i="10"/>
  <c r="O75" i="10" s="1"/>
  <c r="AN67" i="10"/>
  <c r="AN75" i="10" s="1"/>
  <c r="J67" i="10"/>
  <c r="J75" i="10" s="1"/>
  <c r="K67" i="10"/>
  <c r="K75" i="10" s="1"/>
  <c r="AB67" i="10"/>
  <c r="AB75" i="10" s="1"/>
  <c r="N140" i="10"/>
  <c r="N151" i="10" s="1"/>
  <c r="AS140" i="10"/>
  <c r="AS151" i="10" s="1"/>
  <c r="AG140" i="10"/>
  <c r="AG151" i="10" s="1"/>
  <c r="AB140" i="10"/>
  <c r="AB151" i="10" s="1"/>
  <c r="N99" i="10"/>
  <c r="N105" i="10" s="1"/>
  <c r="P99" i="10"/>
  <c r="P105" i="10" s="1"/>
  <c r="AG99" i="10"/>
  <c r="AG105" i="10" s="1"/>
  <c r="S99" i="10"/>
  <c r="S105" i="10" s="1"/>
  <c r="J68" i="10"/>
  <c r="J76" i="10" s="1"/>
  <c r="T68" i="10"/>
  <c r="T76" i="10" s="1"/>
  <c r="AC68" i="10"/>
  <c r="AC76" i="10" s="1"/>
  <c r="Q68" i="10"/>
  <c r="Q76" i="10" s="1"/>
  <c r="S68" i="10"/>
  <c r="S76" i="10" s="1"/>
  <c r="W67" i="10"/>
  <c r="W75" i="10" s="1"/>
  <c r="N67" i="10"/>
  <c r="N75" i="10" s="1"/>
  <c r="R67" i="10"/>
  <c r="R75" i="10" s="1"/>
  <c r="S67" i="10"/>
  <c r="S75" i="10" s="1"/>
  <c r="AJ67" i="10"/>
  <c r="AJ75" i="10" s="1"/>
  <c r="AQ140" i="10"/>
  <c r="AQ151" i="10" s="1"/>
  <c r="W140" i="10"/>
  <c r="W151" i="10" s="1"/>
  <c r="O140" i="10"/>
  <c r="O151" i="10" s="1"/>
  <c r="AH140" i="10"/>
  <c r="AH151" i="10" s="1"/>
  <c r="V99" i="10"/>
  <c r="V105" i="10" s="1"/>
  <c r="X99" i="10"/>
  <c r="X105" i="10" s="1"/>
  <c r="L99" i="10"/>
  <c r="L105" i="10" s="1"/>
  <c r="AA99" i="10"/>
  <c r="AA105" i="10" s="1"/>
  <c r="N68" i="10"/>
  <c r="N76" i="10" s="1"/>
  <c r="AM68" i="10"/>
  <c r="AM76" i="10" s="1"/>
  <c r="V68" i="10"/>
  <c r="V76" i="10" s="1"/>
  <c r="O68" i="10"/>
  <c r="O76" i="10" s="1"/>
  <c r="AL68" i="10"/>
  <c r="AL76" i="10" s="1"/>
  <c r="AE67" i="10"/>
  <c r="AE75" i="10" s="1"/>
  <c r="AD67" i="10"/>
  <c r="AD75" i="10" s="1"/>
  <c r="Z67" i="10"/>
  <c r="Z75" i="10" s="1"/>
  <c r="AA67" i="10"/>
  <c r="AA75" i="10" s="1"/>
  <c r="AR67" i="10"/>
  <c r="AR75" i="10" s="1"/>
  <c r="J140" i="10"/>
  <c r="J151" i="10" s="1"/>
  <c r="AC140" i="10"/>
  <c r="AC151" i="10" s="1"/>
  <c r="Q140" i="10"/>
  <c r="Q151" i="10" s="1"/>
  <c r="AD99" i="10"/>
  <c r="AD105" i="10" s="1"/>
  <c r="AF99" i="10"/>
  <c r="AF105" i="10" s="1"/>
  <c r="J99" i="10"/>
  <c r="J105" i="10" s="1"/>
  <c r="AI99" i="10"/>
  <c r="AI105" i="10" s="1"/>
  <c r="J65" i="10"/>
  <c r="J73" i="10" s="1"/>
  <c r="K68" i="10"/>
  <c r="K76" i="10" s="1"/>
  <c r="M68" i="10"/>
  <c r="M76" i="10" s="1"/>
  <c r="Q67" i="10"/>
  <c r="Q75" i="10" s="1"/>
  <c r="AI67" i="10"/>
  <c r="AI75" i="10" s="1"/>
  <c r="J66" i="10"/>
  <c r="L65" i="10"/>
  <c r="L73" i="10" s="1"/>
  <c r="Q172" i="12"/>
  <c r="Q193" i="12"/>
  <c r="K66" i="10"/>
  <c r="K65" i="10"/>
  <c r="K73" i="10" s="1"/>
  <c r="M54" i="13"/>
  <c r="M55" i="13" s="1"/>
  <c r="M50" i="10"/>
  <c r="M65" i="10" s="1"/>
  <c r="M73" i="10" s="1"/>
  <c r="M53" i="10"/>
  <c r="M66" i="10" s="1"/>
  <c r="T249" i="9"/>
  <c r="S237" i="18" s="1"/>
  <c r="S238" i="18" s="1"/>
  <c r="AP110" i="11"/>
  <c r="AS110" i="11"/>
  <c r="U74" i="15"/>
  <c r="U75" i="15" s="1"/>
  <c r="U81" i="15" s="1"/>
  <c r="U246" i="9" s="1"/>
  <c r="U247" i="9" s="1"/>
  <c r="U249" i="9" s="1"/>
  <c r="T237" i="18" s="1"/>
  <c r="T238" i="18" s="1"/>
  <c r="V71" i="15"/>
  <c r="V72" i="15" s="1"/>
  <c r="U103" i="9"/>
  <c r="U104" i="9" s="1"/>
  <c r="U89" i="15"/>
  <c r="U91" i="15" s="1"/>
  <c r="U92" i="15" s="1"/>
  <c r="U93" i="15" s="1"/>
  <c r="T101" i="15"/>
  <c r="T102" i="15" s="1"/>
  <c r="S134" i="9"/>
  <c r="S135" i="9" s="1"/>
  <c r="S104" i="15"/>
  <c r="S105" i="15" s="1"/>
  <c r="S111" i="15" s="1"/>
  <c r="S215" i="9" s="1"/>
  <c r="S216" i="9" s="1"/>
  <c r="S119" i="15"/>
  <c r="S121" i="15" s="1"/>
  <c r="S122" i="15" s="1"/>
  <c r="S123" i="15" s="1"/>
  <c r="M62" i="9"/>
  <c r="L165" i="18" s="1"/>
  <c r="L166" i="18" s="1"/>
  <c r="Q62" i="9"/>
  <c r="P165" i="18" s="1"/>
  <c r="P166" i="18" s="1"/>
  <c r="V148" i="15"/>
  <c r="W138" i="15"/>
  <c r="V139" i="15"/>
  <c r="P62" i="9"/>
  <c r="O165" i="18" s="1"/>
  <c r="O166" i="18" s="1"/>
  <c r="V79" i="15"/>
  <c r="W78" i="15"/>
  <c r="V88" i="15"/>
  <c r="T109" i="15"/>
  <c r="U108" i="15"/>
  <c r="T118" i="15"/>
  <c r="L62" i="9"/>
  <c r="K165" i="18" s="1"/>
  <c r="K166" i="18" s="1"/>
  <c r="U62" i="9"/>
  <c r="T165" i="18" s="1"/>
  <c r="T166" i="18" s="1"/>
  <c r="U149" i="15"/>
  <c r="U151" i="15" s="1"/>
  <c r="U152" i="15" s="1"/>
  <c r="U153" i="15" s="1"/>
  <c r="U134" i="15"/>
  <c r="U135" i="15" s="1"/>
  <c r="U141" i="15" s="1"/>
  <c r="U265" i="9" s="1"/>
  <c r="V131" i="15"/>
  <c r="V132" i="15" s="1"/>
  <c r="U143" i="9"/>
  <c r="U144" i="9" s="1"/>
  <c r="O46" i="13"/>
  <c r="K62" i="9"/>
  <c r="J165" i="18" s="1"/>
  <c r="J166" i="18" s="1"/>
  <c r="J62" i="9"/>
  <c r="I165" i="18" s="1"/>
  <c r="I166" i="18" s="1"/>
  <c r="S154" i="9"/>
  <c r="S155" i="9" s="1"/>
  <c r="S179" i="15"/>
  <c r="S181" i="15" s="1"/>
  <c r="S182" i="15" s="1"/>
  <c r="S183" i="15" s="1"/>
  <c r="S164" i="15"/>
  <c r="S165" i="15" s="1"/>
  <c r="S171" i="15" s="1"/>
  <c r="S266" i="9" s="1"/>
  <c r="S267" i="9" s="1"/>
  <c r="S282" i="9" s="1"/>
  <c r="T161" i="15"/>
  <c r="T162" i="15" s="1"/>
  <c r="O62" i="9"/>
  <c r="N165" i="18" s="1"/>
  <c r="N166" i="18" s="1"/>
  <c r="J249" i="9"/>
  <c r="I237" i="18" s="1"/>
  <c r="I238" i="18" s="1"/>
  <c r="N62" i="9"/>
  <c r="M165" i="18" s="1"/>
  <c r="M166" i="18" s="1"/>
  <c r="T178" i="15"/>
  <c r="U168" i="15"/>
  <c r="T169" i="15"/>
  <c r="S62" i="9"/>
  <c r="R165" i="18" s="1"/>
  <c r="R166" i="18" s="1"/>
  <c r="V62" i="9"/>
  <c r="T62" i="9"/>
  <c r="S165" i="18" s="1"/>
  <c r="S166" i="18" s="1"/>
  <c r="R62" i="9"/>
  <c r="Q165" i="18" s="1"/>
  <c r="Q166" i="18" s="1"/>
  <c r="T62" i="15"/>
  <c r="T63" i="15" s="1"/>
  <c r="P88" i="13"/>
  <c r="P156" i="13"/>
  <c r="AS367" i="11"/>
  <c r="P44" i="13"/>
  <c r="P68" i="9" s="1"/>
  <c r="P37" i="13"/>
  <c r="P139" i="9" s="1"/>
  <c r="Q128" i="11"/>
  <c r="Q146" i="11"/>
  <c r="Q133" i="11"/>
  <c r="AP162" i="11"/>
  <c r="U59" i="15"/>
  <c r="U61" i="15" s="1"/>
  <c r="U44" i="15"/>
  <c r="U45" i="15" s="1"/>
  <c r="U51" i="15" s="1"/>
  <c r="U237" i="9" s="1"/>
  <c r="U238" i="9" s="1"/>
  <c r="V41" i="15"/>
  <c r="V42" i="15" s="1"/>
  <c r="U94" i="9"/>
  <c r="U95" i="9" s="1"/>
  <c r="Q164" i="12"/>
  <c r="V49" i="15"/>
  <c r="W48" i="15"/>
  <c r="V58" i="15"/>
  <c r="V96" i="12"/>
  <c r="V97" i="12" s="1"/>
  <c r="Q250" i="12"/>
  <c r="Q258" i="12"/>
  <c r="I21" i="13"/>
  <c r="I173" i="15"/>
  <c r="I143" i="15"/>
  <c r="I167" i="15"/>
  <c r="I113" i="15"/>
  <c r="I107" i="15"/>
  <c r="I137" i="15"/>
  <c r="I53" i="15"/>
  <c r="I77" i="15"/>
  <c r="I47" i="15"/>
  <c r="I83" i="15"/>
  <c r="J4" i="16"/>
  <c r="I118" i="18"/>
  <c r="I119" i="18" s="1"/>
  <c r="M118" i="18"/>
  <c r="M119" i="18" s="1"/>
  <c r="S118" i="18"/>
  <c r="S119" i="18" s="1"/>
  <c r="O118" i="18"/>
  <c r="O119" i="18" s="1"/>
  <c r="P118" i="18"/>
  <c r="P119" i="18" s="1"/>
  <c r="T118" i="18"/>
  <c r="T119" i="18" s="1"/>
  <c r="K118" i="18"/>
  <c r="K119" i="18" s="1"/>
  <c r="Q118" i="18"/>
  <c r="Q119" i="18" s="1"/>
  <c r="L118" i="18"/>
  <c r="L119" i="18" s="1"/>
  <c r="J118" i="18"/>
  <c r="J119" i="18" s="1"/>
  <c r="R118" i="18"/>
  <c r="R119" i="18" s="1"/>
  <c r="N118" i="18"/>
  <c r="N119" i="18" s="1"/>
  <c r="K81" i="17"/>
  <c r="J81" i="17"/>
  <c r="I81" i="17"/>
  <c r="F81" i="17"/>
  <c r="O80" i="17"/>
  <c r="G80" i="17"/>
  <c r="L96" i="17"/>
  <c r="E96" i="17"/>
  <c r="P96" i="17"/>
  <c r="F96" i="17"/>
  <c r="N96" i="17"/>
  <c r="H96" i="17"/>
  <c r="K96" i="17"/>
  <c r="O96" i="17"/>
  <c r="G96" i="17"/>
  <c r="I96" i="17"/>
  <c r="J96" i="17"/>
  <c r="M96" i="17"/>
  <c r="N81" i="17"/>
  <c r="B27" i="11"/>
  <c r="I24" i="11"/>
  <c r="J209" i="11"/>
  <c r="J198" i="11"/>
  <c r="J213" i="11"/>
  <c r="J194" i="11"/>
  <c r="J188" i="11"/>
  <c r="J181" i="11"/>
  <c r="J173" i="11"/>
  <c r="J87" i="11"/>
  <c r="J59" i="11"/>
  <c r="J91" i="11"/>
  <c r="J66" i="11"/>
  <c r="J72" i="11"/>
  <c r="J76" i="11"/>
  <c r="J51" i="11"/>
  <c r="H12" i="7"/>
  <c r="H15" i="7" s="1"/>
  <c r="B243" i="11"/>
  <c r="I239" i="11"/>
  <c r="P56" i="11" l="1"/>
  <c r="P178" i="11" s="1"/>
  <c r="P26" i="12" s="1"/>
  <c r="P178" i="9"/>
  <c r="P24" i="9"/>
  <c r="K134" i="17" s="1"/>
  <c r="P190" i="9"/>
  <c r="P29" i="9"/>
  <c r="P68" i="11"/>
  <c r="P190" i="11" s="1"/>
  <c r="P147" i="12" s="1"/>
  <c r="P89" i="12"/>
  <c r="Q91" i="10"/>
  <c r="Q100" i="10" s="1"/>
  <c r="Q106" i="10" s="1"/>
  <c r="Q69" i="10"/>
  <c r="Q77" i="10" s="1"/>
  <c r="AH194" i="9"/>
  <c r="AH40" i="9"/>
  <c r="AH77" i="11"/>
  <c r="AB77" i="11"/>
  <c r="AB194" i="9"/>
  <c r="AB40" i="9"/>
  <c r="U77" i="11"/>
  <c r="U194" i="9"/>
  <c r="U40" i="9"/>
  <c r="AL40" i="9"/>
  <c r="AL77" i="11"/>
  <c r="AL194" i="9"/>
  <c r="AK77" i="11"/>
  <c r="AK194" i="9"/>
  <c r="AK40" i="9"/>
  <c r="AM77" i="11"/>
  <c r="AM194" i="9"/>
  <c r="AM40" i="9"/>
  <c r="AJ77" i="11"/>
  <c r="AJ194" i="9"/>
  <c r="AJ40" i="9"/>
  <c r="P40" i="12"/>
  <c r="P41" i="12" s="1"/>
  <c r="Q34" i="12"/>
  <c r="Y194" i="9"/>
  <c r="Y77" i="11"/>
  <c r="Y40" i="9"/>
  <c r="AP77" i="11"/>
  <c r="AP40" i="9"/>
  <c r="AP194" i="9"/>
  <c r="AD77" i="11"/>
  <c r="AD194" i="9"/>
  <c r="AD40" i="9"/>
  <c r="Q77" i="11"/>
  <c r="Q194" i="9"/>
  <c r="Q40" i="9"/>
  <c r="O77" i="11"/>
  <c r="O194" i="9"/>
  <c r="O40" i="9"/>
  <c r="AG77" i="11"/>
  <c r="AG194" i="9"/>
  <c r="AG40" i="9"/>
  <c r="K77" i="11"/>
  <c r="K194" i="9"/>
  <c r="K40" i="9"/>
  <c r="AR77" i="11"/>
  <c r="AR40" i="9"/>
  <c r="AR194" i="9"/>
  <c r="AA77" i="11"/>
  <c r="AA194" i="9"/>
  <c r="AA40" i="9"/>
  <c r="AE77" i="11"/>
  <c r="AE194" i="9"/>
  <c r="AE40" i="9"/>
  <c r="AO77" i="11"/>
  <c r="AO194" i="9"/>
  <c r="AO40" i="9"/>
  <c r="R22" i="10"/>
  <c r="R61" i="10" s="1"/>
  <c r="Q30" i="10"/>
  <c r="AC77" i="11"/>
  <c r="AC194" i="9"/>
  <c r="AC40" i="9"/>
  <c r="W77" i="11"/>
  <c r="W194" i="9"/>
  <c r="W40" i="9"/>
  <c r="AS77" i="11"/>
  <c r="AS194" i="9"/>
  <c r="AS40" i="9"/>
  <c r="P194" i="9"/>
  <c r="P77" i="11"/>
  <c r="P40" i="9"/>
  <c r="R77" i="11"/>
  <c r="R194" i="9"/>
  <c r="R40" i="9"/>
  <c r="AI77" i="11"/>
  <c r="AI194" i="9"/>
  <c r="AI40" i="9"/>
  <c r="Z77" i="11"/>
  <c r="Z40" i="9"/>
  <c r="Z194" i="9"/>
  <c r="L77" i="11"/>
  <c r="L40" i="9"/>
  <c r="L194" i="9"/>
  <c r="X77" i="11"/>
  <c r="X40" i="9"/>
  <c r="X194" i="9"/>
  <c r="S77" i="11"/>
  <c r="S40" i="9"/>
  <c r="S194" i="9"/>
  <c r="O82" i="11"/>
  <c r="O204" i="11" s="1"/>
  <c r="O154" i="12" s="1"/>
  <c r="O199" i="9"/>
  <c r="O45" i="9"/>
  <c r="J153" i="17" s="1"/>
  <c r="J77" i="11"/>
  <c r="J194" i="9"/>
  <c r="J40" i="9"/>
  <c r="AQ194" i="9"/>
  <c r="AQ77" i="11"/>
  <c r="AQ40" i="9"/>
  <c r="N40" i="9"/>
  <c r="N77" i="11"/>
  <c r="N194" i="9"/>
  <c r="AN77" i="11"/>
  <c r="AN194" i="9"/>
  <c r="AN40" i="9"/>
  <c r="M77" i="11"/>
  <c r="M194" i="9"/>
  <c r="M40" i="9"/>
  <c r="T40" i="9"/>
  <c r="T77" i="11"/>
  <c r="T194" i="9"/>
  <c r="AF40" i="9"/>
  <c r="AF77" i="11"/>
  <c r="AF194" i="9"/>
  <c r="V77" i="11"/>
  <c r="V194" i="9"/>
  <c r="V40" i="9"/>
  <c r="N53" i="10"/>
  <c r="N66" i="10" s="1"/>
  <c r="N74" i="10" s="1"/>
  <c r="N37" i="10"/>
  <c r="N43" i="10" s="1"/>
  <c r="N44" i="10" s="1"/>
  <c r="N76" i="25"/>
  <c r="O32" i="10"/>
  <c r="O39" i="10" s="1"/>
  <c r="P33" i="10"/>
  <c r="P40" i="10" s="1"/>
  <c r="L74" i="10"/>
  <c r="L175" i="9" s="1"/>
  <c r="K71" i="25"/>
  <c r="K73" i="25" s="1"/>
  <c r="O24" i="10"/>
  <c r="O25" i="10" s="1"/>
  <c r="O37" i="10"/>
  <c r="T276" i="9"/>
  <c r="J276" i="9"/>
  <c r="L69" i="11"/>
  <c r="L191" i="11" s="1"/>
  <c r="L148" i="12" s="1"/>
  <c r="U276" i="9"/>
  <c r="O231" i="9"/>
  <c r="O233" i="9" s="1"/>
  <c r="P43" i="13"/>
  <c r="O126" i="9"/>
  <c r="N76" i="13"/>
  <c r="N75" i="13"/>
  <c r="P70" i="13"/>
  <c r="P63" i="13"/>
  <c r="O72" i="13"/>
  <c r="K174" i="9"/>
  <c r="K52" i="11"/>
  <c r="K20" i="9"/>
  <c r="AQ55" i="11"/>
  <c r="AQ177" i="11" s="1"/>
  <c r="AQ25" i="12" s="1"/>
  <c r="AQ177" i="9"/>
  <c r="AQ23" i="9"/>
  <c r="J52" i="11"/>
  <c r="J174" i="9"/>
  <c r="J20" i="9"/>
  <c r="AR176" i="9"/>
  <c r="AR54" i="11"/>
  <c r="AR176" i="11" s="1"/>
  <c r="AR24" i="12" s="1"/>
  <c r="AR22" i="9"/>
  <c r="AM177" i="9"/>
  <c r="AM55" i="11"/>
  <c r="AM177" i="11" s="1"/>
  <c r="AM25" i="12" s="1"/>
  <c r="AM23" i="9"/>
  <c r="Q55" i="11"/>
  <c r="Q177" i="11" s="1"/>
  <c r="Q25" i="12" s="1"/>
  <c r="Q177" i="9"/>
  <c r="Q23" i="9"/>
  <c r="O54" i="11"/>
  <c r="O176" i="11" s="1"/>
  <c r="O24" i="12" s="1"/>
  <c r="O176" i="9"/>
  <c r="O22" i="9"/>
  <c r="AG55" i="11"/>
  <c r="AG177" i="11" s="1"/>
  <c r="AG25" i="12" s="1"/>
  <c r="AG177" i="9"/>
  <c r="AG23" i="9"/>
  <c r="L176" i="9"/>
  <c r="L54" i="11"/>
  <c r="L176" i="11" s="1"/>
  <c r="L24" i="12" s="1"/>
  <c r="L22" i="9"/>
  <c r="L55" i="11"/>
  <c r="L177" i="11" s="1"/>
  <c r="L25" i="12" s="1"/>
  <c r="L177" i="9"/>
  <c r="L23" i="9"/>
  <c r="Y55" i="11"/>
  <c r="Y177" i="11" s="1"/>
  <c r="Y25" i="12" s="1"/>
  <c r="Y177" i="9"/>
  <c r="Y23" i="9"/>
  <c r="AM176" i="9"/>
  <c r="AM54" i="11"/>
  <c r="AM176" i="11" s="1"/>
  <c r="AM24" i="12" s="1"/>
  <c r="AM22" i="9"/>
  <c r="N55" i="11"/>
  <c r="N177" i="11" s="1"/>
  <c r="N25" i="12" s="1"/>
  <c r="N177" i="9"/>
  <c r="N23" i="9"/>
  <c r="P177" i="9"/>
  <c r="P55" i="11"/>
  <c r="P177" i="11" s="1"/>
  <c r="P25" i="12" s="1"/>
  <c r="P23" i="9"/>
  <c r="AK55" i="11"/>
  <c r="AK177" i="11" s="1"/>
  <c r="AK25" i="12" s="1"/>
  <c r="AK177" i="9"/>
  <c r="AK23" i="9"/>
  <c r="AH55" i="11"/>
  <c r="AH177" i="11" s="1"/>
  <c r="AH25" i="12" s="1"/>
  <c r="AH177" i="9"/>
  <c r="AH23" i="9"/>
  <c r="M94" i="10"/>
  <c r="M101" i="10" s="1"/>
  <c r="M107" i="10" s="1"/>
  <c r="M191" i="9" s="1"/>
  <c r="M74" i="10"/>
  <c r="M78" i="10" s="1"/>
  <c r="L174" i="9"/>
  <c r="L52" i="11"/>
  <c r="L20" i="9"/>
  <c r="Z176" i="9"/>
  <c r="Z54" i="11"/>
  <c r="Z176" i="11" s="1"/>
  <c r="Z24" i="12" s="1"/>
  <c r="Z22" i="9"/>
  <c r="AJ176" i="9"/>
  <c r="AJ54" i="11"/>
  <c r="AJ176" i="11" s="1"/>
  <c r="AJ24" i="12" s="1"/>
  <c r="AJ22" i="9"/>
  <c r="T55" i="11"/>
  <c r="T177" i="11" s="1"/>
  <c r="T25" i="12" s="1"/>
  <c r="T23" i="9"/>
  <c r="T177" i="9"/>
  <c r="Z55" i="11"/>
  <c r="Z177" i="11" s="1"/>
  <c r="Z25" i="12" s="1"/>
  <c r="Z177" i="9"/>
  <c r="Z23" i="9"/>
  <c r="AO54" i="11"/>
  <c r="AO176" i="11" s="1"/>
  <c r="AO24" i="12" s="1"/>
  <c r="AO22" i="9"/>
  <c r="AO176" i="9"/>
  <c r="M54" i="11"/>
  <c r="M176" i="11" s="1"/>
  <c r="M24" i="12" s="1"/>
  <c r="M22" i="9"/>
  <c r="M176" i="9"/>
  <c r="AO177" i="9"/>
  <c r="AO55" i="11"/>
  <c r="AO177" i="11" s="1"/>
  <c r="AO25" i="12" s="1"/>
  <c r="AO23" i="9"/>
  <c r="L30" i="9"/>
  <c r="AA54" i="11"/>
  <c r="AA176" i="11" s="1"/>
  <c r="AA24" i="12" s="1"/>
  <c r="AA176" i="9"/>
  <c r="AA22" i="9"/>
  <c r="AC55" i="11"/>
  <c r="AC177" i="11" s="1"/>
  <c r="AC25" i="12" s="1"/>
  <c r="AC177" i="9"/>
  <c r="AC23" i="9"/>
  <c r="AJ55" i="11"/>
  <c r="AJ177" i="11" s="1"/>
  <c r="AJ25" i="12" s="1"/>
  <c r="AJ177" i="9"/>
  <c r="AJ23" i="9"/>
  <c r="V54" i="11"/>
  <c r="V176" i="11" s="1"/>
  <c r="V24" i="12" s="1"/>
  <c r="V176" i="9"/>
  <c r="V22" i="9"/>
  <c r="X55" i="11"/>
  <c r="X177" i="11" s="1"/>
  <c r="X25" i="12" s="1"/>
  <c r="X177" i="9"/>
  <c r="X23" i="9"/>
  <c r="M52" i="11"/>
  <c r="M174" i="9"/>
  <c r="M20" i="9"/>
  <c r="J94" i="10"/>
  <c r="J101" i="10" s="1"/>
  <c r="J107" i="10" s="1"/>
  <c r="J69" i="11" s="1"/>
  <c r="J191" i="11" s="1"/>
  <c r="J148" i="12" s="1"/>
  <c r="J74" i="10"/>
  <c r="AD54" i="11"/>
  <c r="AD176" i="11" s="1"/>
  <c r="AD24" i="12" s="1"/>
  <c r="AD176" i="9"/>
  <c r="AD22" i="9"/>
  <c r="S54" i="11"/>
  <c r="S176" i="11" s="1"/>
  <c r="S24" i="12" s="1"/>
  <c r="S176" i="9"/>
  <c r="S22" i="9"/>
  <c r="J55" i="11"/>
  <c r="J177" i="11" s="1"/>
  <c r="J25" i="12" s="1"/>
  <c r="J177" i="9"/>
  <c r="J23" i="9"/>
  <c r="AE177" i="9"/>
  <c r="AE55" i="11"/>
  <c r="AE177" i="11" s="1"/>
  <c r="AE25" i="12" s="1"/>
  <c r="AE23" i="9"/>
  <c r="T176" i="9"/>
  <c r="T54" i="11"/>
  <c r="T176" i="11" s="1"/>
  <c r="T24" i="12" s="1"/>
  <c r="T22" i="9"/>
  <c r="X54" i="11"/>
  <c r="X176" i="11" s="1"/>
  <c r="X24" i="12" s="1"/>
  <c r="X176" i="9"/>
  <c r="X22" i="9"/>
  <c r="U54" i="11"/>
  <c r="U176" i="11" s="1"/>
  <c r="U24" i="12" s="1"/>
  <c r="U176" i="9"/>
  <c r="U22" i="9"/>
  <c r="AQ54" i="11"/>
  <c r="AQ176" i="11" s="1"/>
  <c r="AQ24" i="12" s="1"/>
  <c r="AQ176" i="9"/>
  <c r="AQ22" i="9"/>
  <c r="AS55" i="11"/>
  <c r="AS177" i="11" s="1"/>
  <c r="AS25" i="12" s="1"/>
  <c r="AS177" i="9"/>
  <c r="AS23" i="9"/>
  <c r="L191" i="9"/>
  <c r="AI176" i="9"/>
  <c r="AI54" i="11"/>
  <c r="AI176" i="11" s="1"/>
  <c r="AI24" i="12" s="1"/>
  <c r="AI22" i="9"/>
  <c r="AE176" i="9"/>
  <c r="AE54" i="11"/>
  <c r="AE176" i="11" s="1"/>
  <c r="AE24" i="12" s="1"/>
  <c r="AE22" i="9"/>
  <c r="R54" i="11"/>
  <c r="R176" i="11" s="1"/>
  <c r="R24" i="12" s="1"/>
  <c r="R176" i="9"/>
  <c r="R22" i="9"/>
  <c r="AB176" i="9"/>
  <c r="AB54" i="11"/>
  <c r="AB176" i="11" s="1"/>
  <c r="AB24" i="12" s="1"/>
  <c r="AB22" i="9"/>
  <c r="AD55" i="11"/>
  <c r="AD177" i="11" s="1"/>
  <c r="AD25" i="12" s="1"/>
  <c r="AD177" i="9"/>
  <c r="AD23" i="9"/>
  <c r="AL54" i="11"/>
  <c r="AL176" i="11" s="1"/>
  <c r="AL24" i="12" s="1"/>
  <c r="AL176" i="9"/>
  <c r="AL22" i="9"/>
  <c r="AN177" i="9"/>
  <c r="AN55" i="11"/>
  <c r="AN177" i="11" s="1"/>
  <c r="AN25" i="12" s="1"/>
  <c r="AN23" i="9"/>
  <c r="AG54" i="11"/>
  <c r="AG176" i="11" s="1"/>
  <c r="AG24" i="12" s="1"/>
  <c r="AG176" i="9"/>
  <c r="AG22" i="9"/>
  <c r="AP54" i="11"/>
  <c r="AP176" i="11" s="1"/>
  <c r="AP24" i="12" s="1"/>
  <c r="AP176" i="9"/>
  <c r="AP22" i="9"/>
  <c r="Q176" i="9"/>
  <c r="Q54" i="11"/>
  <c r="Q176" i="11" s="1"/>
  <c r="Q24" i="12" s="1"/>
  <c r="Q22" i="9"/>
  <c r="AL55" i="11"/>
  <c r="AL177" i="11" s="1"/>
  <c r="AL25" i="12" s="1"/>
  <c r="AL177" i="9"/>
  <c r="AL23" i="9"/>
  <c r="N54" i="11"/>
  <c r="N176" i="11" s="1"/>
  <c r="N24" i="12" s="1"/>
  <c r="N176" i="9"/>
  <c r="N22" i="9"/>
  <c r="K54" i="11"/>
  <c r="K176" i="11" s="1"/>
  <c r="K24" i="12" s="1"/>
  <c r="K176" i="9"/>
  <c r="K22" i="9"/>
  <c r="AB55" i="11"/>
  <c r="AB177" i="11" s="1"/>
  <c r="AB25" i="12" s="1"/>
  <c r="AB177" i="9"/>
  <c r="AB23" i="9"/>
  <c r="AS54" i="11"/>
  <c r="AS176" i="11" s="1"/>
  <c r="AS24" i="12" s="1"/>
  <c r="AS176" i="9"/>
  <c r="AS22" i="9"/>
  <c r="U55" i="11"/>
  <c r="U177" i="11" s="1"/>
  <c r="U25" i="12" s="1"/>
  <c r="U177" i="9"/>
  <c r="U23" i="9"/>
  <c r="P176" i="9"/>
  <c r="P54" i="11"/>
  <c r="P176" i="11" s="1"/>
  <c r="P24" i="12" s="1"/>
  <c r="P22" i="9"/>
  <c r="Y176" i="9"/>
  <c r="Y54" i="11"/>
  <c r="Y176" i="11" s="1"/>
  <c r="Y24" i="12" s="1"/>
  <c r="Y22" i="9"/>
  <c r="M55" i="11"/>
  <c r="M177" i="11" s="1"/>
  <c r="M25" i="12" s="1"/>
  <c r="M177" i="9"/>
  <c r="M23" i="9"/>
  <c r="O55" i="11"/>
  <c r="O177" i="11" s="1"/>
  <c r="O25" i="12" s="1"/>
  <c r="O23" i="9"/>
  <c r="O177" i="9"/>
  <c r="W176" i="9"/>
  <c r="W54" i="11"/>
  <c r="W176" i="11" s="1"/>
  <c r="W24" i="12" s="1"/>
  <c r="W22" i="9"/>
  <c r="J54" i="11"/>
  <c r="J176" i="11" s="1"/>
  <c r="J24" i="12" s="1"/>
  <c r="J176" i="9"/>
  <c r="J22" i="9"/>
  <c r="AF54" i="11"/>
  <c r="AF176" i="11" s="1"/>
  <c r="AF24" i="12" s="1"/>
  <c r="AF176" i="9"/>
  <c r="AF22" i="9"/>
  <c r="AP55" i="11"/>
  <c r="AP177" i="11" s="1"/>
  <c r="AP25" i="12" s="1"/>
  <c r="AP177" i="9"/>
  <c r="AP23" i="9"/>
  <c r="R55" i="11"/>
  <c r="R177" i="11" s="1"/>
  <c r="R25" i="12" s="1"/>
  <c r="R177" i="9"/>
  <c r="R23" i="9"/>
  <c r="AC176" i="9"/>
  <c r="AC54" i="11"/>
  <c r="AC176" i="11" s="1"/>
  <c r="AC24" i="12" s="1"/>
  <c r="AC22" i="9"/>
  <c r="AK176" i="9"/>
  <c r="AK54" i="11"/>
  <c r="AK176" i="11" s="1"/>
  <c r="AK24" i="12" s="1"/>
  <c r="AK22" i="9"/>
  <c r="K94" i="10"/>
  <c r="K101" i="10" s="1"/>
  <c r="K107" i="10" s="1"/>
  <c r="K30" i="9" s="1"/>
  <c r="K74" i="10"/>
  <c r="K177" i="9"/>
  <c r="K55" i="11"/>
  <c r="K177" i="11" s="1"/>
  <c r="K25" i="12" s="1"/>
  <c r="K23" i="9"/>
  <c r="V55" i="11"/>
  <c r="V177" i="11" s="1"/>
  <c r="V25" i="12" s="1"/>
  <c r="V177" i="9"/>
  <c r="V23" i="9"/>
  <c r="S55" i="11"/>
  <c r="S177" i="11" s="1"/>
  <c r="S25" i="12" s="1"/>
  <c r="S177" i="9"/>
  <c r="S23" i="9"/>
  <c r="AN176" i="9"/>
  <c r="AN54" i="11"/>
  <c r="AN176" i="11" s="1"/>
  <c r="AN24" i="12" s="1"/>
  <c r="AN22" i="9"/>
  <c r="AA177" i="9"/>
  <c r="AA55" i="11"/>
  <c r="AA177" i="11" s="1"/>
  <c r="AA25" i="12" s="1"/>
  <c r="AA23" i="9"/>
  <c r="AF55" i="11"/>
  <c r="AF177" i="11" s="1"/>
  <c r="AF25" i="12" s="1"/>
  <c r="AF177" i="9"/>
  <c r="AF23" i="9"/>
  <c r="AR177" i="9"/>
  <c r="AR55" i="11"/>
  <c r="AR177" i="11" s="1"/>
  <c r="AR25" i="12" s="1"/>
  <c r="AR23" i="9"/>
  <c r="W55" i="11"/>
  <c r="W177" i="11" s="1"/>
  <c r="W25" i="12" s="1"/>
  <c r="W177" i="9"/>
  <c r="W23" i="9"/>
  <c r="AI55" i="11"/>
  <c r="AI177" i="11" s="1"/>
  <c r="AI25" i="12" s="1"/>
  <c r="AI23" i="9"/>
  <c r="AI177" i="9"/>
  <c r="AH54" i="11"/>
  <c r="AH176" i="11" s="1"/>
  <c r="AH24" i="12" s="1"/>
  <c r="AH176" i="9"/>
  <c r="AH22" i="9"/>
  <c r="AR67" i="11"/>
  <c r="AR88" i="12"/>
  <c r="AR28" i="9"/>
  <c r="AR189" i="9"/>
  <c r="P189" i="9"/>
  <c r="P67" i="11"/>
  <c r="P28" i="9"/>
  <c r="P88" i="12"/>
  <c r="K67" i="11"/>
  <c r="K28" i="9"/>
  <c r="K88" i="12"/>
  <c r="K189" i="9"/>
  <c r="U189" i="9"/>
  <c r="U67" i="11"/>
  <c r="U28" i="9"/>
  <c r="U88" i="12"/>
  <c r="AN67" i="11"/>
  <c r="AN189" i="9"/>
  <c r="AN88" i="12"/>
  <c r="AN28" i="9"/>
  <c r="M189" i="9"/>
  <c r="M67" i="11"/>
  <c r="M28" i="9"/>
  <c r="M88" i="12"/>
  <c r="N189" i="9"/>
  <c r="N67" i="11"/>
  <c r="N28" i="9"/>
  <c r="N88" i="12"/>
  <c r="Y67" i="11"/>
  <c r="Y189" i="9"/>
  <c r="Y28" i="9"/>
  <c r="Y88" i="12"/>
  <c r="AL67" i="11"/>
  <c r="AL189" i="9"/>
  <c r="AL88" i="12"/>
  <c r="AL28" i="9"/>
  <c r="AM67" i="11"/>
  <c r="AM189" i="9"/>
  <c r="AM28" i="9"/>
  <c r="AM88" i="12"/>
  <c r="AB28" i="9"/>
  <c r="AB67" i="11"/>
  <c r="AB88" i="12"/>
  <c r="AB189" i="9"/>
  <c r="J67" i="11"/>
  <c r="J28" i="9"/>
  <c r="J88" i="12"/>
  <c r="J189" i="9"/>
  <c r="AA28" i="9"/>
  <c r="AA88" i="12"/>
  <c r="AA189" i="9"/>
  <c r="AA67" i="11"/>
  <c r="AJ28" i="9"/>
  <c r="AJ67" i="11"/>
  <c r="AJ88" i="12"/>
  <c r="AJ189" i="9"/>
  <c r="AO67" i="11"/>
  <c r="AO28" i="9"/>
  <c r="AO189" i="9"/>
  <c r="AO88" i="12"/>
  <c r="T67" i="11"/>
  <c r="T28" i="9"/>
  <c r="T88" i="12"/>
  <c r="T189" i="9"/>
  <c r="AP67" i="11"/>
  <c r="AP88" i="12"/>
  <c r="AP28" i="9"/>
  <c r="AP189" i="9"/>
  <c r="AS189" i="9"/>
  <c r="AS67" i="11"/>
  <c r="AS88" i="12"/>
  <c r="AS28" i="9"/>
  <c r="AH28" i="9"/>
  <c r="AH67" i="11"/>
  <c r="AH88" i="12"/>
  <c r="AH189" i="9"/>
  <c r="AF67" i="11"/>
  <c r="AF189" i="9"/>
  <c r="AF28" i="9"/>
  <c r="AF88" i="12"/>
  <c r="L67" i="11"/>
  <c r="L28" i="9"/>
  <c r="L108" i="10"/>
  <c r="L88" i="12"/>
  <c r="L189" i="9"/>
  <c r="AE67" i="11"/>
  <c r="AE189" i="9"/>
  <c r="AE28" i="9"/>
  <c r="AE88" i="12"/>
  <c r="W189" i="9"/>
  <c r="W67" i="11"/>
  <c r="W28" i="9"/>
  <c r="W88" i="12"/>
  <c r="Z67" i="11"/>
  <c r="Z28" i="9"/>
  <c r="Z88" i="12"/>
  <c r="Z189" i="9"/>
  <c r="AK189" i="9"/>
  <c r="AK67" i="11"/>
  <c r="AK88" i="12"/>
  <c r="AK28" i="9"/>
  <c r="AD67" i="11"/>
  <c r="AD189" i="9"/>
  <c r="AD28" i="9"/>
  <c r="AD88" i="12"/>
  <c r="X189" i="9"/>
  <c r="X67" i="11"/>
  <c r="X28" i="9"/>
  <c r="X88" i="12"/>
  <c r="S28" i="9"/>
  <c r="S88" i="12"/>
  <c r="S189" i="9"/>
  <c r="S67" i="11"/>
  <c r="AC189" i="9"/>
  <c r="AC28" i="9"/>
  <c r="AC88" i="12"/>
  <c r="AC67" i="11"/>
  <c r="Q67" i="11"/>
  <c r="Q189" i="9"/>
  <c r="Q28" i="9"/>
  <c r="Q88" i="12"/>
  <c r="AQ67" i="11"/>
  <c r="AQ88" i="12"/>
  <c r="AQ28" i="9"/>
  <c r="AQ189" i="9"/>
  <c r="L72" i="14"/>
  <c r="L67" i="14"/>
  <c r="AI28" i="9"/>
  <c r="AI88" i="12"/>
  <c r="AI189" i="9"/>
  <c r="AI67" i="11"/>
  <c r="V189" i="9"/>
  <c r="V67" i="11"/>
  <c r="V28" i="9"/>
  <c r="V88" i="12"/>
  <c r="AG67" i="11"/>
  <c r="AG189" i="9"/>
  <c r="AG28" i="9"/>
  <c r="AG88" i="12"/>
  <c r="O189" i="9"/>
  <c r="O28" i="9"/>
  <c r="O67" i="11"/>
  <c r="O88" i="12"/>
  <c r="R67" i="11"/>
  <c r="R28" i="9"/>
  <c r="R88" i="12"/>
  <c r="R189" i="9"/>
  <c r="Q190" i="12"/>
  <c r="Q191" i="12" s="1"/>
  <c r="Q169" i="12"/>
  <c r="Q170" i="12" s="1"/>
  <c r="AC65" i="14"/>
  <c r="Z66" i="14" s="1"/>
  <c r="Z80" i="14" s="1"/>
  <c r="Z59" i="9" s="1"/>
  <c r="AA64" i="14"/>
  <c r="AB65" i="14" s="1"/>
  <c r="AE56" i="14"/>
  <c r="X57" i="14" s="1"/>
  <c r="X79" i="14" s="1"/>
  <c r="Y55" i="14"/>
  <c r="AF63" i="14"/>
  <c r="K71" i="14"/>
  <c r="K73" i="14" s="1"/>
  <c r="K58" i="14"/>
  <c r="J99" i="9"/>
  <c r="J101" i="9" s="1"/>
  <c r="J85" i="14"/>
  <c r="Q194" i="12"/>
  <c r="J70" i="10"/>
  <c r="Q173" i="12"/>
  <c r="L102" i="10"/>
  <c r="L70" i="10"/>
  <c r="K70" i="10"/>
  <c r="O48" i="13"/>
  <c r="O50" i="13" s="1"/>
  <c r="N50" i="10"/>
  <c r="N65" i="10" s="1"/>
  <c r="N73" i="10" s="1"/>
  <c r="M70" i="10"/>
  <c r="AH110" i="11"/>
  <c r="P110" i="11"/>
  <c r="AI110" i="11"/>
  <c r="V110" i="11"/>
  <c r="AO110" i="11"/>
  <c r="Q110" i="11"/>
  <c r="AD110" i="11"/>
  <c r="AL110" i="11"/>
  <c r="R110" i="11"/>
  <c r="AC110" i="11"/>
  <c r="AE110" i="11"/>
  <c r="N110" i="11"/>
  <c r="AJ110" i="11"/>
  <c r="N53" i="13"/>
  <c r="N55" i="13" s="1"/>
  <c r="AM110" i="11"/>
  <c r="O110" i="11"/>
  <c r="U110" i="11"/>
  <c r="AF110" i="11"/>
  <c r="AK110" i="11"/>
  <c r="V103" i="9"/>
  <c r="V104" i="9" s="1"/>
  <c r="W71" i="15"/>
  <c r="W72" i="15" s="1"/>
  <c r="V74" i="15"/>
  <c r="V75" i="15" s="1"/>
  <c r="V81" i="15" s="1"/>
  <c r="V246" i="9" s="1"/>
  <c r="V247" i="9" s="1"/>
  <c r="V249" i="9" s="1"/>
  <c r="V276" i="9" s="1"/>
  <c r="V89" i="15"/>
  <c r="V91" i="15" s="1"/>
  <c r="V92" i="15" s="1"/>
  <c r="V93" i="15" s="1"/>
  <c r="AQ110" i="11"/>
  <c r="AA110" i="11"/>
  <c r="M110" i="11"/>
  <c r="Z110" i="11"/>
  <c r="U178" i="15"/>
  <c r="V168" i="15"/>
  <c r="U169" i="15"/>
  <c r="X78" i="15"/>
  <c r="W88" i="15"/>
  <c r="W79" i="15"/>
  <c r="T154" i="9"/>
  <c r="T155" i="9" s="1"/>
  <c r="T179" i="15"/>
  <c r="T181" i="15" s="1"/>
  <c r="T182" i="15" s="1"/>
  <c r="T183" i="15" s="1"/>
  <c r="T164" i="15"/>
  <c r="T165" i="15" s="1"/>
  <c r="T171" i="15" s="1"/>
  <c r="T266" i="9" s="1"/>
  <c r="T267" i="9" s="1"/>
  <c r="T282" i="9" s="1"/>
  <c r="U161" i="15"/>
  <c r="U162" i="15" s="1"/>
  <c r="W110" i="11"/>
  <c r="AN110" i="11"/>
  <c r="T110" i="11"/>
  <c r="S110" i="11"/>
  <c r="L110" i="11"/>
  <c r="T134" i="9"/>
  <c r="T135" i="9" s="1"/>
  <c r="U101" i="15"/>
  <c r="U102" i="15" s="1"/>
  <c r="T119" i="15"/>
  <c r="T121" i="15" s="1"/>
  <c r="T122" i="15" s="1"/>
  <c r="T123" i="15" s="1"/>
  <c r="T104" i="15"/>
  <c r="T105" i="15" s="1"/>
  <c r="T111" i="15" s="1"/>
  <c r="T215" i="9" s="1"/>
  <c r="T216" i="9" s="1"/>
  <c r="W139" i="15"/>
  <c r="X138" i="15"/>
  <c r="W148" i="15"/>
  <c r="AR110" i="11"/>
  <c r="AG110" i="11"/>
  <c r="X110" i="11"/>
  <c r="Y110" i="11"/>
  <c r="K110" i="11"/>
  <c r="AB110" i="11"/>
  <c r="U109" i="15"/>
  <c r="V108" i="15"/>
  <c r="U118" i="15"/>
  <c r="V143" i="9"/>
  <c r="V144" i="9" s="1"/>
  <c r="W131" i="15"/>
  <c r="W132" i="15" s="1"/>
  <c r="V149" i="15"/>
  <c r="V151" i="15" s="1"/>
  <c r="V152" i="15" s="1"/>
  <c r="V153" i="15" s="1"/>
  <c r="V134" i="15"/>
  <c r="V135" i="15" s="1"/>
  <c r="V141" i="15" s="1"/>
  <c r="V265" i="9" s="1"/>
  <c r="U62" i="15"/>
  <c r="U63" i="15" s="1"/>
  <c r="W96" i="12"/>
  <c r="W97" i="12" s="1"/>
  <c r="R163" i="12"/>
  <c r="Q33" i="13"/>
  <c r="Q259" i="12"/>
  <c r="Q134" i="11"/>
  <c r="P45" i="13"/>
  <c r="R249" i="12"/>
  <c r="V59" i="15"/>
  <c r="V61" i="15" s="1"/>
  <c r="V44" i="15"/>
  <c r="V45" i="15" s="1"/>
  <c r="V51" i="15" s="1"/>
  <c r="V237" i="9" s="1"/>
  <c r="V238" i="9" s="1"/>
  <c r="W41" i="15"/>
  <c r="W42" i="15" s="1"/>
  <c r="V94" i="9"/>
  <c r="V95" i="9" s="1"/>
  <c r="R127" i="11"/>
  <c r="Q147" i="11"/>
  <c r="W49" i="15"/>
  <c r="X48" i="15"/>
  <c r="W58" i="15"/>
  <c r="AS162" i="11"/>
  <c r="P91" i="13"/>
  <c r="Q153" i="13"/>
  <c r="P152" i="9"/>
  <c r="E191" i="17"/>
  <c r="E198" i="17" s="1"/>
  <c r="H13" i="7"/>
  <c r="H14" i="7"/>
  <c r="N116" i="18"/>
  <c r="N121" i="18"/>
  <c r="N124" i="18"/>
  <c r="N122" i="18"/>
  <c r="N117" i="18" s="1"/>
  <c r="R121" i="18"/>
  <c r="R122" i="18"/>
  <c r="R117" i="18" s="1"/>
  <c r="R116" i="18"/>
  <c r="R124" i="18"/>
  <c r="J124" i="18"/>
  <c r="J116" i="18"/>
  <c r="J122" i="18"/>
  <c r="J117" i="18" s="1"/>
  <c r="J121" i="18"/>
  <c r="L124" i="18"/>
  <c r="L116" i="18"/>
  <c r="L122" i="18"/>
  <c r="L117" i="18" s="1"/>
  <c r="L121" i="18"/>
  <c r="I122" i="18"/>
  <c r="I117" i="18" s="1"/>
  <c r="I121" i="18"/>
  <c r="I116" i="18"/>
  <c r="I124" i="18"/>
  <c r="Q124" i="18"/>
  <c r="Q122" i="18"/>
  <c r="Q117" i="18" s="1"/>
  <c r="Q116" i="18"/>
  <c r="Q121" i="18"/>
  <c r="K122" i="18"/>
  <c r="K117" i="18" s="1"/>
  <c r="K121" i="18"/>
  <c r="K124" i="18"/>
  <c r="K116" i="18"/>
  <c r="H128" i="18"/>
  <c r="B4" i="19" s="1"/>
  <c r="T116" i="18"/>
  <c r="T124" i="18"/>
  <c r="T122" i="18"/>
  <c r="T117" i="18" s="1"/>
  <c r="T121" i="18"/>
  <c r="P124" i="18"/>
  <c r="P121" i="18"/>
  <c r="P122" i="18"/>
  <c r="P117" i="18" s="1"/>
  <c r="P116" i="18"/>
  <c r="O121" i="18"/>
  <c r="O122" i="18"/>
  <c r="O117" i="18" s="1"/>
  <c r="O124" i="18"/>
  <c r="O116" i="18"/>
  <c r="S116" i="18"/>
  <c r="S121" i="18"/>
  <c r="S122" i="18"/>
  <c r="S117" i="18" s="1"/>
  <c r="S124" i="18"/>
  <c r="M121" i="18"/>
  <c r="M124" i="18"/>
  <c r="M122" i="18"/>
  <c r="M117" i="18" s="1"/>
  <c r="M116" i="18"/>
  <c r="P81" i="17"/>
  <c r="H101" i="17"/>
  <c r="H95" i="17"/>
  <c r="L101" i="17"/>
  <c r="L95" i="17"/>
  <c r="I80" i="17"/>
  <c r="G81" i="17"/>
  <c r="L80" i="17"/>
  <c r="N101" i="17"/>
  <c r="N95" i="17"/>
  <c r="O81" i="17"/>
  <c r="K80" i="17"/>
  <c r="M101" i="17"/>
  <c r="M95" i="17"/>
  <c r="F101" i="17"/>
  <c r="F95" i="17"/>
  <c r="E81" i="17"/>
  <c r="H80" i="17"/>
  <c r="J80" i="17"/>
  <c r="J101" i="17"/>
  <c r="J95" i="17"/>
  <c r="P101" i="17"/>
  <c r="P95" i="17"/>
  <c r="E93" i="17"/>
  <c r="B4" i="17" s="1"/>
  <c r="L81" i="17"/>
  <c r="M81" i="17"/>
  <c r="P80" i="17"/>
  <c r="I95" i="17"/>
  <c r="I101" i="17"/>
  <c r="E101" i="17"/>
  <c r="E95" i="17"/>
  <c r="H81" i="17"/>
  <c r="E80" i="17"/>
  <c r="F80" i="17"/>
  <c r="G95" i="17"/>
  <c r="G101" i="17"/>
  <c r="K95" i="17"/>
  <c r="K101" i="17"/>
  <c r="M80" i="17"/>
  <c r="N80" i="17"/>
  <c r="O101" i="17"/>
  <c r="O95" i="17"/>
  <c r="J77" i="17"/>
  <c r="E77" i="17"/>
  <c r="N77" i="17"/>
  <c r="G77" i="17"/>
  <c r="K77" i="17"/>
  <c r="O77" i="17"/>
  <c r="F77" i="17"/>
  <c r="P77" i="17"/>
  <c r="R91" i="10" l="1"/>
  <c r="R100" i="10" s="1"/>
  <c r="R106" i="10" s="1"/>
  <c r="R69" i="10"/>
  <c r="R77" i="10" s="1"/>
  <c r="Q56" i="11"/>
  <c r="Q178" i="11" s="1"/>
  <c r="Q26" i="12" s="1"/>
  <c r="Q178" i="9"/>
  <c r="Q24" i="9"/>
  <c r="L134" i="17" s="1"/>
  <c r="Q190" i="9"/>
  <c r="Q89" i="12"/>
  <c r="Q68" i="11"/>
  <c r="Q190" i="11" s="1"/>
  <c r="Q147" i="12" s="1"/>
  <c r="Q29" i="9"/>
  <c r="N94" i="10"/>
  <c r="N101" i="10" s="1"/>
  <c r="N107" i="10" s="1"/>
  <c r="N30" i="9" s="1"/>
  <c r="N31" i="9" s="1"/>
  <c r="M146" i="18" s="1"/>
  <c r="M147" i="18" s="1"/>
  <c r="AN199" i="11"/>
  <c r="J199" i="11"/>
  <c r="P199" i="11"/>
  <c r="Q43" i="12"/>
  <c r="Q44" i="12" s="1"/>
  <c r="Q35" i="12"/>
  <c r="AQ199" i="11"/>
  <c r="S199" i="11"/>
  <c r="Z199" i="11"/>
  <c r="M148" i="17"/>
  <c r="AC199" i="11"/>
  <c r="AO199" i="11"/>
  <c r="AR199" i="11"/>
  <c r="O199" i="11"/>
  <c r="AP199" i="11"/>
  <c r="AK199" i="11"/>
  <c r="AB199" i="11"/>
  <c r="N148" i="17"/>
  <c r="P148" i="17"/>
  <c r="O43" i="10"/>
  <c r="O44" i="10" s="1"/>
  <c r="V199" i="11"/>
  <c r="M199" i="11"/>
  <c r="G148" i="17"/>
  <c r="F148" i="17"/>
  <c r="L148" i="17"/>
  <c r="T199" i="11"/>
  <c r="N199" i="11"/>
  <c r="L199" i="11"/>
  <c r="R199" i="11"/>
  <c r="W199" i="11"/>
  <c r="S22" i="10"/>
  <c r="S61" i="10" s="1"/>
  <c r="R30" i="10"/>
  <c r="AA199" i="11"/>
  <c r="AG199" i="11"/>
  <c r="AD199" i="11"/>
  <c r="AM199" i="11"/>
  <c r="U199" i="11"/>
  <c r="AH199" i="11"/>
  <c r="H148" i="17"/>
  <c r="O148" i="17"/>
  <c r="I148" i="17"/>
  <c r="E148" i="17"/>
  <c r="K148" i="17"/>
  <c r="J148" i="17"/>
  <c r="Y199" i="11"/>
  <c r="AL199" i="11"/>
  <c r="AF199" i="11"/>
  <c r="X199" i="11"/>
  <c r="AI199" i="11"/>
  <c r="AS199" i="11"/>
  <c r="AE199" i="11"/>
  <c r="K199" i="11"/>
  <c r="Q199" i="11"/>
  <c r="AJ199" i="11"/>
  <c r="O76" i="25"/>
  <c r="L53" i="11"/>
  <c r="L175" i="11" s="1"/>
  <c r="L23" i="12" s="1"/>
  <c r="L78" i="10"/>
  <c r="L133" i="10" s="1"/>
  <c r="L146" i="10" s="1"/>
  <c r="L157" i="10" s="1"/>
  <c r="Q33" i="10"/>
  <c r="Q40" i="10" s="1"/>
  <c r="P131" i="10"/>
  <c r="P145" i="10" s="1"/>
  <c r="P156" i="10" s="1"/>
  <c r="L21" i="9"/>
  <c r="L25" i="9" s="1"/>
  <c r="K139" i="18" s="1"/>
  <c r="K140" i="18" s="1"/>
  <c r="P32" i="10"/>
  <c r="P39" i="10" s="1"/>
  <c r="P37" i="10"/>
  <c r="P24" i="10"/>
  <c r="P25" i="10" s="1"/>
  <c r="L71" i="25"/>
  <c r="L73" i="25" s="1"/>
  <c r="J191" i="9"/>
  <c r="J192" i="9" s="1"/>
  <c r="J102" i="10"/>
  <c r="M102" i="10"/>
  <c r="J90" i="12"/>
  <c r="N77" i="13"/>
  <c r="N80" i="13" s="1"/>
  <c r="K90" i="12"/>
  <c r="M69" i="11"/>
  <c r="M191" i="11" s="1"/>
  <c r="M148" i="12" s="1"/>
  <c r="K102" i="10"/>
  <c r="M90" i="12"/>
  <c r="M108" i="10"/>
  <c r="L192" i="9"/>
  <c r="G64" i="17" s="1"/>
  <c r="M30" i="9"/>
  <c r="M31" i="9" s="1"/>
  <c r="L146" i="18" s="1"/>
  <c r="L147" i="18" s="1"/>
  <c r="L31" i="9"/>
  <c r="J132" i="17"/>
  <c r="J106" i="9"/>
  <c r="E133" i="17"/>
  <c r="K133" i="17"/>
  <c r="L132" i="17"/>
  <c r="I132" i="17"/>
  <c r="G132" i="17"/>
  <c r="M133" i="17"/>
  <c r="J133" i="17"/>
  <c r="K132" i="17"/>
  <c r="O132" i="17"/>
  <c r="L133" i="17"/>
  <c r="E132" i="17"/>
  <c r="N132" i="17"/>
  <c r="H132" i="17"/>
  <c r="I133" i="17"/>
  <c r="F133" i="17"/>
  <c r="H133" i="17"/>
  <c r="M132" i="17"/>
  <c r="P132" i="17"/>
  <c r="O133" i="17"/>
  <c r="K191" i="9"/>
  <c r="K192" i="9" s="1"/>
  <c r="P133" i="17"/>
  <c r="K69" i="11"/>
  <c r="K191" i="11" s="1"/>
  <c r="K148" i="12" s="1"/>
  <c r="N133" i="17"/>
  <c r="F132" i="17"/>
  <c r="G133" i="17"/>
  <c r="P69" i="9"/>
  <c r="P70" i="9" s="1"/>
  <c r="P71" i="13"/>
  <c r="P230" i="9" s="1"/>
  <c r="L179" i="9"/>
  <c r="G60" i="17" s="1"/>
  <c r="P229" i="9"/>
  <c r="O127" i="9"/>
  <c r="O128" i="9" s="1"/>
  <c r="O130" i="9" s="1"/>
  <c r="P69" i="13"/>
  <c r="O74" i="13"/>
  <c r="P140" i="9"/>
  <c r="P141" i="9" s="1"/>
  <c r="P146" i="9" s="1"/>
  <c r="Q59" i="13"/>
  <c r="K175" i="9"/>
  <c r="K179" i="9" s="1"/>
  <c r="K53" i="11"/>
  <c r="K175" i="11" s="1"/>
  <c r="K23" i="12" s="1"/>
  <c r="K21" i="9"/>
  <c r="K25" i="9" s="1"/>
  <c r="J139" i="18" s="1"/>
  <c r="J140" i="18" s="1"/>
  <c r="J108" i="10"/>
  <c r="K108" i="10"/>
  <c r="M174" i="11"/>
  <c r="L174" i="11"/>
  <c r="N53" i="11"/>
  <c r="N175" i="11" s="1"/>
  <c r="N23" i="12" s="1"/>
  <c r="N175" i="9"/>
  <c r="N21" i="9"/>
  <c r="J174" i="11"/>
  <c r="M53" i="11"/>
  <c r="M175" i="11" s="1"/>
  <c r="M23" i="12" s="1"/>
  <c r="M175" i="9"/>
  <c r="M179" i="9" s="1"/>
  <c r="M21" i="9"/>
  <c r="J30" i="9"/>
  <c r="J31" i="9" s="1"/>
  <c r="I146" i="18" s="1"/>
  <c r="I147" i="18" s="1"/>
  <c r="J53" i="11"/>
  <c r="J175" i="11" s="1"/>
  <c r="J23" i="12" s="1"/>
  <c r="J175" i="9"/>
  <c r="J179" i="9" s="1"/>
  <c r="J21" i="9"/>
  <c r="F130" i="17"/>
  <c r="N52" i="11"/>
  <c r="N174" i="9"/>
  <c r="N78" i="10"/>
  <c r="N133" i="10" s="1"/>
  <c r="N146" i="10" s="1"/>
  <c r="N157" i="10" s="1"/>
  <c r="N20" i="9"/>
  <c r="H130" i="17"/>
  <c r="E130" i="17"/>
  <c r="K78" i="10"/>
  <c r="K133" i="10" s="1"/>
  <c r="K146" i="10" s="1"/>
  <c r="K157" i="10" s="1"/>
  <c r="G130" i="17"/>
  <c r="K174" i="11"/>
  <c r="J78" i="10"/>
  <c r="J133" i="10" s="1"/>
  <c r="J146" i="10" s="1"/>
  <c r="J157" i="10" s="1"/>
  <c r="K31" i="9"/>
  <c r="J146" i="18" s="1"/>
  <c r="J147" i="18" s="1"/>
  <c r="M192" i="9"/>
  <c r="AG189" i="11"/>
  <c r="AG146" i="12" s="1"/>
  <c r="AQ189" i="11"/>
  <c r="AQ146" i="12" s="1"/>
  <c r="W189" i="11"/>
  <c r="W146" i="12" s="1"/>
  <c r="AF189" i="11"/>
  <c r="AF146" i="12" s="1"/>
  <c r="AS189" i="11"/>
  <c r="AS146" i="12" s="1"/>
  <c r="J189" i="11"/>
  <c r="J146" i="12" s="1"/>
  <c r="J70" i="11"/>
  <c r="N189" i="11"/>
  <c r="N146" i="12" s="1"/>
  <c r="AD189" i="11"/>
  <c r="AD146" i="12" s="1"/>
  <c r="AM189" i="11"/>
  <c r="AM146" i="12" s="1"/>
  <c r="O189" i="11"/>
  <c r="O146" i="12" s="1"/>
  <c r="AO189" i="11"/>
  <c r="AO146" i="12" s="1"/>
  <c r="P189" i="11"/>
  <c r="P146" i="12" s="1"/>
  <c r="M61" i="14"/>
  <c r="L84" i="14"/>
  <c r="L100" i="9" s="1"/>
  <c r="L70" i="11"/>
  <c r="L189" i="11"/>
  <c r="L146" i="12" s="1"/>
  <c r="AN189" i="11"/>
  <c r="AN146" i="12" s="1"/>
  <c r="V189" i="11"/>
  <c r="V146" i="12" s="1"/>
  <c r="S189" i="11"/>
  <c r="S146" i="12" s="1"/>
  <c r="X189" i="11"/>
  <c r="X146" i="12" s="1"/>
  <c r="Z189" i="11"/>
  <c r="Z146" i="12" s="1"/>
  <c r="AH189" i="11"/>
  <c r="AH146" i="12" s="1"/>
  <c r="T189" i="11"/>
  <c r="T146" i="12" s="1"/>
  <c r="AB189" i="11"/>
  <c r="AB146" i="12" s="1"/>
  <c r="Y189" i="11"/>
  <c r="Y146" i="12" s="1"/>
  <c r="AJ189" i="11"/>
  <c r="AJ146" i="12" s="1"/>
  <c r="M189" i="11"/>
  <c r="M146" i="12" s="1"/>
  <c r="K189" i="11"/>
  <c r="K146" i="12" s="1"/>
  <c r="R189" i="11"/>
  <c r="R146" i="12" s="1"/>
  <c r="AI189" i="11"/>
  <c r="AI146" i="12" s="1"/>
  <c r="Q189" i="11"/>
  <c r="Q146" i="12" s="1"/>
  <c r="AK189" i="11"/>
  <c r="AK146" i="12" s="1"/>
  <c r="AE189" i="11"/>
  <c r="AE146" i="12" s="1"/>
  <c r="AR189" i="11"/>
  <c r="AR146" i="12" s="1"/>
  <c r="AC189" i="11"/>
  <c r="AC146" i="12" s="1"/>
  <c r="AP189" i="11"/>
  <c r="AP146" i="12" s="1"/>
  <c r="AA189" i="11"/>
  <c r="AA146" i="12" s="1"/>
  <c r="AL189" i="11"/>
  <c r="AL146" i="12" s="1"/>
  <c r="U189" i="11"/>
  <c r="U146" i="12" s="1"/>
  <c r="AA66" i="14"/>
  <c r="AA80" i="14" s="1"/>
  <c r="AA59" i="9" s="1"/>
  <c r="X58" i="9"/>
  <c r="X60" i="9" s="1"/>
  <c r="X62" i="9" s="1"/>
  <c r="X81" i="14"/>
  <c r="AB64" i="14"/>
  <c r="AD56" i="14"/>
  <c r="Y57" i="14" s="1"/>
  <c r="Y79" i="14" s="1"/>
  <c r="Z55" i="14"/>
  <c r="AA55" i="14" s="1"/>
  <c r="AG63" i="14"/>
  <c r="M133" i="10"/>
  <c r="M146" i="10" s="1"/>
  <c r="M157" i="10" s="1"/>
  <c r="K83" i="14"/>
  <c r="L52" i="14"/>
  <c r="O49" i="13"/>
  <c r="O51" i="13" s="1"/>
  <c r="O54" i="13" s="1"/>
  <c r="L185" i="9"/>
  <c r="L110" i="10"/>
  <c r="L111" i="10" s="1"/>
  <c r="L112" i="10" s="1"/>
  <c r="L113" i="10" s="1"/>
  <c r="R193" i="12"/>
  <c r="R172" i="12"/>
  <c r="N185" i="9"/>
  <c r="N70" i="10"/>
  <c r="O50" i="10"/>
  <c r="O65" i="10" s="1"/>
  <c r="O73" i="10" s="1"/>
  <c r="O53" i="10"/>
  <c r="O66" i="10" s="1"/>
  <c r="J110" i="11"/>
  <c r="P46" i="13"/>
  <c r="J87" i="14"/>
  <c r="J88" i="14" s="1"/>
  <c r="J89" i="14" s="1"/>
  <c r="U119" i="15"/>
  <c r="U121" i="15" s="1"/>
  <c r="U122" i="15" s="1"/>
  <c r="U123" i="15" s="1"/>
  <c r="U104" i="15"/>
  <c r="U105" i="15" s="1"/>
  <c r="U111" i="15" s="1"/>
  <c r="U215" i="9" s="1"/>
  <c r="U216" i="9" s="1"/>
  <c r="V101" i="15"/>
  <c r="V102" i="15" s="1"/>
  <c r="U134" i="9"/>
  <c r="U135" i="9" s="1"/>
  <c r="V169" i="15"/>
  <c r="W168" i="15"/>
  <c r="V178" i="15"/>
  <c r="W108" i="15"/>
  <c r="V109" i="15"/>
  <c r="V118" i="15"/>
  <c r="X131" i="15"/>
  <c r="X132" i="15" s="1"/>
  <c r="W149" i="15"/>
  <c r="W151" i="15" s="1"/>
  <c r="W152" i="15" s="1"/>
  <c r="W153" i="15" s="1"/>
  <c r="W134" i="15"/>
  <c r="W135" i="15" s="1"/>
  <c r="W141" i="15" s="1"/>
  <c r="W265" i="9" s="1"/>
  <c r="W143" i="9"/>
  <c r="W144" i="9" s="1"/>
  <c r="U179" i="15"/>
  <c r="U181" i="15" s="1"/>
  <c r="U164" i="15"/>
  <c r="U165" i="15" s="1"/>
  <c r="U171" i="15" s="1"/>
  <c r="U266" i="9" s="1"/>
  <c r="U267" i="9" s="1"/>
  <c r="U282" i="9" s="1"/>
  <c r="V161" i="15"/>
  <c r="V162" i="15" s="1"/>
  <c r="U154" i="9"/>
  <c r="U155" i="9" s="1"/>
  <c r="Y78" i="15"/>
  <c r="X79" i="15"/>
  <c r="X88" i="15"/>
  <c r="Y138" i="15"/>
  <c r="X139" i="15"/>
  <c r="X148" i="15"/>
  <c r="W89" i="15"/>
  <c r="W91" i="15" s="1"/>
  <c r="W92" i="15" s="1"/>
  <c r="W93" i="15" s="1"/>
  <c r="W74" i="15"/>
  <c r="W75" i="15" s="1"/>
  <c r="W81" i="15" s="1"/>
  <c r="W246" i="9" s="1"/>
  <c r="W247" i="9" s="1"/>
  <c r="W249" i="9" s="1"/>
  <c r="W276" i="9" s="1"/>
  <c r="W103" i="9"/>
  <c r="W104" i="9" s="1"/>
  <c r="X71" i="15"/>
  <c r="X72" i="15" s="1"/>
  <c r="Q88" i="13"/>
  <c r="Q156" i="13"/>
  <c r="R146" i="11"/>
  <c r="R133" i="11"/>
  <c r="R128" i="11"/>
  <c r="X96" i="12"/>
  <c r="X97" i="12" s="1"/>
  <c r="R164" i="12"/>
  <c r="W59" i="15"/>
  <c r="W61" i="15" s="1"/>
  <c r="W44" i="15"/>
  <c r="W45" i="15" s="1"/>
  <c r="W51" i="15" s="1"/>
  <c r="W237" i="9" s="1"/>
  <c r="W238" i="9" s="1"/>
  <c r="X41" i="15"/>
  <c r="X42" i="15" s="1"/>
  <c r="W94" i="9"/>
  <c r="W95" i="9" s="1"/>
  <c r="R258" i="12"/>
  <c r="R250" i="12"/>
  <c r="V62" i="15"/>
  <c r="V63" i="15" s="1"/>
  <c r="Y48" i="15"/>
  <c r="X49" i="15"/>
  <c r="X58" i="15"/>
  <c r="Q37" i="13"/>
  <c r="Q139" i="9" s="1"/>
  <c r="Q44" i="13"/>
  <c r="Q68" i="9" s="1"/>
  <c r="W64" i="17"/>
  <c r="E71" i="17"/>
  <c r="E53" i="17"/>
  <c r="E18" i="17"/>
  <c r="S194" i="18"/>
  <c r="AD43" i="19"/>
  <c r="S145" i="18"/>
  <c r="AD66" i="19"/>
  <c r="AD73" i="19"/>
  <c r="S201" i="18"/>
  <c r="S208" i="18"/>
  <c r="AD36" i="19"/>
  <c r="AD51" i="19"/>
  <c r="N66" i="19"/>
  <c r="S164" i="18"/>
  <c r="N36" i="19"/>
  <c r="S185" i="18"/>
  <c r="S215" i="18"/>
  <c r="N51" i="19"/>
  <c r="S236" i="18"/>
  <c r="S138" i="18"/>
  <c r="S178" i="18"/>
  <c r="S222" i="18"/>
  <c r="S229" i="18"/>
  <c r="S243" i="18"/>
  <c r="AD58" i="19"/>
  <c r="S250" i="18"/>
  <c r="S171" i="18"/>
  <c r="S157" i="18"/>
  <c r="S152" i="18"/>
  <c r="L250" i="18"/>
  <c r="L243" i="18"/>
  <c r="L171" i="18"/>
  <c r="L208" i="18"/>
  <c r="W58" i="19"/>
  <c r="W51" i="19"/>
  <c r="W43" i="19"/>
  <c r="L145" i="18"/>
  <c r="G36" i="19"/>
  <c r="W36" i="19"/>
  <c r="L222" i="18"/>
  <c r="L236" i="18"/>
  <c r="L185" i="18"/>
  <c r="L201" i="18"/>
  <c r="W73" i="19"/>
  <c r="L152" i="18"/>
  <c r="L138" i="18"/>
  <c r="W66" i="19"/>
  <c r="L229" i="18"/>
  <c r="L215" i="18"/>
  <c r="L164" i="18"/>
  <c r="G66" i="19"/>
  <c r="L178" i="18"/>
  <c r="G51" i="19"/>
  <c r="L157" i="18"/>
  <c r="L194" i="18"/>
  <c r="N157" i="18"/>
  <c r="N145" i="18"/>
  <c r="I51" i="19"/>
  <c r="N194" i="18"/>
  <c r="N208" i="18"/>
  <c r="N152" i="18"/>
  <c r="N171" i="18"/>
  <c r="N185" i="18"/>
  <c r="Y58" i="19"/>
  <c r="I66" i="19"/>
  <c r="Y43" i="19"/>
  <c r="N164" i="18"/>
  <c r="Y66" i="19"/>
  <c r="N243" i="18"/>
  <c r="N250" i="18"/>
  <c r="N222" i="18"/>
  <c r="Y36" i="19"/>
  <c r="N236" i="18"/>
  <c r="N215" i="18"/>
  <c r="N201" i="18"/>
  <c r="N138" i="18"/>
  <c r="I36" i="19"/>
  <c r="Y73" i="19"/>
  <c r="Y51" i="19"/>
  <c r="N229" i="18"/>
  <c r="N178" i="18"/>
  <c r="O171" i="18"/>
  <c r="O243" i="18"/>
  <c r="Z73" i="19"/>
  <c r="J66" i="19"/>
  <c r="Z43" i="19"/>
  <c r="O222" i="18"/>
  <c r="O201" i="18"/>
  <c r="O236" i="18"/>
  <c r="O185" i="18"/>
  <c r="O152" i="18"/>
  <c r="Z58" i="19"/>
  <c r="J36" i="19"/>
  <c r="Z36" i="19"/>
  <c r="O164" i="18"/>
  <c r="Z51" i="19"/>
  <c r="Z66" i="19"/>
  <c r="O157" i="18"/>
  <c r="J51" i="19"/>
  <c r="O215" i="18"/>
  <c r="O250" i="18"/>
  <c r="O138" i="18"/>
  <c r="O229" i="18"/>
  <c r="O194" i="18"/>
  <c r="O178" i="18"/>
  <c r="O208" i="18"/>
  <c r="O145" i="18"/>
  <c r="T243" i="18"/>
  <c r="O36" i="19"/>
  <c r="T157" i="18"/>
  <c r="AE58" i="19"/>
  <c r="T236" i="18"/>
  <c r="T185" i="18"/>
  <c r="T250" i="18"/>
  <c r="T201" i="18"/>
  <c r="T171" i="18"/>
  <c r="AE36" i="19"/>
  <c r="AF36" i="19" s="1"/>
  <c r="T152" i="18"/>
  <c r="T164" i="18"/>
  <c r="AE51" i="19"/>
  <c r="AF51" i="19" s="1"/>
  <c r="O66" i="19"/>
  <c r="AE66" i="19"/>
  <c r="AF66" i="19" s="1"/>
  <c r="T215" i="18"/>
  <c r="T138" i="18"/>
  <c r="T145" i="18"/>
  <c r="AE73" i="19"/>
  <c r="O51" i="19"/>
  <c r="T194" i="18"/>
  <c r="T178" i="18"/>
  <c r="T208" i="18"/>
  <c r="AE43" i="19"/>
  <c r="T222" i="18"/>
  <c r="T229" i="18"/>
  <c r="AB73" i="19"/>
  <c r="AB66" i="19"/>
  <c r="Q222" i="18"/>
  <c r="AB43" i="19"/>
  <c r="L36" i="19"/>
  <c r="Q164" i="18"/>
  <c r="AB58" i="19"/>
  <c r="Q171" i="18"/>
  <c r="AB51" i="19"/>
  <c r="Q185" i="18"/>
  <c r="L51" i="19"/>
  <c r="Q201" i="18"/>
  <c r="Q250" i="18"/>
  <c r="Q215" i="18"/>
  <c r="L66" i="19"/>
  <c r="Q157" i="18"/>
  <c r="Q236" i="18"/>
  <c r="Q152" i="18"/>
  <c r="Q243" i="18"/>
  <c r="AB36" i="19"/>
  <c r="Q178" i="18"/>
  <c r="Q145" i="18"/>
  <c r="Q194" i="18"/>
  <c r="Q138" i="18"/>
  <c r="Q229" i="18"/>
  <c r="Q208" i="18"/>
  <c r="U73" i="19"/>
  <c r="J201" i="18"/>
  <c r="J145" i="18"/>
  <c r="J185" i="18"/>
  <c r="U43" i="19"/>
  <c r="J178" i="18"/>
  <c r="E66" i="19"/>
  <c r="U51" i="19"/>
  <c r="J194" i="18"/>
  <c r="J152" i="18"/>
  <c r="E51" i="19"/>
  <c r="J164" i="18"/>
  <c r="J250" i="18"/>
  <c r="J157" i="18"/>
  <c r="U58" i="19"/>
  <c r="J243" i="18"/>
  <c r="U36" i="19"/>
  <c r="J236" i="18"/>
  <c r="E36" i="19"/>
  <c r="J229" i="18"/>
  <c r="J208" i="18"/>
  <c r="J222" i="18"/>
  <c r="J138" i="18"/>
  <c r="J215" i="18"/>
  <c r="U66" i="19"/>
  <c r="J171" i="18"/>
  <c r="M243" i="18"/>
  <c r="M201" i="18"/>
  <c r="H51" i="19"/>
  <c r="M229" i="18"/>
  <c r="M208" i="18"/>
  <c r="M194" i="18"/>
  <c r="M157" i="18"/>
  <c r="M171" i="18"/>
  <c r="M164" i="18"/>
  <c r="X58" i="19"/>
  <c r="X43" i="19"/>
  <c r="M152" i="18"/>
  <c r="M250" i="18"/>
  <c r="X36" i="19"/>
  <c r="X73" i="19"/>
  <c r="M236" i="18"/>
  <c r="M222" i="18"/>
  <c r="H36" i="19"/>
  <c r="M215" i="18"/>
  <c r="M178" i="18"/>
  <c r="X66" i="19"/>
  <c r="M185" i="18"/>
  <c r="M138" i="18"/>
  <c r="H66" i="19"/>
  <c r="X51" i="19"/>
  <c r="M145" i="18"/>
  <c r="D51" i="19"/>
  <c r="I201" i="18"/>
  <c r="T51" i="19"/>
  <c r="I164" i="18"/>
  <c r="I185" i="18"/>
  <c r="I215" i="18"/>
  <c r="I229" i="18"/>
  <c r="I178" i="18"/>
  <c r="I236" i="18"/>
  <c r="I138" i="18"/>
  <c r="I171" i="18"/>
  <c r="T73" i="19"/>
  <c r="I194" i="18"/>
  <c r="I243" i="18"/>
  <c r="T58" i="19"/>
  <c r="I157" i="18"/>
  <c r="I145" i="18"/>
  <c r="T36" i="19"/>
  <c r="I208" i="18"/>
  <c r="T43" i="19"/>
  <c r="D36" i="19"/>
  <c r="D66" i="19"/>
  <c r="I222" i="18"/>
  <c r="I250" i="18"/>
  <c r="I152" i="18"/>
  <c r="T66" i="19"/>
  <c r="K250" i="18"/>
  <c r="K157" i="18"/>
  <c r="K243" i="18"/>
  <c r="K222" i="18"/>
  <c r="K138" i="18"/>
  <c r="V58" i="19"/>
  <c r="K185" i="18"/>
  <c r="K164" i="18"/>
  <c r="V66" i="19"/>
  <c r="K152" i="18"/>
  <c r="K171" i="18"/>
  <c r="F66" i="19"/>
  <c r="K201" i="18"/>
  <c r="K145" i="18"/>
  <c r="V51" i="19"/>
  <c r="K215" i="18"/>
  <c r="F51" i="19"/>
  <c r="K229" i="18"/>
  <c r="V73" i="19"/>
  <c r="V36" i="19"/>
  <c r="K178" i="18"/>
  <c r="K236" i="18"/>
  <c r="F36" i="19"/>
  <c r="K208" i="18"/>
  <c r="V43" i="19"/>
  <c r="K194" i="18"/>
  <c r="K36" i="19"/>
  <c r="P178" i="18"/>
  <c r="P236" i="18"/>
  <c r="P243" i="18"/>
  <c r="P152" i="18"/>
  <c r="P194" i="18"/>
  <c r="AA58" i="19"/>
  <c r="AA66" i="19"/>
  <c r="K51" i="19"/>
  <c r="P250" i="18"/>
  <c r="P215" i="18"/>
  <c r="P138" i="18"/>
  <c r="P229" i="18"/>
  <c r="P222" i="18"/>
  <c r="P157" i="18"/>
  <c r="P164" i="18"/>
  <c r="P208" i="18"/>
  <c r="P145" i="18"/>
  <c r="AA51" i="19"/>
  <c r="P185" i="18"/>
  <c r="AA43" i="19"/>
  <c r="P201" i="18"/>
  <c r="P171" i="18"/>
  <c r="K66" i="19"/>
  <c r="AA36" i="19"/>
  <c r="AA73" i="19"/>
  <c r="R243" i="18"/>
  <c r="R201" i="18"/>
  <c r="M51" i="19"/>
  <c r="R229" i="18"/>
  <c r="R194" i="18"/>
  <c r="R222" i="18"/>
  <c r="R250" i="18"/>
  <c r="R157" i="18"/>
  <c r="AC58" i="19"/>
  <c r="R164" i="18"/>
  <c r="R208" i="18"/>
  <c r="AC36" i="19"/>
  <c r="AC73" i="19"/>
  <c r="R171" i="18"/>
  <c r="AC43" i="19"/>
  <c r="AC66" i="19"/>
  <c r="R152" i="18"/>
  <c r="R138" i="18"/>
  <c r="R215" i="18"/>
  <c r="AC51" i="19"/>
  <c r="M66" i="19"/>
  <c r="R145" i="18"/>
  <c r="R236" i="18"/>
  <c r="M36" i="19"/>
  <c r="R178" i="18"/>
  <c r="R185" i="18"/>
  <c r="N79" i="17"/>
  <c r="N78" i="17" s="1"/>
  <c r="G168" i="17"/>
  <c r="G8" i="17"/>
  <c r="G147" i="17"/>
  <c r="G129" i="17"/>
  <c r="G105" i="17"/>
  <c r="G59" i="17"/>
  <c r="G30" i="17"/>
  <c r="X18" i="17"/>
  <c r="X8" i="17"/>
  <c r="N129" i="17"/>
  <c r="N105" i="17"/>
  <c r="N59" i="17"/>
  <c r="N30" i="17"/>
  <c r="AE18" i="17"/>
  <c r="AE8" i="17"/>
  <c r="N168" i="17"/>
  <c r="N8" i="17"/>
  <c r="N147" i="17"/>
  <c r="E168" i="17"/>
  <c r="E129" i="17"/>
  <c r="E105" i="17"/>
  <c r="E59" i="17"/>
  <c r="E30" i="17"/>
  <c r="V18" i="17"/>
  <c r="V8" i="17"/>
  <c r="E147" i="17"/>
  <c r="E8" i="17"/>
  <c r="Q80" i="17"/>
  <c r="E215" i="17" s="1"/>
  <c r="Q81" i="17"/>
  <c r="E216" i="17" s="1"/>
  <c r="O30" i="17"/>
  <c r="O8" i="17"/>
  <c r="AF8" i="17"/>
  <c r="O168" i="17"/>
  <c r="AF18" i="17"/>
  <c r="O147" i="17"/>
  <c r="O129" i="17"/>
  <c r="O105" i="17"/>
  <c r="O59" i="17"/>
  <c r="H77" i="17"/>
  <c r="I77" i="17"/>
  <c r="I105" i="17"/>
  <c r="Z8" i="17"/>
  <c r="Z18" i="17"/>
  <c r="I8" i="17"/>
  <c r="I59" i="17"/>
  <c r="I168" i="17"/>
  <c r="I30" i="17"/>
  <c r="I147" i="17"/>
  <c r="I129" i="17"/>
  <c r="P59" i="17"/>
  <c r="P30" i="17"/>
  <c r="Q30" i="17" s="1"/>
  <c r="Y44" i="17" s="1"/>
  <c r="AG18" i="17"/>
  <c r="P8" i="17"/>
  <c r="P168" i="17"/>
  <c r="AG8" i="17"/>
  <c r="P105" i="17"/>
  <c r="P147" i="17"/>
  <c r="P129" i="17"/>
  <c r="M198" i="17"/>
  <c r="F198" i="17"/>
  <c r="F147" i="17"/>
  <c r="F129" i="17"/>
  <c r="F105" i="17"/>
  <c r="F59" i="17"/>
  <c r="F30" i="17"/>
  <c r="W18" i="17"/>
  <c r="W8" i="17"/>
  <c r="F168" i="17"/>
  <c r="F8" i="17"/>
  <c r="L59" i="17"/>
  <c r="L30" i="17"/>
  <c r="AC18" i="17"/>
  <c r="L8" i="17"/>
  <c r="L147" i="17"/>
  <c r="AC8" i="17"/>
  <c r="L129" i="17"/>
  <c r="L168" i="17"/>
  <c r="L105" i="17"/>
  <c r="M77" i="17"/>
  <c r="L77" i="17"/>
  <c r="K147" i="17"/>
  <c r="AB8" i="17"/>
  <c r="K168" i="17"/>
  <c r="K59" i="17"/>
  <c r="K30" i="17"/>
  <c r="K129" i="17"/>
  <c r="K105" i="17"/>
  <c r="AB18" i="17"/>
  <c r="K8" i="17"/>
  <c r="J147" i="17"/>
  <c r="J59" i="17"/>
  <c r="J30" i="17"/>
  <c r="AA18" i="17"/>
  <c r="J129" i="17"/>
  <c r="J8" i="17"/>
  <c r="J168" i="17"/>
  <c r="AA8" i="17"/>
  <c r="J105" i="17"/>
  <c r="AD8" i="17"/>
  <c r="M147" i="17"/>
  <c r="M8" i="17"/>
  <c r="M129" i="17"/>
  <c r="M168" i="17"/>
  <c r="M105" i="17"/>
  <c r="M59" i="17"/>
  <c r="M30" i="17"/>
  <c r="AD18" i="17"/>
  <c r="H105" i="17"/>
  <c r="H147" i="17"/>
  <c r="H129" i="17"/>
  <c r="H59" i="17"/>
  <c r="H30" i="17"/>
  <c r="Y18" i="17"/>
  <c r="H8" i="17"/>
  <c r="H168" i="17"/>
  <c r="Y8" i="17"/>
  <c r="E52" i="17"/>
  <c r="N108" i="10" l="1"/>
  <c r="N191" i="9"/>
  <c r="N192" i="9" s="1"/>
  <c r="I64" i="17" s="1"/>
  <c r="N69" i="11"/>
  <c r="N191" i="11" s="1"/>
  <c r="N148" i="12" s="1"/>
  <c r="S91" i="10"/>
  <c r="S100" i="10" s="1"/>
  <c r="S106" i="10" s="1"/>
  <c r="S69" i="10"/>
  <c r="S77" i="10" s="1"/>
  <c r="R56" i="11"/>
  <c r="R178" i="11" s="1"/>
  <c r="R26" i="12" s="1"/>
  <c r="R24" i="9"/>
  <c r="M134" i="17" s="1"/>
  <c r="R178" i="9"/>
  <c r="N102" i="10"/>
  <c r="N90" i="12"/>
  <c r="R68" i="11"/>
  <c r="R190" i="11" s="1"/>
  <c r="R147" i="12" s="1"/>
  <c r="R190" i="9"/>
  <c r="R89" i="12"/>
  <c r="R29" i="9"/>
  <c r="M200" i="9"/>
  <c r="M202" i="9" s="1"/>
  <c r="M83" i="11"/>
  <c r="M46" i="9"/>
  <c r="M159" i="10"/>
  <c r="T22" i="10"/>
  <c r="T61" i="10" s="1"/>
  <c r="S30" i="10"/>
  <c r="AB149" i="12"/>
  <c r="AB189" i="12" s="1"/>
  <c r="AB215" i="12" s="1"/>
  <c r="Q40" i="12"/>
  <c r="Q41" i="12" s="1"/>
  <c r="R34" i="12"/>
  <c r="K83" i="11"/>
  <c r="K200" i="9"/>
  <c r="K202" i="9" s="1"/>
  <c r="K46" i="9"/>
  <c r="K159" i="10"/>
  <c r="P199" i="9"/>
  <c r="P82" i="11"/>
  <c r="P45" i="9"/>
  <c r="Q149" i="12"/>
  <c r="Q189" i="12" s="1"/>
  <c r="Q215" i="12" s="1"/>
  <c r="AL149" i="12"/>
  <c r="AL189" i="12" s="1"/>
  <c r="AL215" i="12" s="1"/>
  <c r="AO149" i="12"/>
  <c r="Z149" i="12"/>
  <c r="Z189" i="12" s="1"/>
  <c r="Z215" i="12" s="1"/>
  <c r="AE149" i="12"/>
  <c r="AE189" i="12" s="1"/>
  <c r="AE215" i="12" s="1"/>
  <c r="U149" i="12"/>
  <c r="U189" i="12" s="1"/>
  <c r="U215" i="12" s="1"/>
  <c r="AG149" i="12"/>
  <c r="AG189" i="12" s="1"/>
  <c r="AG215" i="12" s="1"/>
  <c r="V149" i="12"/>
  <c r="V189" i="12" s="1"/>
  <c r="V215" i="12" s="1"/>
  <c r="P149" i="12"/>
  <c r="P189" i="12" s="1"/>
  <c r="P215" i="12" s="1"/>
  <c r="X149" i="12"/>
  <c r="X189" i="12" s="1"/>
  <c r="X215" i="12" s="1"/>
  <c r="AF149" i="12"/>
  <c r="AF189" i="12" s="1"/>
  <c r="AF215" i="12" s="1"/>
  <c r="W149" i="12"/>
  <c r="W189" i="12" s="1"/>
  <c r="W215" i="12" s="1"/>
  <c r="AK149" i="12"/>
  <c r="AK189" i="12" s="1"/>
  <c r="AK215" i="12" s="1"/>
  <c r="O149" i="12"/>
  <c r="O189" i="12" s="1"/>
  <c r="O215" i="12" s="1"/>
  <c r="AQ149" i="12"/>
  <c r="AQ189" i="12" s="1"/>
  <c r="AQ215" i="12" s="1"/>
  <c r="AO189" i="12"/>
  <c r="AO215" i="12" s="1"/>
  <c r="N83" i="11"/>
  <c r="N200" i="9"/>
  <c r="N202" i="9" s="1"/>
  <c r="N46" i="9"/>
  <c r="N159" i="10"/>
  <c r="J83" i="11"/>
  <c r="J200" i="9"/>
  <c r="J202" i="9" s="1"/>
  <c r="J46" i="9"/>
  <c r="J159" i="10"/>
  <c r="L200" i="9"/>
  <c r="L202" i="9" s="1"/>
  <c r="G65" i="17" s="1"/>
  <c r="L83" i="11"/>
  <c r="L46" i="9"/>
  <c r="L159" i="10"/>
  <c r="AJ149" i="12"/>
  <c r="AJ189" i="12" s="1"/>
  <c r="AJ215" i="12" s="1"/>
  <c r="K149" i="12"/>
  <c r="K189" i="12" s="1"/>
  <c r="K215" i="12" s="1"/>
  <c r="AS149" i="12"/>
  <c r="AS189" i="12" s="1"/>
  <c r="AS215" i="12" s="1"/>
  <c r="AM149" i="12"/>
  <c r="AM189" i="12" s="1"/>
  <c r="AM215" i="12" s="1"/>
  <c r="AA149" i="12"/>
  <c r="AA189" i="12" s="1"/>
  <c r="AA215" i="12" s="1"/>
  <c r="N149" i="12"/>
  <c r="N189" i="12" s="1"/>
  <c r="N215" i="12" s="1"/>
  <c r="M149" i="12"/>
  <c r="M189" i="12" s="1"/>
  <c r="M215" i="12" s="1"/>
  <c r="AR149" i="12"/>
  <c r="AR189" i="12" s="1"/>
  <c r="AR215" i="12" s="1"/>
  <c r="AC149" i="12"/>
  <c r="AC189" i="12" s="1"/>
  <c r="AC215" i="12" s="1"/>
  <c r="J149" i="12"/>
  <c r="J189" i="12" s="1"/>
  <c r="J215" i="12" s="1"/>
  <c r="P43" i="10"/>
  <c r="P44" i="10" s="1"/>
  <c r="AH149" i="12"/>
  <c r="AH189" i="12" s="1"/>
  <c r="AH215" i="12" s="1"/>
  <c r="AD149" i="12"/>
  <c r="AD189" i="12" s="1"/>
  <c r="AD215" i="12" s="1"/>
  <c r="R149" i="12"/>
  <c r="R189" i="12" s="1"/>
  <c r="R215" i="12" s="1"/>
  <c r="AI149" i="12"/>
  <c r="AI189" i="12" s="1"/>
  <c r="AI215" i="12" s="1"/>
  <c r="Y149" i="12"/>
  <c r="Y189" i="12" s="1"/>
  <c r="Y215" i="12" s="1"/>
  <c r="Q148" i="17"/>
  <c r="L149" i="12"/>
  <c r="L189" i="12" s="1"/>
  <c r="L215" i="12" s="1"/>
  <c r="T149" i="12"/>
  <c r="T189" i="12" s="1"/>
  <c r="T215" i="12" s="1"/>
  <c r="AP149" i="12"/>
  <c r="AP189" i="12" s="1"/>
  <c r="AP215" i="12" s="1"/>
  <c r="S149" i="12"/>
  <c r="S189" i="12" s="1"/>
  <c r="S215" i="12" s="1"/>
  <c r="AN149" i="12"/>
  <c r="AN189" i="12" s="1"/>
  <c r="AN215" i="12" s="1"/>
  <c r="L57" i="11"/>
  <c r="G131" i="17"/>
  <c r="G135" i="17" s="1"/>
  <c r="P76" i="25"/>
  <c r="L80" i="10"/>
  <c r="L81" i="10" s="1"/>
  <c r="L82" i="10" s="1"/>
  <c r="L83" i="10" s="1"/>
  <c r="L148" i="10"/>
  <c r="Q24" i="10"/>
  <c r="Q25" i="10" s="1"/>
  <c r="Q131" i="10"/>
  <c r="Q145" i="10" s="1"/>
  <c r="Q156" i="10" s="1"/>
  <c r="R24" i="10"/>
  <c r="R25" i="10" s="1"/>
  <c r="Q32" i="10"/>
  <c r="Q39" i="10" s="1"/>
  <c r="R33" i="10"/>
  <c r="R40" i="10" s="1"/>
  <c r="M71" i="25"/>
  <c r="M73" i="25" s="1"/>
  <c r="Q37" i="10"/>
  <c r="N79" i="13"/>
  <c r="N81" i="13" s="1"/>
  <c r="J110" i="10"/>
  <c r="J111" i="10" s="1"/>
  <c r="J112" i="10" s="1"/>
  <c r="J113" i="10" s="1"/>
  <c r="M110" i="10"/>
  <c r="M111" i="10" s="1"/>
  <c r="M112" i="10" s="1"/>
  <c r="M113" i="10" s="1"/>
  <c r="M70" i="11"/>
  <c r="G10" i="17"/>
  <c r="K146" i="18"/>
  <c r="K147" i="18" s="1"/>
  <c r="K110" i="10"/>
  <c r="K111" i="10" s="1"/>
  <c r="K112" i="10" s="1"/>
  <c r="K113" i="10" s="1"/>
  <c r="M57" i="11"/>
  <c r="K70" i="11"/>
  <c r="K57" i="11"/>
  <c r="Q133" i="17"/>
  <c r="Q132" i="17"/>
  <c r="N214" i="12"/>
  <c r="E131" i="17"/>
  <c r="E135" i="17" s="1"/>
  <c r="Q214" i="12"/>
  <c r="Y214" i="12"/>
  <c r="X214" i="12"/>
  <c r="AK214" i="12"/>
  <c r="R214" i="12"/>
  <c r="AR214" i="12"/>
  <c r="M214" i="12"/>
  <c r="S214" i="12"/>
  <c r="AH214" i="12"/>
  <c r="AS214" i="12"/>
  <c r="AA214" i="12"/>
  <c r="AF214" i="12"/>
  <c r="J214" i="12"/>
  <c r="AL214" i="12"/>
  <c r="I10" i="17"/>
  <c r="L33" i="9"/>
  <c r="G106" i="17" s="1"/>
  <c r="I131" i="17"/>
  <c r="AD214" i="12"/>
  <c r="F10" i="17"/>
  <c r="AO214" i="12"/>
  <c r="L214" i="12"/>
  <c r="P214" i="12"/>
  <c r="AJ214" i="12"/>
  <c r="AG214" i="12"/>
  <c r="Z214" i="12"/>
  <c r="N179" i="9"/>
  <c r="I60" i="17" s="1"/>
  <c r="H131" i="17"/>
  <c r="H135" i="17" s="1"/>
  <c r="F131" i="17"/>
  <c r="F135" i="17" s="1"/>
  <c r="V214" i="12"/>
  <c r="AC214" i="12"/>
  <c r="O214" i="12"/>
  <c r="K214" i="12"/>
  <c r="U214" i="12"/>
  <c r="AM214" i="12"/>
  <c r="AP214" i="12"/>
  <c r="F64" i="17"/>
  <c r="AE214" i="12"/>
  <c r="H64" i="17"/>
  <c r="E64" i="17"/>
  <c r="E10" i="17"/>
  <c r="AI214" i="12"/>
  <c r="W214" i="12"/>
  <c r="T214" i="12"/>
  <c r="AN214" i="12"/>
  <c r="AQ214" i="12"/>
  <c r="AB214" i="12"/>
  <c r="H60" i="17"/>
  <c r="J25" i="9"/>
  <c r="I139" i="18" s="1"/>
  <c r="I140" i="18" s="1"/>
  <c r="P231" i="9"/>
  <c r="P233" i="9" s="1"/>
  <c r="Q70" i="13"/>
  <c r="Q63" i="13"/>
  <c r="P48" i="13"/>
  <c r="P49" i="13" s="1"/>
  <c r="P126" i="9"/>
  <c r="O75" i="13"/>
  <c r="O76" i="13"/>
  <c r="P72" i="13"/>
  <c r="M22" i="12"/>
  <c r="M179" i="11"/>
  <c r="N25" i="9"/>
  <c r="M139" i="18" s="1"/>
  <c r="M140" i="18" s="1"/>
  <c r="I130" i="17"/>
  <c r="J57" i="11"/>
  <c r="J179" i="11"/>
  <c r="J22" i="12"/>
  <c r="O94" i="10"/>
  <c r="O101" i="10" s="1"/>
  <c r="O107" i="10" s="1"/>
  <c r="O74" i="10"/>
  <c r="O78" i="10" s="1"/>
  <c r="M148" i="10"/>
  <c r="K22" i="12"/>
  <c r="K179" i="11"/>
  <c r="N174" i="11"/>
  <c r="N57" i="11"/>
  <c r="O174" i="9"/>
  <c r="O52" i="11"/>
  <c r="O20" i="9"/>
  <c r="L22" i="12"/>
  <c r="L179" i="11"/>
  <c r="M25" i="9"/>
  <c r="G9" i="17"/>
  <c r="J192" i="11"/>
  <c r="L192" i="11"/>
  <c r="K192" i="11"/>
  <c r="M67" i="14"/>
  <c r="M72" i="14"/>
  <c r="K80" i="10"/>
  <c r="K81" i="10" s="1"/>
  <c r="K82" i="10" s="1"/>
  <c r="K83" i="10" s="1"/>
  <c r="M192" i="11"/>
  <c r="R169" i="12"/>
  <c r="R170" i="12" s="1"/>
  <c r="R190" i="12"/>
  <c r="R191" i="12" s="1"/>
  <c r="AB56" i="14"/>
  <c r="AA65" i="14"/>
  <c r="AB66" i="14" s="1"/>
  <c r="AB80" i="14" s="1"/>
  <c r="AB59" i="9" s="1"/>
  <c r="AC64" i="14"/>
  <c r="Z65" i="14" s="1"/>
  <c r="J80" i="10"/>
  <c r="J81" i="10" s="1"/>
  <c r="J82" i="10" s="1"/>
  <c r="J83" i="10" s="1"/>
  <c r="AC56" i="14"/>
  <c r="Z57" i="14" s="1"/>
  <c r="Z79" i="14" s="1"/>
  <c r="AB55" i="14"/>
  <c r="AA56" i="14" s="1"/>
  <c r="Y58" i="9"/>
  <c r="Y60" i="9" s="1"/>
  <c r="Y62" i="9" s="1"/>
  <c r="Y81" i="14"/>
  <c r="AH63" i="14"/>
  <c r="J93" i="14"/>
  <c r="J92" i="14"/>
  <c r="J91" i="14"/>
  <c r="E60" i="17"/>
  <c r="M80" i="10"/>
  <c r="M81" i="10" s="1"/>
  <c r="M82" i="10" s="1"/>
  <c r="M83" i="10" s="1"/>
  <c r="L58" i="14"/>
  <c r="L71" i="14"/>
  <c r="L73" i="14" s="1"/>
  <c r="K99" i="9"/>
  <c r="K101" i="9" s="1"/>
  <c r="K85" i="14"/>
  <c r="K87" i="14" s="1"/>
  <c r="K88" i="14" s="1"/>
  <c r="K89" i="14" s="1"/>
  <c r="R173" i="12"/>
  <c r="K185" i="9"/>
  <c r="R194" i="12"/>
  <c r="K148" i="10"/>
  <c r="J185" i="9"/>
  <c r="J148" i="10"/>
  <c r="F60" i="17"/>
  <c r="M185" i="9"/>
  <c r="N148" i="10"/>
  <c r="N80" i="10"/>
  <c r="N81" i="10" s="1"/>
  <c r="N82" i="10" s="1"/>
  <c r="N83" i="10" s="1"/>
  <c r="P50" i="10"/>
  <c r="P65" i="10" s="1"/>
  <c r="P73" i="10" s="1"/>
  <c r="O70" i="10"/>
  <c r="P53" i="10"/>
  <c r="P66" i="10" s="1"/>
  <c r="O53" i="13"/>
  <c r="O55" i="13" s="1"/>
  <c r="Q43" i="13"/>
  <c r="U182" i="15"/>
  <c r="U183" i="15" s="1"/>
  <c r="Y139" i="15"/>
  <c r="Z138" i="15"/>
  <c r="Y148" i="15"/>
  <c r="V119" i="15"/>
  <c r="V121" i="15" s="1"/>
  <c r="V122" i="15" s="1"/>
  <c r="V123" i="15" s="1"/>
  <c r="V104" i="15"/>
  <c r="V105" i="15" s="1"/>
  <c r="V111" i="15" s="1"/>
  <c r="V215" i="9" s="1"/>
  <c r="V216" i="9" s="1"/>
  <c r="W101" i="15"/>
  <c r="W102" i="15" s="1"/>
  <c r="V134" i="9"/>
  <c r="V135" i="9" s="1"/>
  <c r="X89" i="15"/>
  <c r="X91" i="15" s="1"/>
  <c r="X92" i="15" s="1"/>
  <c r="X93" i="15" s="1"/>
  <c r="X74" i="15"/>
  <c r="X75" i="15" s="1"/>
  <c r="X81" i="15" s="1"/>
  <c r="X246" i="9" s="1"/>
  <c r="X247" i="9" s="1"/>
  <c r="X249" i="9" s="1"/>
  <c r="X276" i="9" s="1"/>
  <c r="Y71" i="15"/>
  <c r="Y72" i="15" s="1"/>
  <c r="X103" i="9"/>
  <c r="X104" i="9" s="1"/>
  <c r="X108" i="15"/>
  <c r="W118" i="15"/>
  <c r="W109" i="15"/>
  <c r="V154" i="9"/>
  <c r="V155" i="9" s="1"/>
  <c r="W161" i="15"/>
  <c r="W162" i="15" s="1"/>
  <c r="V164" i="15"/>
  <c r="V165" i="15" s="1"/>
  <c r="V171" i="15" s="1"/>
  <c r="V266" i="9" s="1"/>
  <c r="V267" i="9" s="1"/>
  <c r="V282" i="9" s="1"/>
  <c r="V179" i="15"/>
  <c r="V181" i="15" s="1"/>
  <c r="V182" i="15" s="1"/>
  <c r="V183" i="15" s="1"/>
  <c r="Z78" i="15"/>
  <c r="Y79" i="15"/>
  <c r="Y88" i="15"/>
  <c r="W178" i="15"/>
  <c r="W169" i="15"/>
  <c r="X168" i="15"/>
  <c r="X149" i="15"/>
  <c r="X151" i="15" s="1"/>
  <c r="X152" i="15" s="1"/>
  <c r="X153" i="15" s="1"/>
  <c r="X143" i="9"/>
  <c r="X144" i="9" s="1"/>
  <c r="X134" i="15"/>
  <c r="X135" i="15" s="1"/>
  <c r="X141" i="15" s="1"/>
  <c r="X265" i="9" s="1"/>
  <c r="Y131" i="15"/>
  <c r="Y132" i="15" s="1"/>
  <c r="W62" i="15"/>
  <c r="W63" i="15" s="1"/>
  <c r="R147" i="11"/>
  <c r="S163" i="12"/>
  <c r="X59" i="15"/>
  <c r="X61" i="15" s="1"/>
  <c r="X44" i="15"/>
  <c r="X45" i="15" s="1"/>
  <c r="X51" i="15" s="1"/>
  <c r="X237" i="9" s="1"/>
  <c r="X238" i="9" s="1"/>
  <c r="Y41" i="15"/>
  <c r="Y42" i="15" s="1"/>
  <c r="X94" i="9"/>
  <c r="X95" i="9" s="1"/>
  <c r="S249" i="12"/>
  <c r="Q91" i="13"/>
  <c r="R153" i="13"/>
  <c r="Q152" i="9"/>
  <c r="Q45" i="13"/>
  <c r="R259" i="12"/>
  <c r="S127" i="11"/>
  <c r="R33" i="13"/>
  <c r="Y49" i="15"/>
  <c r="Z48" i="15"/>
  <c r="Y58" i="15"/>
  <c r="Y96" i="12"/>
  <c r="Y97" i="12" s="1"/>
  <c r="R134" i="11"/>
  <c r="E84" i="17"/>
  <c r="N123" i="17"/>
  <c r="K123" i="17"/>
  <c r="K79" i="17"/>
  <c r="K78" i="17" s="1"/>
  <c r="H79" i="17"/>
  <c r="H78" i="17" s="1"/>
  <c r="H123" i="17"/>
  <c r="E79" i="17"/>
  <c r="E123" i="17"/>
  <c r="G123" i="17"/>
  <c r="G79" i="17"/>
  <c r="G78" i="17" s="1"/>
  <c r="F123" i="17"/>
  <c r="F79" i="17"/>
  <c r="F78" i="17" s="1"/>
  <c r="L123" i="17"/>
  <c r="L79" i="17"/>
  <c r="L78" i="17" s="1"/>
  <c r="O123" i="17"/>
  <c r="O79" i="17"/>
  <c r="O78" i="17" s="1"/>
  <c r="J123" i="17"/>
  <c r="J79" i="17"/>
  <c r="J78" i="17" s="1"/>
  <c r="P123" i="17"/>
  <c r="P79" i="17"/>
  <c r="P78" i="17" s="1"/>
  <c r="H10" i="17"/>
  <c r="M123" i="17"/>
  <c r="M79" i="17"/>
  <c r="M78" i="17" s="1"/>
  <c r="I123" i="17"/>
  <c r="I79" i="17"/>
  <c r="I78" i="17" s="1"/>
  <c r="H216" i="17"/>
  <c r="L216" i="17"/>
  <c r="K216" i="17"/>
  <c r="J216" i="17"/>
  <c r="W82" i="17"/>
  <c r="Q77" i="17"/>
  <c r="E213" i="17" s="1"/>
  <c r="L215" i="17"/>
  <c r="K215" i="17"/>
  <c r="W81" i="17"/>
  <c r="F18" i="17"/>
  <c r="N18" i="17"/>
  <c r="J18" i="17"/>
  <c r="G18" i="17"/>
  <c r="M18" i="17"/>
  <c r="P18" i="17"/>
  <c r="N110" i="10" l="1"/>
  <c r="N111" i="10" s="1"/>
  <c r="N112" i="10" s="1"/>
  <c r="N113" i="10" s="1"/>
  <c r="N70" i="11"/>
  <c r="N192" i="11"/>
  <c r="S56" i="11"/>
  <c r="S178" i="11" s="1"/>
  <c r="S26" i="12" s="1"/>
  <c r="S178" i="9"/>
  <c r="S24" i="9"/>
  <c r="N134" i="17" s="1"/>
  <c r="S68" i="11"/>
  <c r="S190" i="11" s="1"/>
  <c r="S147" i="12" s="1"/>
  <c r="S190" i="9"/>
  <c r="S29" i="9"/>
  <c r="S89" i="12"/>
  <c r="T91" i="10"/>
  <c r="T100" i="10" s="1"/>
  <c r="T106" i="10" s="1"/>
  <c r="T69" i="10"/>
  <c r="T77" i="10" s="1"/>
  <c r="K153" i="17"/>
  <c r="K205" i="11"/>
  <c r="K85" i="11"/>
  <c r="U22" i="10"/>
  <c r="U61" i="10" s="1"/>
  <c r="T30" i="10"/>
  <c r="E154" i="17"/>
  <c r="J48" i="9"/>
  <c r="N205" i="11"/>
  <c r="N85" i="11"/>
  <c r="P204" i="11"/>
  <c r="R35" i="12"/>
  <c r="R43" i="12"/>
  <c r="R44" i="12" s="1"/>
  <c r="G154" i="17"/>
  <c r="G156" i="17" s="1"/>
  <c r="L48" i="9"/>
  <c r="L53" i="9" s="1"/>
  <c r="K158" i="18" s="1"/>
  <c r="K159" i="18" s="1"/>
  <c r="J205" i="11"/>
  <c r="J85" i="11"/>
  <c r="H154" i="17"/>
  <c r="H156" i="17" s="1"/>
  <c r="M48" i="9"/>
  <c r="Q82" i="11"/>
  <c r="Q199" i="9"/>
  <c r="Q45" i="9"/>
  <c r="L205" i="11"/>
  <c r="L85" i="11"/>
  <c r="F154" i="17"/>
  <c r="F156" i="17" s="1"/>
  <c r="K48" i="9"/>
  <c r="M205" i="11"/>
  <c r="M85" i="11"/>
  <c r="Q43" i="10"/>
  <c r="Q44" i="10" s="1"/>
  <c r="I154" i="17"/>
  <c r="I156" i="17" s="1"/>
  <c r="N48" i="9"/>
  <c r="L104" i="11"/>
  <c r="L161" i="10"/>
  <c r="L162" i="10" s="1"/>
  <c r="L163" i="10" s="1"/>
  <c r="L164" i="10" s="1"/>
  <c r="Q76" i="25"/>
  <c r="S33" i="10"/>
  <c r="S40" i="10" s="1"/>
  <c r="R37" i="10"/>
  <c r="R32" i="10"/>
  <c r="R39" i="10" s="1"/>
  <c r="R131" i="10"/>
  <c r="R145" i="10" s="1"/>
  <c r="R156" i="10" s="1"/>
  <c r="N71" i="25"/>
  <c r="N73" i="25" s="1"/>
  <c r="P50" i="13"/>
  <c r="P51" i="13" s="1"/>
  <c r="P53" i="13" s="1"/>
  <c r="G11" i="17"/>
  <c r="G12" i="17" s="1"/>
  <c r="M33" i="9"/>
  <c r="H106" i="17" s="1"/>
  <c r="L139" i="18"/>
  <c r="L140" i="18" s="1"/>
  <c r="M104" i="11"/>
  <c r="O102" i="10"/>
  <c r="U216" i="12"/>
  <c r="P216" i="12"/>
  <c r="R216" i="12"/>
  <c r="Q216" i="12"/>
  <c r="M216" i="12"/>
  <c r="N216" i="12"/>
  <c r="AG216" i="12"/>
  <c r="AL216" i="12"/>
  <c r="X216" i="12"/>
  <c r="I135" i="17"/>
  <c r="AH216" i="12"/>
  <c r="AQ216" i="12"/>
  <c r="AI216" i="12"/>
  <c r="AP216" i="12"/>
  <c r="AF216" i="12"/>
  <c r="H65" i="17"/>
  <c r="AB216" i="12"/>
  <c r="W216" i="12"/>
  <c r="Z216" i="12"/>
  <c r="AA216" i="12"/>
  <c r="S216" i="12"/>
  <c r="Y216" i="12"/>
  <c r="O77" i="13"/>
  <c r="O79" i="13" s="1"/>
  <c r="K216" i="12"/>
  <c r="V216" i="12"/>
  <c r="AD216" i="12"/>
  <c r="K106" i="9"/>
  <c r="AE216" i="12"/>
  <c r="O216" i="12"/>
  <c r="L216" i="12"/>
  <c r="AN216" i="12"/>
  <c r="AJ216" i="12"/>
  <c r="J216" i="12"/>
  <c r="AS216" i="12"/>
  <c r="AR216" i="12"/>
  <c r="AK216" i="12"/>
  <c r="AC55" i="14"/>
  <c r="Z56" i="14" s="1"/>
  <c r="AC57" i="14" s="1"/>
  <c r="AC79" i="14" s="1"/>
  <c r="AC58" i="9" s="1"/>
  <c r="AM216" i="12"/>
  <c r="AC216" i="12"/>
  <c r="AO216" i="12"/>
  <c r="T216" i="12"/>
  <c r="H9" i="17"/>
  <c r="H11" i="17" s="1"/>
  <c r="Q140" i="9"/>
  <c r="Q141" i="9" s="1"/>
  <c r="Q146" i="9" s="1"/>
  <c r="R59" i="13"/>
  <c r="Q69" i="9"/>
  <c r="Q70" i="9" s="1"/>
  <c r="Q71" i="13"/>
  <c r="Q230" i="9" s="1"/>
  <c r="Q229" i="9"/>
  <c r="P127" i="9"/>
  <c r="P128" i="9" s="1"/>
  <c r="P130" i="9" s="1"/>
  <c r="Q69" i="13"/>
  <c r="P74" i="13"/>
  <c r="M161" i="10"/>
  <c r="M162" i="10" s="1"/>
  <c r="M163" i="10" s="1"/>
  <c r="M164" i="10" s="1"/>
  <c r="N22" i="12"/>
  <c r="N179" i="11"/>
  <c r="N104" i="11" s="1"/>
  <c r="P174" i="9"/>
  <c r="P52" i="11"/>
  <c r="P20" i="9"/>
  <c r="J130" i="17"/>
  <c r="O174" i="11"/>
  <c r="O53" i="11"/>
  <c r="O175" i="11" s="1"/>
  <c r="O23" i="12" s="1"/>
  <c r="O175" i="9"/>
  <c r="O179" i="9" s="1"/>
  <c r="O21" i="9"/>
  <c r="O25" i="9" s="1"/>
  <c r="N139" i="18" s="1"/>
  <c r="N140" i="18" s="1"/>
  <c r="P94" i="10"/>
  <c r="P101" i="10" s="1"/>
  <c r="P107" i="10" s="1"/>
  <c r="P74" i="10"/>
  <c r="O69" i="11"/>
  <c r="O191" i="9"/>
  <c r="O192" i="9" s="1"/>
  <c r="O30" i="9"/>
  <c r="O31" i="9" s="1"/>
  <c r="N146" i="18" s="1"/>
  <c r="N147" i="18" s="1"/>
  <c r="O90" i="12"/>
  <c r="O108" i="10"/>
  <c r="M84" i="14"/>
  <c r="M100" i="9" s="1"/>
  <c r="N61" i="14"/>
  <c r="AC66" i="14"/>
  <c r="AC80" i="14" s="1"/>
  <c r="AC59" i="9" s="1"/>
  <c r="AB57" i="14"/>
  <c r="AB79" i="14" s="1"/>
  <c r="AB58" i="9" s="1"/>
  <c r="AB60" i="9" s="1"/>
  <c r="AB62" i="9" s="1"/>
  <c r="AD64" i="14"/>
  <c r="Y65" i="14" s="1"/>
  <c r="AD66" i="14" s="1"/>
  <c r="AD80" i="14" s="1"/>
  <c r="AD59" i="9" s="1"/>
  <c r="Z58" i="9"/>
  <c r="Z60" i="9" s="1"/>
  <c r="Z62" i="9" s="1"/>
  <c r="Z81" i="14"/>
  <c r="AA57" i="14"/>
  <c r="AA79" i="14" s="1"/>
  <c r="AI63" i="14"/>
  <c r="O133" i="10"/>
  <c r="O146" i="10" s="1"/>
  <c r="K93" i="14"/>
  <c r="K91" i="14"/>
  <c r="K92" i="14"/>
  <c r="L83" i="14"/>
  <c r="M52" i="14"/>
  <c r="E9" i="17"/>
  <c r="E11" i="17" s="1"/>
  <c r="E12" i="17" s="1"/>
  <c r="J33" i="9"/>
  <c r="N106" i="11"/>
  <c r="J106" i="11"/>
  <c r="K33" i="9"/>
  <c r="F9" i="17"/>
  <c r="S193" i="12"/>
  <c r="S172" i="12"/>
  <c r="J104" i="11"/>
  <c r="N105" i="11"/>
  <c r="L105" i="11"/>
  <c r="M106" i="11"/>
  <c r="K104" i="11"/>
  <c r="J161" i="10"/>
  <c r="J162" i="10" s="1"/>
  <c r="J163" i="10" s="1"/>
  <c r="J164" i="10" s="1"/>
  <c r="K106" i="11"/>
  <c r="K161" i="10"/>
  <c r="K162" i="10" s="1"/>
  <c r="K163" i="10" s="1"/>
  <c r="K164" i="10" s="1"/>
  <c r="L106" i="11"/>
  <c r="N161" i="10"/>
  <c r="N162" i="10" s="1"/>
  <c r="N163" i="10" s="1"/>
  <c r="N164" i="10" s="1"/>
  <c r="P70" i="10"/>
  <c r="Q50" i="10"/>
  <c r="Q65" i="10" s="1"/>
  <c r="Q73" i="10" s="1"/>
  <c r="Q53" i="10"/>
  <c r="Q66" i="10" s="1"/>
  <c r="N33" i="9"/>
  <c r="I9" i="17"/>
  <c r="I11" i="17" s="1"/>
  <c r="J94" i="14"/>
  <c r="Z79" i="15"/>
  <c r="AA78" i="15"/>
  <c r="Z88" i="15"/>
  <c r="W134" i="9"/>
  <c r="W135" i="9" s="1"/>
  <c r="W119" i="15"/>
  <c r="W121" i="15" s="1"/>
  <c r="W104" i="15"/>
  <c r="W105" i="15" s="1"/>
  <c r="W111" i="15" s="1"/>
  <c r="W215" i="9" s="1"/>
  <c r="W216" i="9" s="1"/>
  <c r="X101" i="15"/>
  <c r="X102" i="15" s="1"/>
  <c r="X109" i="15"/>
  <c r="Y108" i="15"/>
  <c r="X118" i="15"/>
  <c r="Z131" i="15"/>
  <c r="Z132" i="15" s="1"/>
  <c r="Y149" i="15"/>
  <c r="Y151" i="15" s="1"/>
  <c r="Y152" i="15" s="1"/>
  <c r="Y153" i="15" s="1"/>
  <c r="Y134" i="15"/>
  <c r="Y135" i="15" s="1"/>
  <c r="Y141" i="15" s="1"/>
  <c r="Y265" i="9" s="1"/>
  <c r="Y143" i="9"/>
  <c r="Y144" i="9" s="1"/>
  <c r="X169" i="15"/>
  <c r="Y168" i="15"/>
  <c r="X178" i="15"/>
  <c r="Z139" i="15"/>
  <c r="AA138" i="15"/>
  <c r="Z148" i="15"/>
  <c r="W179" i="15"/>
  <c r="W181" i="15" s="1"/>
  <c r="W182" i="15" s="1"/>
  <c r="W183" i="15" s="1"/>
  <c r="W164" i="15"/>
  <c r="W165" i="15" s="1"/>
  <c r="W171" i="15" s="1"/>
  <c r="W266" i="9" s="1"/>
  <c r="W267" i="9" s="1"/>
  <c r="W282" i="9" s="1"/>
  <c r="X161" i="15"/>
  <c r="X162" i="15" s="1"/>
  <c r="W154" i="9"/>
  <c r="W155" i="9" s="1"/>
  <c r="Y74" i="15"/>
  <c r="Y75" i="15" s="1"/>
  <c r="Y81" i="15" s="1"/>
  <c r="Y246" i="9" s="1"/>
  <c r="Y247" i="9" s="1"/>
  <c r="Y249" i="9" s="1"/>
  <c r="Y276" i="9" s="1"/>
  <c r="Y89" i="15"/>
  <c r="Y91" i="15" s="1"/>
  <c r="Y92" i="15" s="1"/>
  <c r="Y93" i="15" s="1"/>
  <c r="Y103" i="9"/>
  <c r="Y104" i="9" s="1"/>
  <c r="Z71" i="15"/>
  <c r="Z72" i="15" s="1"/>
  <c r="X62" i="15"/>
  <c r="X63" i="15" s="1"/>
  <c r="R37" i="13"/>
  <c r="R139" i="9" s="1"/>
  <c r="R44" i="13"/>
  <c r="R68" i="9" s="1"/>
  <c r="Z96" i="12"/>
  <c r="Z97" i="12" s="1"/>
  <c r="S146" i="11"/>
  <c r="S133" i="11"/>
  <c r="S128" i="11"/>
  <c r="S164" i="12"/>
  <c r="Q46" i="13"/>
  <c r="Q126" i="9" s="1"/>
  <c r="Y59" i="15"/>
  <c r="Y61" i="15" s="1"/>
  <c r="Y44" i="15"/>
  <c r="Y45" i="15" s="1"/>
  <c r="Y51" i="15" s="1"/>
  <c r="Y237" i="9" s="1"/>
  <c r="Y238" i="9" s="1"/>
  <c r="Z41" i="15"/>
  <c r="Z42" i="15" s="1"/>
  <c r="Y94" i="9"/>
  <c r="Y95" i="9" s="1"/>
  <c r="R88" i="13"/>
  <c r="R156" i="13"/>
  <c r="Z49" i="15"/>
  <c r="AA48" i="15"/>
  <c r="Z58" i="15"/>
  <c r="S250" i="12"/>
  <c r="S258" i="12"/>
  <c r="F53" i="17"/>
  <c r="E74" i="17"/>
  <c r="J213" i="17"/>
  <c r="H213" i="17"/>
  <c r="W79" i="17"/>
  <c r="E78" i="17"/>
  <c r="Q78" i="17" s="1"/>
  <c r="E214" i="17" s="1"/>
  <c r="Q79" i="17"/>
  <c r="E225" i="17" s="1"/>
  <c r="E49" i="17"/>
  <c r="E47" i="17"/>
  <c r="E174" i="17" s="1"/>
  <c r="K18" i="17"/>
  <c r="O18" i="17"/>
  <c r="L18" i="17"/>
  <c r="I18" i="17"/>
  <c r="H18" i="17"/>
  <c r="F52" i="17"/>
  <c r="T24" i="9" l="1"/>
  <c r="O134" i="17" s="1"/>
  <c r="T178" i="9"/>
  <c r="T56" i="11"/>
  <c r="T178" i="11" s="1"/>
  <c r="T26" i="12" s="1"/>
  <c r="T68" i="11"/>
  <c r="T190" i="11" s="1"/>
  <c r="T147" i="12" s="1"/>
  <c r="T190" i="9"/>
  <c r="T89" i="12"/>
  <c r="T29" i="9"/>
  <c r="U91" i="10"/>
  <c r="U100" i="10" s="1"/>
  <c r="U106" i="10" s="1"/>
  <c r="U69" i="10"/>
  <c r="U77" i="10" s="1"/>
  <c r="G13" i="17"/>
  <c r="R43" i="10"/>
  <c r="R44" i="10" s="1"/>
  <c r="R82" i="11"/>
  <c r="R199" i="9"/>
  <c r="R45" i="9"/>
  <c r="M155" i="12"/>
  <c r="M207" i="11"/>
  <c r="M108" i="11" s="1"/>
  <c r="L153" i="17"/>
  <c r="P154" i="12"/>
  <c r="V22" i="10"/>
  <c r="V61" i="10" s="1"/>
  <c r="U30" i="10"/>
  <c r="J155" i="12"/>
  <c r="J207" i="11"/>
  <c r="Q204" i="11"/>
  <c r="N155" i="12"/>
  <c r="N207" i="11"/>
  <c r="K155" i="12"/>
  <c r="K207" i="11"/>
  <c r="L155" i="12"/>
  <c r="L207" i="11"/>
  <c r="L108" i="11" s="1"/>
  <c r="O148" i="10"/>
  <c r="O157" i="10"/>
  <c r="R40" i="12"/>
  <c r="R41" i="12" s="1"/>
  <c r="S34" i="12"/>
  <c r="E156" i="17"/>
  <c r="L131" i="11"/>
  <c r="R53" i="10"/>
  <c r="R66" i="10" s="1"/>
  <c r="R94" i="10" s="1"/>
  <c r="R101" i="10" s="1"/>
  <c r="R102" i="10" s="1"/>
  <c r="R76" i="25"/>
  <c r="O71" i="25"/>
  <c r="O73" i="25" s="1"/>
  <c r="S131" i="10"/>
  <c r="S145" i="10" s="1"/>
  <c r="S156" i="10" s="1"/>
  <c r="S32" i="10"/>
  <c r="S39" i="10" s="1"/>
  <c r="S24" i="10"/>
  <c r="S25" i="10" s="1"/>
  <c r="S37" i="10"/>
  <c r="T33" i="10"/>
  <c r="T40" i="10" s="1"/>
  <c r="P54" i="13"/>
  <c r="P55" i="13" s="1"/>
  <c r="O80" i="13"/>
  <c r="O81" i="13" s="1"/>
  <c r="O110" i="10"/>
  <c r="O111" i="10" s="1"/>
  <c r="O112" i="10" s="1"/>
  <c r="O113" i="10" s="1"/>
  <c r="P102" i="10"/>
  <c r="F65" i="17"/>
  <c r="J10" i="17"/>
  <c r="I65" i="17"/>
  <c r="E106" i="17"/>
  <c r="J64" i="17"/>
  <c r="E65" i="17"/>
  <c r="AD55" i="14"/>
  <c r="AE55" i="14" s="1"/>
  <c r="X56" i="14" s="1"/>
  <c r="F106" i="17"/>
  <c r="J131" i="17"/>
  <c r="J135" i="17" s="1"/>
  <c r="J60" i="17"/>
  <c r="R70" i="13"/>
  <c r="R63" i="13"/>
  <c r="P76" i="13"/>
  <c r="P75" i="13"/>
  <c r="Q72" i="13"/>
  <c r="Q231" i="9"/>
  <c r="Q233" i="9" s="1"/>
  <c r="Q52" i="11"/>
  <c r="Q174" i="9"/>
  <c r="Q20" i="9"/>
  <c r="P175" i="9"/>
  <c r="P179" i="9" s="1"/>
  <c r="P53" i="11"/>
  <c r="P175" i="11" s="1"/>
  <c r="P23" i="12" s="1"/>
  <c r="P21" i="9"/>
  <c r="P78" i="10"/>
  <c r="K130" i="17"/>
  <c r="P174" i="11"/>
  <c r="O179" i="11"/>
  <c r="O22" i="12"/>
  <c r="Q94" i="10"/>
  <c r="Q101" i="10" s="1"/>
  <c r="Q107" i="10" s="1"/>
  <c r="Q74" i="10"/>
  <c r="O57" i="11"/>
  <c r="O191" i="11"/>
  <c r="O148" i="12" s="1"/>
  <c r="O70" i="11"/>
  <c r="P69" i="11"/>
  <c r="P191" i="9"/>
  <c r="P192" i="9" s="1"/>
  <c r="P90" i="12"/>
  <c r="P30" i="9"/>
  <c r="P31" i="9" s="1"/>
  <c r="O146" i="18" s="1"/>
  <c r="O147" i="18" s="1"/>
  <c r="P108" i="10"/>
  <c r="N72" i="14"/>
  <c r="N67" i="14"/>
  <c r="AC60" i="9"/>
  <c r="AC62" i="9" s="1"/>
  <c r="AB81" i="14"/>
  <c r="O80" i="10"/>
  <c r="O81" i="10" s="1"/>
  <c r="O82" i="10" s="1"/>
  <c r="O83" i="10" s="1"/>
  <c r="S169" i="12"/>
  <c r="S170" i="12" s="1"/>
  <c r="S190" i="12"/>
  <c r="S191" i="12" s="1"/>
  <c r="AC81" i="14"/>
  <c r="AA58" i="9"/>
  <c r="AA60" i="9" s="1"/>
  <c r="AA62" i="9" s="1"/>
  <c r="AA81" i="14"/>
  <c r="AE64" i="14"/>
  <c r="AJ63" i="14"/>
  <c r="M71" i="14"/>
  <c r="M73" i="14" s="1"/>
  <c r="M58" i="14"/>
  <c r="L99" i="9"/>
  <c r="L101" i="9" s="1"/>
  <c r="L85" i="14"/>
  <c r="L87" i="14" s="1"/>
  <c r="L88" i="14" s="1"/>
  <c r="L89" i="14" s="1"/>
  <c r="N131" i="11"/>
  <c r="K105" i="11"/>
  <c r="K131" i="11" s="1"/>
  <c r="O185" i="9"/>
  <c r="S173" i="12"/>
  <c r="P185" i="9"/>
  <c r="S194" i="12"/>
  <c r="M105" i="11"/>
  <c r="M131" i="11" s="1"/>
  <c r="J105" i="11"/>
  <c r="J131" i="11" s="1"/>
  <c r="F11" i="17"/>
  <c r="F12" i="17" s="1"/>
  <c r="G15" i="17"/>
  <c r="L55" i="9"/>
  <c r="I65" i="25" s="1"/>
  <c r="M53" i="9"/>
  <c r="L158" i="18" s="1"/>
  <c r="L159" i="18" s="1"/>
  <c r="H13" i="17"/>
  <c r="R50" i="10"/>
  <c r="R65" i="10" s="1"/>
  <c r="R73" i="10" s="1"/>
  <c r="Q70" i="10"/>
  <c r="H12" i="17"/>
  <c r="O33" i="9"/>
  <c r="J9" i="17"/>
  <c r="I12" i="17"/>
  <c r="I106" i="17"/>
  <c r="K94" i="14"/>
  <c r="AA148" i="15"/>
  <c r="AA139" i="15"/>
  <c r="AB138" i="15"/>
  <c r="Y161" i="15"/>
  <c r="Y162" i="15" s="1"/>
  <c r="X154" i="9"/>
  <c r="X155" i="9" s="1"/>
  <c r="X164" i="15"/>
  <c r="X165" i="15" s="1"/>
  <c r="X171" i="15" s="1"/>
  <c r="X266" i="9" s="1"/>
  <c r="X267" i="9" s="1"/>
  <c r="X282" i="9" s="1"/>
  <c r="X179" i="15"/>
  <c r="X181" i="15" s="1"/>
  <c r="X182" i="15" s="1"/>
  <c r="X183" i="15" s="1"/>
  <c r="Z89" i="15"/>
  <c r="Z91" i="15" s="1"/>
  <c r="Z92" i="15" s="1"/>
  <c r="Z93" i="15" s="1"/>
  <c r="Z74" i="15"/>
  <c r="Z75" i="15" s="1"/>
  <c r="Z81" i="15" s="1"/>
  <c r="Z246" i="9" s="1"/>
  <c r="Z247" i="9" s="1"/>
  <c r="Z249" i="9" s="1"/>
  <c r="Z276" i="9" s="1"/>
  <c r="AA71" i="15"/>
  <c r="AA72" i="15" s="1"/>
  <c r="Z103" i="9"/>
  <c r="Z104" i="9" s="1"/>
  <c r="AA131" i="15"/>
  <c r="AA132" i="15" s="1"/>
  <c r="Z143" i="9"/>
  <c r="Z144" i="9" s="1"/>
  <c r="Z134" i="15"/>
  <c r="Z135" i="15" s="1"/>
  <c r="Z141" i="15" s="1"/>
  <c r="Z265" i="9" s="1"/>
  <c r="Z149" i="15"/>
  <c r="Z151" i="15" s="1"/>
  <c r="Z152" i="15" s="1"/>
  <c r="Z153" i="15" s="1"/>
  <c r="Y178" i="15"/>
  <c r="Y169" i="15"/>
  <c r="Z168" i="15"/>
  <c r="X134" i="9"/>
  <c r="X135" i="9" s="1"/>
  <c r="X119" i="15"/>
  <c r="X121" i="15" s="1"/>
  <c r="X122" i="15" s="1"/>
  <c r="X123" i="15" s="1"/>
  <c r="X104" i="15"/>
  <c r="X105" i="15" s="1"/>
  <c r="X111" i="15" s="1"/>
  <c r="X215" i="9" s="1"/>
  <c r="X216" i="9" s="1"/>
  <c r="Y101" i="15"/>
  <c r="Y102" i="15" s="1"/>
  <c r="AA88" i="15"/>
  <c r="AB78" i="15"/>
  <c r="AA79" i="15"/>
  <c r="Z108" i="15"/>
  <c r="Y109" i="15"/>
  <c r="Y118" i="15"/>
  <c r="W122" i="15"/>
  <c r="W123" i="15" s="1"/>
  <c r="Y62" i="15"/>
  <c r="Y63" i="15" s="1"/>
  <c r="T163" i="12"/>
  <c r="T249" i="12"/>
  <c r="R45" i="13"/>
  <c r="R43" i="13"/>
  <c r="Q48" i="13"/>
  <c r="T127" i="11"/>
  <c r="S33" i="13"/>
  <c r="S134" i="11"/>
  <c r="AA96" i="12"/>
  <c r="AA97" i="12" s="1"/>
  <c r="AA49" i="15"/>
  <c r="AB48" i="15"/>
  <c r="AA58" i="15"/>
  <c r="S259" i="12"/>
  <c r="Z44" i="15"/>
  <c r="Z45" i="15" s="1"/>
  <c r="Z51" i="15" s="1"/>
  <c r="Z237" i="9" s="1"/>
  <c r="Z238" i="9" s="1"/>
  <c r="Z59" i="15"/>
  <c r="Z61" i="15" s="1"/>
  <c r="AA41" i="15"/>
  <c r="AA42" i="15" s="1"/>
  <c r="Z94" i="9"/>
  <c r="Z95" i="9" s="1"/>
  <c r="R91" i="13"/>
  <c r="S153" i="13"/>
  <c r="R152" i="9"/>
  <c r="S147" i="11"/>
  <c r="E86" i="17"/>
  <c r="E85" i="17" s="1"/>
  <c r="E124" i="17"/>
  <c r="E21" i="17"/>
  <c r="E175" i="17"/>
  <c r="E48" i="17"/>
  <c r="E73" i="17"/>
  <c r="F225" i="17"/>
  <c r="G225" i="17"/>
  <c r="J214" i="17"/>
  <c r="L214" i="17"/>
  <c r="W80" i="17"/>
  <c r="K214" i="17"/>
  <c r="H214" i="17"/>
  <c r="Q18" i="17"/>
  <c r="E36" i="17"/>
  <c r="E172" i="17" s="1"/>
  <c r="E43" i="17"/>
  <c r="U24" i="9" l="1"/>
  <c r="P134" i="17" s="1"/>
  <c r="Q134" i="17" s="1"/>
  <c r="U56" i="11"/>
  <c r="U178" i="11" s="1"/>
  <c r="U26" i="12" s="1"/>
  <c r="U178" i="9"/>
  <c r="V91" i="10"/>
  <c r="V100" i="10" s="1"/>
  <c r="V106" i="10" s="1"/>
  <c r="V69" i="10"/>
  <c r="V77" i="10" s="1"/>
  <c r="U68" i="11"/>
  <c r="U190" i="11" s="1"/>
  <c r="U147" i="12" s="1"/>
  <c r="U29" i="9"/>
  <c r="U190" i="9"/>
  <c r="U89" i="12"/>
  <c r="S43" i="10"/>
  <c r="S44" i="10" s="1"/>
  <c r="W22" i="10"/>
  <c r="W61" i="10" s="1"/>
  <c r="V30" i="10"/>
  <c r="Q154" i="12"/>
  <c r="S43" i="12"/>
  <c r="S44" i="12" s="1"/>
  <c r="S35" i="12"/>
  <c r="M153" i="17"/>
  <c r="S82" i="11"/>
  <c r="S45" i="9"/>
  <c r="S199" i="9"/>
  <c r="O83" i="11"/>
  <c r="O200" i="9"/>
  <c r="O202" i="9" s="1"/>
  <c r="O46" i="9"/>
  <c r="O159" i="10"/>
  <c r="O161" i="10" s="1"/>
  <c r="O162" i="10" s="1"/>
  <c r="O163" i="10" s="1"/>
  <c r="O164" i="10" s="1"/>
  <c r="R204" i="11"/>
  <c r="R74" i="10"/>
  <c r="R175" i="9" s="1"/>
  <c r="S76" i="25"/>
  <c r="U33" i="10"/>
  <c r="U40" i="10" s="1"/>
  <c r="T131" i="10"/>
  <c r="T145" i="10" s="1"/>
  <c r="T156" i="10" s="1"/>
  <c r="T32" i="10"/>
  <c r="T39" i="10" s="1"/>
  <c r="T24" i="10"/>
  <c r="T25" i="10" s="1"/>
  <c r="P71" i="25"/>
  <c r="P73" i="25" s="1"/>
  <c r="P110" i="10"/>
  <c r="P111" i="10" s="1"/>
  <c r="P112" i="10" s="1"/>
  <c r="P113" i="10" s="1"/>
  <c r="R107" i="10"/>
  <c r="R90" i="12" s="1"/>
  <c r="K60" i="17"/>
  <c r="K10" i="17"/>
  <c r="P57" i="11"/>
  <c r="L106" i="9"/>
  <c r="K64" i="17"/>
  <c r="K131" i="17"/>
  <c r="K135" i="17" s="1"/>
  <c r="Y56" i="14"/>
  <c r="AD57" i="14" s="1"/>
  <c r="AD79" i="14" s="1"/>
  <c r="AF55" i="14"/>
  <c r="W56" i="14" s="1"/>
  <c r="P77" i="13"/>
  <c r="P80" i="13" s="1"/>
  <c r="R229" i="9"/>
  <c r="R140" i="9"/>
  <c r="R141" i="9" s="1"/>
  <c r="R146" i="9" s="1"/>
  <c r="S59" i="13"/>
  <c r="R69" i="9"/>
  <c r="R70" i="9" s="1"/>
  <c r="R71" i="13"/>
  <c r="R230" i="9" s="1"/>
  <c r="Q127" i="9"/>
  <c r="Q128" i="9" s="1"/>
  <c r="Q130" i="9" s="1"/>
  <c r="R69" i="13"/>
  <c r="Q74" i="13"/>
  <c r="R174" i="9"/>
  <c r="R52" i="11"/>
  <c r="R20" i="9"/>
  <c r="P22" i="12"/>
  <c r="P179" i="11"/>
  <c r="Q53" i="11"/>
  <c r="Q175" i="11" s="1"/>
  <c r="Q23" i="12" s="1"/>
  <c r="Q175" i="9"/>
  <c r="Q179" i="9" s="1"/>
  <c r="Q21" i="9"/>
  <c r="P25" i="9"/>
  <c r="O139" i="18" s="1"/>
  <c r="O140" i="18" s="1"/>
  <c r="Q78" i="10"/>
  <c r="Q133" i="10" s="1"/>
  <c r="Q146" i="10" s="1"/>
  <c r="Q157" i="10" s="1"/>
  <c r="Q102" i="10"/>
  <c r="L130" i="17"/>
  <c r="Q174" i="11"/>
  <c r="O192" i="11"/>
  <c r="O106" i="11" s="1"/>
  <c r="O104" i="11"/>
  <c r="Q69" i="11"/>
  <c r="Q30" i="9"/>
  <c r="Q31" i="9" s="1"/>
  <c r="P146" i="18" s="1"/>
  <c r="P147" i="18" s="1"/>
  <c r="Q191" i="9"/>
  <c r="Q192" i="9" s="1"/>
  <c r="Q90" i="12"/>
  <c r="Q108" i="10"/>
  <c r="P191" i="11"/>
  <c r="P148" i="12" s="1"/>
  <c r="P70" i="11"/>
  <c r="N84" i="14"/>
  <c r="N100" i="9" s="1"/>
  <c r="O61" i="14"/>
  <c r="X65" i="14"/>
  <c r="AE66" i="14" s="1"/>
  <c r="AE80" i="14" s="1"/>
  <c r="AF64" i="14"/>
  <c r="AK63" i="14"/>
  <c r="L93" i="14"/>
  <c r="L92" i="14"/>
  <c r="L91" i="14"/>
  <c r="M83" i="14"/>
  <c r="N52" i="14"/>
  <c r="K53" i="9"/>
  <c r="J158" i="18" s="1"/>
  <c r="J159" i="18" s="1"/>
  <c r="F13" i="17"/>
  <c r="K108" i="11"/>
  <c r="T172" i="12"/>
  <c r="T193" i="12"/>
  <c r="J108" i="11"/>
  <c r="R185" i="9"/>
  <c r="J53" i="9"/>
  <c r="I158" i="18" s="1"/>
  <c r="I159" i="18" s="1"/>
  <c r="E13" i="17"/>
  <c r="P80" i="10"/>
  <c r="P81" i="10" s="1"/>
  <c r="P82" i="10" s="1"/>
  <c r="P83" i="10" s="1"/>
  <c r="P133" i="10"/>
  <c r="P146" i="10" s="1"/>
  <c r="P157" i="10" s="1"/>
  <c r="N53" i="9"/>
  <c r="M158" i="18" s="1"/>
  <c r="M159" i="18" s="1"/>
  <c r="I13" i="17"/>
  <c r="L64" i="9"/>
  <c r="G107" i="17"/>
  <c r="G14" i="17"/>
  <c r="G16" i="17"/>
  <c r="H15" i="17"/>
  <c r="M55" i="9"/>
  <c r="J65" i="25" s="1"/>
  <c r="N108" i="11"/>
  <c r="R70" i="10"/>
  <c r="S50" i="10"/>
  <c r="S65" i="10" s="1"/>
  <c r="S73" i="10" s="1"/>
  <c r="S53" i="10"/>
  <c r="S66" i="10" s="1"/>
  <c r="J11" i="17"/>
  <c r="J12" i="17" s="1"/>
  <c r="J106" i="17"/>
  <c r="R46" i="13"/>
  <c r="Z169" i="15"/>
  <c r="AA168" i="15"/>
  <c r="Z178" i="15"/>
  <c r="AB148" i="15"/>
  <c r="AC138" i="15"/>
  <c r="AB139" i="15"/>
  <c r="AB79" i="15"/>
  <c r="AC78" i="15"/>
  <c r="AB88" i="15"/>
  <c r="Y179" i="15"/>
  <c r="Y181" i="15" s="1"/>
  <c r="Y182" i="15" s="1"/>
  <c r="Y183" i="15" s="1"/>
  <c r="Y164" i="15"/>
  <c r="Y165" i="15" s="1"/>
  <c r="Y171" i="15" s="1"/>
  <c r="Y266" i="9" s="1"/>
  <c r="Y267" i="9" s="1"/>
  <c r="Y282" i="9" s="1"/>
  <c r="Z161" i="15"/>
  <c r="Z162" i="15" s="1"/>
  <c r="Y154" i="9"/>
  <c r="Y155" i="9" s="1"/>
  <c r="AA89" i="15"/>
  <c r="AA91" i="15" s="1"/>
  <c r="AA92" i="15" s="1"/>
  <c r="AA93" i="15" s="1"/>
  <c r="AA74" i="15"/>
  <c r="AA75" i="15" s="1"/>
  <c r="AA81" i="15" s="1"/>
  <c r="AA246" i="9" s="1"/>
  <c r="AA247" i="9" s="1"/>
  <c r="AA249" i="9" s="1"/>
  <c r="AA276" i="9" s="1"/>
  <c r="AB71" i="15"/>
  <c r="AB72" i="15" s="1"/>
  <c r="AA103" i="9"/>
  <c r="AA104" i="9" s="1"/>
  <c r="AA134" i="15"/>
  <c r="AA135" i="15" s="1"/>
  <c r="AA141" i="15" s="1"/>
  <c r="AA265" i="9" s="1"/>
  <c r="AB131" i="15"/>
  <c r="AB132" i="15" s="1"/>
  <c r="AA143" i="9"/>
  <c r="AA144" i="9" s="1"/>
  <c r="AA149" i="15"/>
  <c r="AA151" i="15" s="1"/>
  <c r="AA152" i="15" s="1"/>
  <c r="AA153" i="15" s="1"/>
  <c r="Z118" i="15"/>
  <c r="Z109" i="15"/>
  <c r="AA108" i="15"/>
  <c r="Y119" i="15"/>
  <c r="Y121" i="15" s="1"/>
  <c r="Y122" i="15" s="1"/>
  <c r="Y123" i="15" s="1"/>
  <c r="Y104" i="15"/>
  <c r="Y105" i="15" s="1"/>
  <c r="Y111" i="15" s="1"/>
  <c r="Y215" i="9" s="1"/>
  <c r="Y216" i="9" s="1"/>
  <c r="Z101" i="15"/>
  <c r="Z102" i="15" s="1"/>
  <c r="Y134" i="9"/>
  <c r="Y135" i="9" s="1"/>
  <c r="Z62" i="15"/>
  <c r="Z63" i="15" s="1"/>
  <c r="AB96" i="12"/>
  <c r="AB97" i="12" s="1"/>
  <c r="T258" i="12"/>
  <c r="T250" i="12"/>
  <c r="Q50" i="13"/>
  <c r="Q49" i="13"/>
  <c r="S44" i="13"/>
  <c r="S68" i="9" s="1"/>
  <c r="S37" i="13"/>
  <c r="S139" i="9" s="1"/>
  <c r="S156" i="13"/>
  <c r="S88" i="13"/>
  <c r="AA44" i="15"/>
  <c r="AA45" i="15" s="1"/>
  <c r="AA51" i="15" s="1"/>
  <c r="AA237" i="9" s="1"/>
  <c r="AA238" i="9" s="1"/>
  <c r="AA59" i="15"/>
  <c r="AA61" i="15" s="1"/>
  <c r="AB41" i="15"/>
  <c r="AB42" i="15" s="1"/>
  <c r="AA94" i="9"/>
  <c r="AA95" i="9" s="1"/>
  <c r="AC48" i="15"/>
  <c r="AB49" i="15"/>
  <c r="AB58" i="15"/>
  <c r="T164" i="12"/>
  <c r="T146" i="11"/>
  <c r="T133" i="11"/>
  <c r="T128" i="11"/>
  <c r="F74" i="17"/>
  <c r="G53" i="17"/>
  <c r="F49" i="17"/>
  <c r="F47" i="17"/>
  <c r="F174" i="17" s="1"/>
  <c r="E38" i="17"/>
  <c r="E114" i="17"/>
  <c r="G52" i="17"/>
  <c r="F73" i="17"/>
  <c r="I74" i="17"/>
  <c r="W91" i="10" l="1"/>
  <c r="W100" i="10" s="1"/>
  <c r="W106" i="10" s="1"/>
  <c r="W69" i="10"/>
  <c r="W77" i="10" s="1"/>
  <c r="V56" i="11"/>
  <c r="V178" i="11" s="1"/>
  <c r="V26" i="12" s="1"/>
  <c r="V178" i="9"/>
  <c r="V24" i="9"/>
  <c r="V68" i="11"/>
  <c r="V190" i="11" s="1"/>
  <c r="V147" i="12" s="1"/>
  <c r="V89" i="12"/>
  <c r="V29" i="9"/>
  <c r="V190" i="9"/>
  <c r="J154" i="17"/>
  <c r="O48" i="9"/>
  <c r="O53" i="9" s="1"/>
  <c r="N158" i="18" s="1"/>
  <c r="N159" i="18" s="1"/>
  <c r="S204" i="11"/>
  <c r="N153" i="17"/>
  <c r="Q83" i="11"/>
  <c r="Q200" i="9"/>
  <c r="Q202" i="9" s="1"/>
  <c r="Q46" i="9"/>
  <c r="Q159" i="10"/>
  <c r="O205" i="11"/>
  <c r="O85" i="11"/>
  <c r="R154" i="12"/>
  <c r="X22" i="10"/>
  <c r="X61" i="10" s="1"/>
  <c r="W30" i="10"/>
  <c r="P200" i="9"/>
  <c r="P202" i="9" s="1"/>
  <c r="P83" i="11"/>
  <c r="P46" i="9"/>
  <c r="P159" i="10"/>
  <c r="T82" i="11"/>
  <c r="T199" i="9"/>
  <c r="T45" i="9"/>
  <c r="S40" i="12"/>
  <c r="S41" i="12" s="1"/>
  <c r="T34" i="12"/>
  <c r="T53" i="10"/>
  <c r="T66" i="10" s="1"/>
  <c r="T94" i="10" s="1"/>
  <c r="T101" i="10" s="1"/>
  <c r="T107" i="10" s="1"/>
  <c r="T37" i="10"/>
  <c r="T43" i="10" s="1"/>
  <c r="T44" i="10" s="1"/>
  <c r="R53" i="11"/>
  <c r="R175" i="11" s="1"/>
  <c r="R23" i="12" s="1"/>
  <c r="R78" i="10"/>
  <c r="R133" i="10" s="1"/>
  <c r="R146" i="10" s="1"/>
  <c r="R157" i="10" s="1"/>
  <c r="R21" i="9"/>
  <c r="M131" i="17" s="1"/>
  <c r="T76" i="25"/>
  <c r="Q71" i="25"/>
  <c r="Q73" i="25" s="1"/>
  <c r="U131" i="10"/>
  <c r="U145" i="10" s="1"/>
  <c r="U156" i="10" s="1"/>
  <c r="P79" i="13"/>
  <c r="P81" i="13" s="1"/>
  <c r="R69" i="11"/>
  <c r="R70" i="11" s="1"/>
  <c r="R30" i="9"/>
  <c r="R31" i="9" s="1"/>
  <c r="R108" i="10"/>
  <c r="R110" i="10" s="1"/>
  <c r="R111" i="10" s="1"/>
  <c r="R112" i="10" s="1"/>
  <c r="R113" i="10" s="1"/>
  <c r="R191" i="9"/>
  <c r="R192" i="9" s="1"/>
  <c r="M64" i="17" s="1"/>
  <c r="Q57" i="11"/>
  <c r="AF57" i="14"/>
  <c r="AF79" i="14" s="1"/>
  <c r="AF58" i="9" s="1"/>
  <c r="L60" i="17"/>
  <c r="AG55" i="14"/>
  <c r="L64" i="17"/>
  <c r="J65" i="17"/>
  <c r="L10" i="17"/>
  <c r="AD81" i="14"/>
  <c r="AD58" i="9"/>
  <c r="AD60" i="9" s="1"/>
  <c r="AD62" i="9" s="1"/>
  <c r="K9" i="17"/>
  <c r="K11" i="17" s="1"/>
  <c r="G108" i="17"/>
  <c r="L131" i="17"/>
  <c r="L135" i="17" s="1"/>
  <c r="AE57" i="14"/>
  <c r="AE79" i="14" s="1"/>
  <c r="AE58" i="9" s="1"/>
  <c r="P33" i="9"/>
  <c r="K106" i="17" s="1"/>
  <c r="S63" i="13"/>
  <c r="S70" i="13"/>
  <c r="Q25" i="9"/>
  <c r="Q76" i="13"/>
  <c r="Q75" i="13"/>
  <c r="R231" i="9"/>
  <c r="R233" i="9" s="1"/>
  <c r="R48" i="13"/>
  <c r="R49" i="13" s="1"/>
  <c r="R126" i="9"/>
  <c r="R72" i="13"/>
  <c r="S52" i="11"/>
  <c r="S174" i="9"/>
  <c r="S20" i="9"/>
  <c r="Q22" i="12"/>
  <c r="Q179" i="11"/>
  <c r="M130" i="17"/>
  <c r="S94" i="10"/>
  <c r="S101" i="10" s="1"/>
  <c r="S102" i="10" s="1"/>
  <c r="S74" i="10"/>
  <c r="R174" i="11"/>
  <c r="Q110" i="10"/>
  <c r="Q111" i="10" s="1"/>
  <c r="Q112" i="10" s="1"/>
  <c r="Q113" i="10" s="1"/>
  <c r="R179" i="9"/>
  <c r="Q148" i="10"/>
  <c r="Q80" i="10"/>
  <c r="Q81" i="10" s="1"/>
  <c r="Q82" i="10" s="1"/>
  <c r="Q83" i="10" s="1"/>
  <c r="Q191" i="11"/>
  <c r="Q148" i="12" s="1"/>
  <c r="Q70" i="11"/>
  <c r="P192" i="11"/>
  <c r="P106" i="11" s="1"/>
  <c r="O67" i="14"/>
  <c r="O72" i="14"/>
  <c r="T169" i="12"/>
  <c r="T170" i="12" s="1"/>
  <c r="T190" i="12"/>
  <c r="T191" i="12" s="1"/>
  <c r="AE59" i="9"/>
  <c r="W65" i="14"/>
  <c r="AF66" i="14" s="1"/>
  <c r="AF80" i="14" s="1"/>
  <c r="AG64" i="14"/>
  <c r="AL63" i="14"/>
  <c r="N71" i="14"/>
  <c r="N73" i="14" s="1"/>
  <c r="N58" i="14"/>
  <c r="M85" i="14"/>
  <c r="M87" i="14" s="1"/>
  <c r="M88" i="14" s="1"/>
  <c r="M89" i="14" s="1"/>
  <c r="M99" i="9"/>
  <c r="M101" i="9" s="1"/>
  <c r="Q185" i="9"/>
  <c r="P105" i="11"/>
  <c r="T194" i="12"/>
  <c r="T173" i="12"/>
  <c r="J55" i="9"/>
  <c r="G65" i="25" s="1"/>
  <c r="E15" i="17"/>
  <c r="O105" i="11"/>
  <c r="O131" i="11" s="1"/>
  <c r="K55" i="9"/>
  <c r="H65" i="25" s="1"/>
  <c r="J69" i="25" s="1"/>
  <c r="F15" i="17"/>
  <c r="G17" i="17"/>
  <c r="G19" i="17"/>
  <c r="G20" i="17" s="1"/>
  <c r="M64" i="9"/>
  <c r="H107" i="17"/>
  <c r="I15" i="17"/>
  <c r="N55" i="9"/>
  <c r="K65" i="25" s="1"/>
  <c r="H14" i="17"/>
  <c r="H16" i="17"/>
  <c r="P148" i="10"/>
  <c r="T50" i="10"/>
  <c r="T65" i="10" s="1"/>
  <c r="T73" i="10" s="1"/>
  <c r="P104" i="11"/>
  <c r="S70" i="10"/>
  <c r="S43" i="13"/>
  <c r="Q51" i="13"/>
  <c r="Q54" i="13" s="1"/>
  <c r="AB108" i="15"/>
  <c r="AA109" i="15"/>
  <c r="AA118" i="15"/>
  <c r="AC139" i="15"/>
  <c r="AD138" i="15"/>
  <c r="AC148" i="15"/>
  <c r="Z119" i="15"/>
  <c r="Z121" i="15" s="1"/>
  <c r="Z122" i="15" s="1"/>
  <c r="Z123" i="15" s="1"/>
  <c r="Z104" i="15"/>
  <c r="Z105" i="15" s="1"/>
  <c r="Z111" i="15" s="1"/>
  <c r="Z215" i="9" s="1"/>
  <c r="Z216" i="9" s="1"/>
  <c r="AA101" i="15"/>
  <c r="AA102" i="15" s="1"/>
  <c r="Z134" i="9"/>
  <c r="Z135" i="9" s="1"/>
  <c r="AC71" i="15"/>
  <c r="AC72" i="15" s="1"/>
  <c r="AB103" i="9"/>
  <c r="AB104" i="9" s="1"/>
  <c r="AB74" i="15"/>
  <c r="AB75" i="15" s="1"/>
  <c r="AB81" i="15" s="1"/>
  <c r="AB246" i="9" s="1"/>
  <c r="AB247" i="9" s="1"/>
  <c r="AB249" i="9" s="1"/>
  <c r="AB276" i="9" s="1"/>
  <c r="AB89" i="15"/>
  <c r="AC131" i="15"/>
  <c r="AC132" i="15" s="1"/>
  <c r="AB134" i="15"/>
  <c r="AB135" i="15" s="1"/>
  <c r="AB141" i="15" s="1"/>
  <c r="AB265" i="9" s="1"/>
  <c r="AB149" i="15"/>
  <c r="AB151" i="15" s="1"/>
  <c r="AB152" i="15" s="1"/>
  <c r="AB153" i="15" s="1"/>
  <c r="AB143" i="9"/>
  <c r="AB144" i="9" s="1"/>
  <c r="AC79" i="15"/>
  <c r="AC88" i="15"/>
  <c r="AD78" i="15"/>
  <c r="Z154" i="9"/>
  <c r="Z155" i="9" s="1"/>
  <c r="Z179" i="15"/>
  <c r="Z181" i="15" s="1"/>
  <c r="Z182" i="15" s="1"/>
  <c r="Z183" i="15" s="1"/>
  <c r="Z164" i="15"/>
  <c r="Z165" i="15" s="1"/>
  <c r="Z171" i="15" s="1"/>
  <c r="Z266" i="9" s="1"/>
  <c r="Z267" i="9" s="1"/>
  <c r="Z282" i="9" s="1"/>
  <c r="AA161" i="15"/>
  <c r="AA162" i="15" s="1"/>
  <c r="AB91" i="15"/>
  <c r="AB92" i="15" s="1"/>
  <c r="AB93" i="15" s="1"/>
  <c r="AA169" i="15"/>
  <c r="AB168" i="15"/>
  <c r="AA178" i="15"/>
  <c r="L94" i="14"/>
  <c r="AA62" i="15"/>
  <c r="AA63" i="15" s="1"/>
  <c r="U163" i="12"/>
  <c r="AC96" i="12"/>
  <c r="AC97" i="12" s="1"/>
  <c r="AB59" i="15"/>
  <c r="AB61" i="15" s="1"/>
  <c r="AB44" i="15"/>
  <c r="AB45" i="15" s="1"/>
  <c r="AB51" i="15" s="1"/>
  <c r="AB237" i="9" s="1"/>
  <c r="AB238" i="9" s="1"/>
  <c r="AC41" i="15"/>
  <c r="AC42" i="15" s="1"/>
  <c r="AB94" i="9"/>
  <c r="AB95" i="9" s="1"/>
  <c r="T33" i="13"/>
  <c r="U249" i="12"/>
  <c r="U127" i="11"/>
  <c r="S45" i="13"/>
  <c r="T259" i="12"/>
  <c r="AC49" i="15"/>
  <c r="AD48" i="15"/>
  <c r="AC58" i="15"/>
  <c r="T134" i="11"/>
  <c r="T147" i="11"/>
  <c r="S91" i="13"/>
  <c r="T153" i="13"/>
  <c r="S152" i="9"/>
  <c r="F175" i="17"/>
  <c r="F48" i="17"/>
  <c r="F36" i="17"/>
  <c r="F172" i="17" s="1"/>
  <c r="E173" i="17"/>
  <c r="E37" i="17"/>
  <c r="X91" i="10" l="1"/>
  <c r="X100" i="10" s="1"/>
  <c r="X106" i="10" s="1"/>
  <c r="X69" i="10"/>
  <c r="X77" i="10" s="1"/>
  <c r="W24" i="9"/>
  <c r="W56" i="11"/>
  <c r="W178" i="11" s="1"/>
  <c r="W26" i="12" s="1"/>
  <c r="W178" i="9"/>
  <c r="W29" i="9"/>
  <c r="W190" i="9"/>
  <c r="W68" i="11"/>
  <c r="W190" i="11" s="1"/>
  <c r="W147" i="12" s="1"/>
  <c r="W89" i="12"/>
  <c r="I69" i="25"/>
  <c r="K69" i="25"/>
  <c r="O153" i="17"/>
  <c r="T74" i="10"/>
  <c r="T175" i="9" s="1"/>
  <c r="T35" i="12"/>
  <c r="T43" i="12"/>
  <c r="T44" i="12" s="1"/>
  <c r="T204" i="11"/>
  <c r="Y22" i="10"/>
  <c r="Y61" i="10" s="1"/>
  <c r="X30" i="10"/>
  <c r="U82" i="11"/>
  <c r="U199" i="9"/>
  <c r="U45" i="9"/>
  <c r="L154" i="17"/>
  <c r="L156" i="17" s="1"/>
  <c r="Q48" i="9"/>
  <c r="S154" i="12"/>
  <c r="O155" i="12"/>
  <c r="O207" i="11"/>
  <c r="O108" i="11" s="1"/>
  <c r="R83" i="11"/>
  <c r="R200" i="9"/>
  <c r="R202" i="9" s="1"/>
  <c r="R46" i="9"/>
  <c r="R159" i="10"/>
  <c r="K154" i="17"/>
  <c r="K156" i="17" s="1"/>
  <c r="P48" i="9"/>
  <c r="P205" i="11"/>
  <c r="P85" i="11"/>
  <c r="Q205" i="11"/>
  <c r="Q85" i="11"/>
  <c r="J156" i="17"/>
  <c r="R80" i="10"/>
  <c r="R81" i="10" s="1"/>
  <c r="R82" i="10" s="1"/>
  <c r="R83" i="10" s="1"/>
  <c r="R148" i="10"/>
  <c r="R57" i="11"/>
  <c r="R25" i="9"/>
  <c r="Q139" i="18" s="1"/>
  <c r="Q140" i="18" s="1"/>
  <c r="U76" i="25"/>
  <c r="V131" i="10"/>
  <c r="V145" i="10" s="1"/>
  <c r="V156" i="10" s="1"/>
  <c r="U32" i="10"/>
  <c r="U39" i="10" s="1"/>
  <c r="V33" i="10"/>
  <c r="V40" i="10" s="1"/>
  <c r="U24" i="10"/>
  <c r="U25" i="10" s="1"/>
  <c r="U37" i="10"/>
  <c r="T102" i="10"/>
  <c r="M10" i="17"/>
  <c r="Q146" i="18"/>
  <c r="Q147" i="18" s="1"/>
  <c r="Q33" i="9"/>
  <c r="L106" i="17" s="1"/>
  <c r="P139" i="18"/>
  <c r="P140" i="18" s="1"/>
  <c r="R50" i="13"/>
  <c r="R51" i="13" s="1"/>
  <c r="R54" i="13" s="1"/>
  <c r="J13" i="17"/>
  <c r="R191" i="11"/>
  <c r="L9" i="17"/>
  <c r="L11" i="17" s="1"/>
  <c r="L12" i="17" s="1"/>
  <c r="S107" i="10"/>
  <c r="S90" i="12" s="1"/>
  <c r="AE81" i="14"/>
  <c r="AE60" i="9"/>
  <c r="AE62" i="9" s="1"/>
  <c r="M135" i="17"/>
  <c r="H108" i="17"/>
  <c r="M106" i="9"/>
  <c r="Q77" i="13"/>
  <c r="Q79" i="13" s="1"/>
  <c r="V56" i="14"/>
  <c r="AG57" i="14" s="1"/>
  <c r="AG79" i="14" s="1"/>
  <c r="AG58" i="9" s="1"/>
  <c r="AH55" i="14"/>
  <c r="L65" i="17"/>
  <c r="M60" i="17"/>
  <c r="R127" i="9"/>
  <c r="R128" i="9" s="1"/>
  <c r="R130" i="9" s="1"/>
  <c r="S69" i="13"/>
  <c r="R74" i="13"/>
  <c r="S69" i="9"/>
  <c r="S70" i="9" s="1"/>
  <c r="S71" i="13"/>
  <c r="S230" i="9" s="1"/>
  <c r="S229" i="9"/>
  <c r="S140" i="9"/>
  <c r="S141" i="9" s="1"/>
  <c r="S146" i="9" s="1"/>
  <c r="T59" i="13"/>
  <c r="Q53" i="13"/>
  <c r="Q55" i="13" s="1"/>
  <c r="T53" i="11"/>
  <c r="T175" i="11" s="1"/>
  <c r="T23" i="12" s="1"/>
  <c r="T174" i="9"/>
  <c r="T52" i="11"/>
  <c r="T20" i="9"/>
  <c r="R179" i="11"/>
  <c r="R22" i="12"/>
  <c r="N130" i="17"/>
  <c r="S175" i="9"/>
  <c r="S179" i="9" s="1"/>
  <c r="S53" i="11"/>
  <c r="S175" i="11" s="1"/>
  <c r="S23" i="12" s="1"/>
  <c r="S21" i="9"/>
  <c r="S25" i="9" s="1"/>
  <c r="R139" i="18" s="1"/>
  <c r="R140" i="18" s="1"/>
  <c r="S78" i="10"/>
  <c r="S133" i="10" s="1"/>
  <c r="S146" i="10" s="1"/>
  <c r="S157" i="10" s="1"/>
  <c r="S174" i="11"/>
  <c r="Q104" i="11"/>
  <c r="Q161" i="10"/>
  <c r="Q162" i="10" s="1"/>
  <c r="Q163" i="10" s="1"/>
  <c r="Q164" i="10" s="1"/>
  <c r="Q192" i="11"/>
  <c r="Q106" i="11" s="1"/>
  <c r="T90" i="12"/>
  <c r="T30" i="9"/>
  <c r="T31" i="9" s="1"/>
  <c r="S146" i="18" s="1"/>
  <c r="S147" i="18" s="1"/>
  <c r="T69" i="11"/>
  <c r="T191" i="9"/>
  <c r="T192" i="9" s="1"/>
  <c r="T108" i="10"/>
  <c r="O84" i="14"/>
  <c r="O100" i="9" s="1"/>
  <c r="P61" i="14"/>
  <c r="P131" i="11"/>
  <c r="V65" i="14"/>
  <c r="AG66" i="14" s="1"/>
  <c r="AG80" i="14" s="1"/>
  <c r="AH64" i="14"/>
  <c r="U65" i="14" s="1"/>
  <c r="AF59" i="9"/>
  <c r="AF60" i="9" s="1"/>
  <c r="AF62" i="9" s="1"/>
  <c r="AF81" i="14"/>
  <c r="AM63" i="14"/>
  <c r="M93" i="14"/>
  <c r="M92" i="14"/>
  <c r="M91" i="14"/>
  <c r="N83" i="14"/>
  <c r="O52" i="14"/>
  <c r="J64" i="9"/>
  <c r="E107" i="17"/>
  <c r="F14" i="17"/>
  <c r="F16" i="17"/>
  <c r="K64" i="9"/>
  <c r="F107" i="17"/>
  <c r="R105" i="11"/>
  <c r="U193" i="12"/>
  <c r="U172" i="12"/>
  <c r="T185" i="9"/>
  <c r="E16" i="17"/>
  <c r="E14" i="17"/>
  <c r="P161" i="10"/>
  <c r="P162" i="10" s="1"/>
  <c r="P163" i="10" s="1"/>
  <c r="P164" i="10" s="1"/>
  <c r="H17" i="17"/>
  <c r="H19" i="17"/>
  <c r="H20" i="17" s="1"/>
  <c r="J15" i="17"/>
  <c r="O55" i="9"/>
  <c r="L65" i="25" s="1"/>
  <c r="L69" i="25" s="1"/>
  <c r="N64" i="9"/>
  <c r="I107" i="17"/>
  <c r="I14" i="17"/>
  <c r="I16" i="17"/>
  <c r="T70" i="10"/>
  <c r="K12" i="17"/>
  <c r="AD139" i="15"/>
  <c r="AE138" i="15"/>
  <c r="AD148" i="15"/>
  <c r="AC103" i="9"/>
  <c r="AC104" i="9" s="1"/>
  <c r="AD71" i="15"/>
  <c r="AD72" i="15" s="1"/>
  <c r="AC89" i="15"/>
  <c r="AC91" i="15" s="1"/>
  <c r="AC92" i="15" s="1"/>
  <c r="AC93" i="15" s="1"/>
  <c r="AC74" i="15"/>
  <c r="AC75" i="15" s="1"/>
  <c r="AC81" i="15" s="1"/>
  <c r="AC246" i="9" s="1"/>
  <c r="AC247" i="9" s="1"/>
  <c r="AC249" i="9" s="1"/>
  <c r="AC276" i="9" s="1"/>
  <c r="AC143" i="9"/>
  <c r="AC144" i="9" s="1"/>
  <c r="AD131" i="15"/>
  <c r="AD132" i="15" s="1"/>
  <c r="AC149" i="15"/>
  <c r="AC151" i="15" s="1"/>
  <c r="AC152" i="15" s="1"/>
  <c r="AC153" i="15" s="1"/>
  <c r="AC134" i="15"/>
  <c r="AC135" i="15" s="1"/>
  <c r="AC141" i="15" s="1"/>
  <c r="AC265" i="9" s="1"/>
  <c r="AB101" i="15"/>
  <c r="AB102" i="15" s="1"/>
  <c r="AA134" i="9"/>
  <c r="AA135" i="9" s="1"/>
  <c r="AA104" i="15"/>
  <c r="AA105" i="15" s="1"/>
  <c r="AA111" i="15" s="1"/>
  <c r="AA215" i="9" s="1"/>
  <c r="AA216" i="9" s="1"/>
  <c r="AA119" i="15"/>
  <c r="AA121" i="15" s="1"/>
  <c r="AA122" i="15" s="1"/>
  <c r="AA123" i="15" s="1"/>
  <c r="AA154" i="9"/>
  <c r="AA155" i="9" s="1"/>
  <c r="AA179" i="15"/>
  <c r="AA164" i="15"/>
  <c r="AA165" i="15" s="1"/>
  <c r="AA171" i="15" s="1"/>
  <c r="AA266" i="9" s="1"/>
  <c r="AA267" i="9" s="1"/>
  <c r="AA282" i="9" s="1"/>
  <c r="AB161" i="15"/>
  <c r="AB162" i="15" s="1"/>
  <c r="AC168" i="15"/>
  <c r="AB178" i="15"/>
  <c r="AB169" i="15"/>
  <c r="AB109" i="15"/>
  <c r="AC108" i="15"/>
  <c r="AB118" i="15"/>
  <c r="AA181" i="15"/>
  <c r="AA182" i="15" s="1"/>
  <c r="AA183" i="15" s="1"/>
  <c r="AD79" i="15"/>
  <c r="AE78" i="15"/>
  <c r="AD88" i="15"/>
  <c r="T37" i="13"/>
  <c r="T139" i="9" s="1"/>
  <c r="T44" i="13"/>
  <c r="T68" i="9" s="1"/>
  <c r="U164" i="12"/>
  <c r="AC59" i="15"/>
  <c r="AC61" i="15" s="1"/>
  <c r="AC44" i="15"/>
  <c r="AC45" i="15" s="1"/>
  <c r="AC51" i="15" s="1"/>
  <c r="AC237" i="9" s="1"/>
  <c r="AC238" i="9" s="1"/>
  <c r="AD41" i="15"/>
  <c r="AD42" i="15" s="1"/>
  <c r="AC94" i="9"/>
  <c r="AC95" i="9" s="1"/>
  <c r="AD49" i="15"/>
  <c r="AE48" i="15"/>
  <c r="AD58" i="15"/>
  <c r="S46" i="13"/>
  <c r="S126" i="9" s="1"/>
  <c r="T156" i="13"/>
  <c r="T88" i="13"/>
  <c r="AD96" i="12"/>
  <c r="AD97" i="12" s="1"/>
  <c r="U133" i="11"/>
  <c r="U128" i="11"/>
  <c r="U146" i="11"/>
  <c r="AB62" i="15"/>
  <c r="AB63" i="15" s="1"/>
  <c r="U258" i="12"/>
  <c r="U250" i="12"/>
  <c r="H53" i="17"/>
  <c r="G49" i="17"/>
  <c r="G47" i="17"/>
  <c r="G174" i="17" s="1"/>
  <c r="F114" i="17"/>
  <c r="F38" i="17"/>
  <c r="H52" i="17"/>
  <c r="F43" i="17"/>
  <c r="G73" i="17"/>
  <c r="T78" i="10" l="1"/>
  <c r="T133" i="10" s="1"/>
  <c r="T146" i="10" s="1"/>
  <c r="T157" i="10" s="1"/>
  <c r="T21" i="9"/>
  <c r="Y91" i="10"/>
  <c r="Y100" i="10" s="1"/>
  <c r="Y106" i="10" s="1"/>
  <c r="Y69" i="10"/>
  <c r="Y77" i="10" s="1"/>
  <c r="X178" i="9"/>
  <c r="X56" i="11"/>
  <c r="X178" i="11" s="1"/>
  <c r="X26" i="12" s="1"/>
  <c r="X24" i="9"/>
  <c r="X190" i="9"/>
  <c r="X68" i="11"/>
  <c r="X190" i="11" s="1"/>
  <c r="X147" i="12" s="1"/>
  <c r="X89" i="12"/>
  <c r="X29" i="9"/>
  <c r="Q155" i="12"/>
  <c r="Q207" i="11"/>
  <c r="Q108" i="11" s="1"/>
  <c r="P155" i="12"/>
  <c r="P207" i="11"/>
  <c r="T40" i="12"/>
  <c r="T41" i="12" s="1"/>
  <c r="U34" i="12"/>
  <c r="R192" i="11"/>
  <c r="R106" i="11" s="1"/>
  <c r="R148" i="12"/>
  <c r="V199" i="9"/>
  <c r="V82" i="11"/>
  <c r="V45" i="9"/>
  <c r="R205" i="11"/>
  <c r="R85" i="11"/>
  <c r="Z22" i="10"/>
  <c r="Z61" i="10" s="1"/>
  <c r="Y30" i="10"/>
  <c r="T200" i="9"/>
  <c r="T202" i="9" s="1"/>
  <c r="T83" i="11"/>
  <c r="T46" i="9"/>
  <c r="T159" i="10"/>
  <c r="M154" i="17"/>
  <c r="R48" i="9"/>
  <c r="S83" i="11"/>
  <c r="S46" i="9"/>
  <c r="S200" i="9"/>
  <c r="S202" i="9" s="1"/>
  <c r="S159" i="10"/>
  <c r="U204" i="11"/>
  <c r="P153" i="17"/>
  <c r="T154" i="12"/>
  <c r="U43" i="10"/>
  <c r="U44" i="10" s="1"/>
  <c r="U50" i="10"/>
  <c r="U65" i="10" s="1"/>
  <c r="U73" i="10" s="1"/>
  <c r="U174" i="9" s="1"/>
  <c r="R161" i="10"/>
  <c r="R162" i="10" s="1"/>
  <c r="R163" i="10" s="1"/>
  <c r="R164" i="10" s="1"/>
  <c r="M9" i="17"/>
  <c r="M11" i="17" s="1"/>
  <c r="R104" i="11"/>
  <c r="R131" i="11" s="1"/>
  <c r="R33" i="9"/>
  <c r="M106" i="17" s="1"/>
  <c r="V76" i="25"/>
  <c r="R71" i="25"/>
  <c r="R73" i="25" s="1"/>
  <c r="U53" i="10"/>
  <c r="U66" i="10" s="1"/>
  <c r="V32" i="10"/>
  <c r="V39" i="10" s="1"/>
  <c r="W33" i="10"/>
  <c r="W40" i="10" s="1"/>
  <c r="V24" i="10"/>
  <c r="V25" i="10" s="1"/>
  <c r="W131" i="10"/>
  <c r="W145" i="10" s="1"/>
  <c r="W156" i="10" s="1"/>
  <c r="T110" i="10"/>
  <c r="T111" i="10" s="1"/>
  <c r="T112" i="10" s="1"/>
  <c r="T113" i="10" s="1"/>
  <c r="S108" i="10"/>
  <c r="S110" i="10" s="1"/>
  <c r="S111" i="10" s="1"/>
  <c r="S112" i="10" s="1"/>
  <c r="S113" i="10" s="1"/>
  <c r="R53" i="13"/>
  <c r="R55" i="13" s="1"/>
  <c r="Q80" i="13"/>
  <c r="Q81" i="13" s="1"/>
  <c r="S191" i="9"/>
  <c r="S192" i="9" s="1"/>
  <c r="N64" i="17" s="1"/>
  <c r="S69" i="11"/>
  <c r="S70" i="11" s="1"/>
  <c r="S30" i="9"/>
  <c r="S31" i="9" s="1"/>
  <c r="M65" i="17"/>
  <c r="F108" i="17"/>
  <c r="O10" i="17"/>
  <c r="U56" i="14"/>
  <c r="AH57" i="14" s="1"/>
  <c r="AH79" i="14" s="1"/>
  <c r="AH58" i="9" s="1"/>
  <c r="AI55" i="14"/>
  <c r="N131" i="17"/>
  <c r="N135" i="17" s="1"/>
  <c r="I108" i="17"/>
  <c r="K65" i="17"/>
  <c r="N60" i="17"/>
  <c r="O64" i="17"/>
  <c r="O131" i="17"/>
  <c r="T63" i="13"/>
  <c r="T70" i="13"/>
  <c r="R76" i="13"/>
  <c r="R75" i="13"/>
  <c r="S72" i="13"/>
  <c r="T179" i="9"/>
  <c r="O60" i="17" s="1"/>
  <c r="S231" i="9"/>
  <c r="S233" i="9" s="1"/>
  <c r="T25" i="9"/>
  <c r="S139" i="18" s="1"/>
  <c r="S140" i="18" s="1"/>
  <c r="O130" i="17"/>
  <c r="S57" i="11"/>
  <c r="T57" i="11"/>
  <c r="T174" i="11"/>
  <c r="S179" i="11"/>
  <c r="S22" i="12"/>
  <c r="T191" i="11"/>
  <c r="T148" i="12" s="1"/>
  <c r="T70" i="11"/>
  <c r="S80" i="10"/>
  <c r="S81" i="10" s="1"/>
  <c r="S82" i="10" s="1"/>
  <c r="S83" i="10" s="1"/>
  <c r="S148" i="10"/>
  <c r="P67" i="14"/>
  <c r="P72" i="14"/>
  <c r="U190" i="12"/>
  <c r="U191" i="12" s="1"/>
  <c r="U169" i="12"/>
  <c r="U170" i="12" s="1"/>
  <c r="AH66" i="14"/>
  <c r="AH80" i="14" s="1"/>
  <c r="AH59" i="9" s="1"/>
  <c r="AI64" i="14"/>
  <c r="AG59" i="9"/>
  <c r="AG60" i="9" s="1"/>
  <c r="AG62" i="9" s="1"/>
  <c r="AG81" i="14"/>
  <c r="AN63" i="14"/>
  <c r="N99" i="9"/>
  <c r="N101" i="9" s="1"/>
  <c r="N85" i="14"/>
  <c r="N87" i="14" s="1"/>
  <c r="N88" i="14" s="1"/>
  <c r="N89" i="14" s="1"/>
  <c r="O71" i="14"/>
  <c r="O73" i="14" s="1"/>
  <c r="O58" i="14"/>
  <c r="U173" i="12"/>
  <c r="S185" i="9"/>
  <c r="U194" i="12"/>
  <c r="F17" i="17"/>
  <c r="F19" i="17"/>
  <c r="F20" i="17" s="1"/>
  <c r="E17" i="17"/>
  <c r="E19" i="17"/>
  <c r="Q105" i="11"/>
  <c r="Q131" i="11" s="1"/>
  <c r="J74" i="9"/>
  <c r="E108" i="17"/>
  <c r="U185" i="9"/>
  <c r="I17" i="17"/>
  <c r="I19" i="17"/>
  <c r="I20" i="17" s="1"/>
  <c r="J107" i="17"/>
  <c r="O64" i="9"/>
  <c r="J14" i="17"/>
  <c r="J16" i="17"/>
  <c r="T148" i="10"/>
  <c r="Q53" i="9"/>
  <c r="P158" i="18" s="1"/>
  <c r="P159" i="18" s="1"/>
  <c r="L13" i="17"/>
  <c r="T80" i="10"/>
  <c r="T81" i="10" s="1"/>
  <c r="T82" i="10" s="1"/>
  <c r="T83" i="10" s="1"/>
  <c r="N9" i="17"/>
  <c r="AC118" i="15"/>
  <c r="AD108" i="15"/>
  <c r="AC109" i="15"/>
  <c r="AD74" i="15"/>
  <c r="AD75" i="15" s="1"/>
  <c r="AD81" i="15" s="1"/>
  <c r="AD246" i="9" s="1"/>
  <c r="AD247" i="9" s="1"/>
  <c r="AD249" i="9" s="1"/>
  <c r="AD276" i="9" s="1"/>
  <c r="AD103" i="9"/>
  <c r="AD104" i="9" s="1"/>
  <c r="AD89" i="15"/>
  <c r="AD91" i="15" s="1"/>
  <c r="AD92" i="15" s="1"/>
  <c r="AD93" i="15" s="1"/>
  <c r="AE71" i="15"/>
  <c r="AE72" i="15" s="1"/>
  <c r="AF78" i="15"/>
  <c r="AE88" i="15"/>
  <c r="AE79" i="15"/>
  <c r="AC161" i="15"/>
  <c r="AC162" i="15" s="1"/>
  <c r="AB154" i="9"/>
  <c r="AB155" i="9" s="1"/>
  <c r="AB179" i="15"/>
  <c r="AB181" i="15" s="1"/>
  <c r="AB182" i="15" s="1"/>
  <c r="AB183" i="15" s="1"/>
  <c r="AB164" i="15"/>
  <c r="AB165" i="15" s="1"/>
  <c r="AB171" i="15" s="1"/>
  <c r="AB266" i="9" s="1"/>
  <c r="AB267" i="9" s="1"/>
  <c r="AB282" i="9" s="1"/>
  <c r="AD134" i="15"/>
  <c r="AD135" i="15" s="1"/>
  <c r="AD141" i="15" s="1"/>
  <c r="AD265" i="9" s="1"/>
  <c r="AD149" i="15"/>
  <c r="AD151" i="15" s="1"/>
  <c r="AD152" i="15" s="1"/>
  <c r="AD153" i="15" s="1"/>
  <c r="AE131" i="15"/>
  <c r="AE132" i="15" s="1"/>
  <c r="AD143" i="9"/>
  <c r="AD144" i="9" s="1"/>
  <c r="AC178" i="15"/>
  <c r="AC169" i="15"/>
  <c r="AD168" i="15"/>
  <c r="AE139" i="15"/>
  <c r="AF138" i="15"/>
  <c r="AE148" i="15"/>
  <c r="AC101" i="15"/>
  <c r="AC102" i="15" s="1"/>
  <c r="AB134" i="9"/>
  <c r="AB135" i="9" s="1"/>
  <c r="AB104" i="15"/>
  <c r="AB105" i="15" s="1"/>
  <c r="AB111" i="15" s="1"/>
  <c r="AB215" i="9" s="1"/>
  <c r="AB216" i="9" s="1"/>
  <c r="AB119" i="15"/>
  <c r="AB121" i="15" s="1"/>
  <c r="AB122" i="15" s="1"/>
  <c r="AB123" i="15" s="1"/>
  <c r="M94" i="14"/>
  <c r="U147" i="11"/>
  <c r="T43" i="13"/>
  <c r="S48" i="13"/>
  <c r="V249" i="12"/>
  <c r="V127" i="11"/>
  <c r="AC62" i="15"/>
  <c r="AC63" i="15" s="1"/>
  <c r="U259" i="12"/>
  <c r="U134" i="11"/>
  <c r="T91" i="13"/>
  <c r="U153" i="13"/>
  <c r="T152" i="9"/>
  <c r="T45" i="13"/>
  <c r="AD59" i="15"/>
  <c r="AD61" i="15" s="1"/>
  <c r="AD44" i="15"/>
  <c r="AD45" i="15" s="1"/>
  <c r="AD51" i="15" s="1"/>
  <c r="AD237" i="9" s="1"/>
  <c r="AD238" i="9" s="1"/>
  <c r="AE41" i="15"/>
  <c r="AE42" i="15" s="1"/>
  <c r="AD94" i="9"/>
  <c r="AD95" i="9" s="1"/>
  <c r="U33" i="13"/>
  <c r="AE49" i="15"/>
  <c r="AF48" i="15"/>
  <c r="AE58" i="15"/>
  <c r="AE96" i="12"/>
  <c r="AE97" i="12" s="1"/>
  <c r="V163" i="12"/>
  <c r="G175" i="17"/>
  <c r="G48" i="17"/>
  <c r="G36" i="17"/>
  <c r="G172" i="17" s="1"/>
  <c r="F173" i="17"/>
  <c r="F37" i="17"/>
  <c r="Z91" i="10" l="1"/>
  <c r="Z100" i="10" s="1"/>
  <c r="Z106" i="10" s="1"/>
  <c r="Z69" i="10"/>
  <c r="Z77" i="10" s="1"/>
  <c r="Y56" i="11"/>
  <c r="Y178" i="11" s="1"/>
  <c r="Y26" i="12" s="1"/>
  <c r="Y178" i="9"/>
  <c r="Y24" i="9"/>
  <c r="Y89" i="12"/>
  <c r="Y68" i="11"/>
  <c r="Y190" i="11" s="1"/>
  <c r="Y147" i="12" s="1"/>
  <c r="Y190" i="9"/>
  <c r="Y29" i="9"/>
  <c r="Q153" i="17"/>
  <c r="U43" i="12"/>
  <c r="U44" i="12" s="1"/>
  <c r="U35" i="12"/>
  <c r="W82" i="11"/>
  <c r="W199" i="9"/>
  <c r="W45" i="9"/>
  <c r="U154" i="12"/>
  <c r="M156" i="17"/>
  <c r="V204" i="11"/>
  <c r="T205" i="11"/>
  <c r="T85" i="11"/>
  <c r="AA22" i="10"/>
  <c r="AA61" i="10" s="1"/>
  <c r="Z30" i="10"/>
  <c r="S205" i="11"/>
  <c r="S85" i="11"/>
  <c r="N154" i="17"/>
  <c r="N156" i="17" s="1"/>
  <c r="S48" i="9"/>
  <c r="O154" i="17"/>
  <c r="O156" i="17" s="1"/>
  <c r="T48" i="9"/>
  <c r="R155" i="12"/>
  <c r="R207" i="11"/>
  <c r="R108" i="11" s="1"/>
  <c r="V53" i="10"/>
  <c r="V66" i="10" s="1"/>
  <c r="V94" i="10" s="1"/>
  <c r="V101" i="10" s="1"/>
  <c r="V102" i="10" s="1"/>
  <c r="V37" i="10"/>
  <c r="V43" i="10" s="1"/>
  <c r="V44" i="10" s="1"/>
  <c r="U52" i="11"/>
  <c r="U174" i="11" s="1"/>
  <c r="U70" i="10"/>
  <c r="U20" i="9"/>
  <c r="P130" i="17" s="1"/>
  <c r="W76" i="25"/>
  <c r="V50" i="10"/>
  <c r="V65" i="10" s="1"/>
  <c r="V73" i="10" s="1"/>
  <c r="V174" i="9" s="1"/>
  <c r="X131" i="10"/>
  <c r="X145" i="10" s="1"/>
  <c r="X156" i="10" s="1"/>
  <c r="W32" i="10"/>
  <c r="W39" i="10" s="1"/>
  <c r="X33" i="10"/>
  <c r="X40" i="10" s="1"/>
  <c r="W24" i="10"/>
  <c r="W25" i="10" s="1"/>
  <c r="S71" i="25"/>
  <c r="S73" i="25" s="1"/>
  <c r="U94" i="10"/>
  <c r="U101" i="10" s="1"/>
  <c r="U74" i="10"/>
  <c r="N10" i="17"/>
  <c r="N11" i="17" s="1"/>
  <c r="R146" i="18"/>
  <c r="R147" i="18" s="1"/>
  <c r="S33" i="9"/>
  <c r="N106" i="17" s="1"/>
  <c r="S191" i="11"/>
  <c r="S148" i="12" s="1"/>
  <c r="AH60" i="9"/>
  <c r="AH62" i="9" s="1"/>
  <c r="O135" i="17"/>
  <c r="J108" i="17"/>
  <c r="AJ55" i="14"/>
  <c r="T56" i="14"/>
  <c r="AI57" i="14" s="1"/>
  <c r="AI79" i="14" s="1"/>
  <c r="AI58" i="9" s="1"/>
  <c r="N106" i="9"/>
  <c r="S104" i="11"/>
  <c r="N65" i="17"/>
  <c r="R77" i="13"/>
  <c r="R80" i="13" s="1"/>
  <c r="T69" i="9"/>
  <c r="T70" i="9" s="1"/>
  <c r="T71" i="13"/>
  <c r="T230" i="9" s="1"/>
  <c r="S127" i="9"/>
  <c r="S128" i="9" s="1"/>
  <c r="S130" i="9" s="1"/>
  <c r="T69" i="13"/>
  <c r="S74" i="13"/>
  <c r="T140" i="9"/>
  <c r="T141" i="9" s="1"/>
  <c r="T146" i="9" s="1"/>
  <c r="U59" i="13"/>
  <c r="T229" i="9"/>
  <c r="T22" i="12"/>
  <c r="T179" i="11"/>
  <c r="T104" i="11" s="1"/>
  <c r="T192" i="11"/>
  <c r="T106" i="11" s="1"/>
  <c r="S161" i="10"/>
  <c r="S162" i="10" s="1"/>
  <c r="S163" i="10" s="1"/>
  <c r="S164" i="10" s="1"/>
  <c r="Q61" i="14"/>
  <c r="P84" i="14"/>
  <c r="P100" i="9" s="1"/>
  <c r="AH81" i="14"/>
  <c r="T65" i="14"/>
  <c r="AI66" i="14" s="1"/>
  <c r="AI80" i="14" s="1"/>
  <c r="AJ64" i="14"/>
  <c r="S65" i="14" s="1"/>
  <c r="AO63" i="14"/>
  <c r="O83" i="14"/>
  <c r="P52" i="14"/>
  <c r="N91" i="14"/>
  <c r="N93" i="14"/>
  <c r="N92" i="14"/>
  <c r="J248" i="11"/>
  <c r="J288" i="11" s="1"/>
  <c r="J301" i="11" s="1"/>
  <c r="J320" i="11" s="1"/>
  <c r="E109" i="17"/>
  <c r="E20" i="17"/>
  <c r="E22" i="17"/>
  <c r="E23" i="17" s="1"/>
  <c r="T105" i="11"/>
  <c r="V172" i="12"/>
  <c r="V193" i="12"/>
  <c r="J17" i="17"/>
  <c r="J19" i="17"/>
  <c r="J20" i="17" s="1"/>
  <c r="R53" i="9"/>
  <c r="Q158" i="18" s="1"/>
  <c r="Q159" i="18" s="1"/>
  <c r="M13" i="17"/>
  <c r="P53" i="9"/>
  <c r="O158" i="18" s="1"/>
  <c r="O159" i="18" s="1"/>
  <c r="K13" i="17"/>
  <c r="L15" i="17"/>
  <c r="Q55" i="9"/>
  <c r="N65" i="25" s="1"/>
  <c r="T161" i="10"/>
  <c r="T162" i="10" s="1"/>
  <c r="T163" i="10" s="1"/>
  <c r="T164" i="10" s="1"/>
  <c r="P108" i="11"/>
  <c r="M12" i="17"/>
  <c r="O9" i="17"/>
  <c r="O11" i="17" s="1"/>
  <c r="T33" i="9"/>
  <c r="AD169" i="15"/>
  <c r="AE168" i="15"/>
  <c r="AD178" i="15"/>
  <c r="AC164" i="15"/>
  <c r="AC165" i="15" s="1"/>
  <c r="AC171" i="15" s="1"/>
  <c r="AC266" i="9" s="1"/>
  <c r="AC267" i="9" s="1"/>
  <c r="AC282" i="9" s="1"/>
  <c r="AC179" i="15"/>
  <c r="AC181" i="15" s="1"/>
  <c r="AC182" i="15" s="1"/>
  <c r="AC183" i="15" s="1"/>
  <c r="AC154" i="9"/>
  <c r="AC155" i="9" s="1"/>
  <c r="AD161" i="15"/>
  <c r="AD162" i="15" s="1"/>
  <c r="AE134" i="15"/>
  <c r="AE135" i="15" s="1"/>
  <c r="AE141" i="15" s="1"/>
  <c r="AE265" i="9" s="1"/>
  <c r="AE143" i="9"/>
  <c r="AE144" i="9" s="1"/>
  <c r="AF131" i="15"/>
  <c r="AF132" i="15" s="1"/>
  <c r="AE149" i="15"/>
  <c r="AE151" i="15" s="1"/>
  <c r="AE152" i="15" s="1"/>
  <c r="AE153" i="15" s="1"/>
  <c r="AE89" i="15"/>
  <c r="AE91" i="15" s="1"/>
  <c r="AE92" i="15" s="1"/>
  <c r="AE93" i="15" s="1"/>
  <c r="AE74" i="15"/>
  <c r="AE75" i="15" s="1"/>
  <c r="AE81" i="15" s="1"/>
  <c r="AE246" i="9" s="1"/>
  <c r="AE247" i="9" s="1"/>
  <c r="AE249" i="9" s="1"/>
  <c r="AE276" i="9" s="1"/>
  <c r="AE103" i="9"/>
  <c r="AE104" i="9" s="1"/>
  <c r="AF71" i="15"/>
  <c r="AF72" i="15" s="1"/>
  <c r="AD118" i="15"/>
  <c r="AE108" i="15"/>
  <c r="AD109" i="15"/>
  <c r="AF139" i="15"/>
  <c r="AF148" i="15"/>
  <c r="AG138" i="15"/>
  <c r="AG78" i="15"/>
  <c r="AF88" i="15"/>
  <c r="AF79" i="15"/>
  <c r="AC119" i="15"/>
  <c r="AC121" i="15" s="1"/>
  <c r="AC122" i="15" s="1"/>
  <c r="AC123" i="15" s="1"/>
  <c r="AC104" i="15"/>
  <c r="AC105" i="15" s="1"/>
  <c r="AC111" i="15" s="1"/>
  <c r="AC215" i="9" s="1"/>
  <c r="AC216" i="9" s="1"/>
  <c r="AD101" i="15"/>
  <c r="AD102" i="15" s="1"/>
  <c r="AC134" i="9"/>
  <c r="AC135" i="9" s="1"/>
  <c r="V164" i="12"/>
  <c r="AG48" i="15"/>
  <c r="AF49" i="15"/>
  <c r="AF58" i="15"/>
  <c r="AD62" i="15"/>
  <c r="AD63" i="15" s="1"/>
  <c r="AF96" i="12"/>
  <c r="AF97" i="12" s="1"/>
  <c r="U156" i="13"/>
  <c r="U88" i="13"/>
  <c r="V128" i="11"/>
  <c r="V146" i="11"/>
  <c r="V133" i="11"/>
  <c r="T46" i="13"/>
  <c r="T126" i="9" s="1"/>
  <c r="U44" i="13"/>
  <c r="U68" i="9" s="1"/>
  <c r="U37" i="13"/>
  <c r="U139" i="9" s="1"/>
  <c r="V258" i="12"/>
  <c r="V250" i="12"/>
  <c r="AE59" i="15"/>
  <c r="AE61" i="15" s="1"/>
  <c r="AE44" i="15"/>
  <c r="AE45" i="15" s="1"/>
  <c r="AE51" i="15" s="1"/>
  <c r="AE237" i="9" s="1"/>
  <c r="AE238" i="9" s="1"/>
  <c r="AF41" i="15"/>
  <c r="AF42" i="15" s="1"/>
  <c r="AE94" i="9"/>
  <c r="AE95" i="9" s="1"/>
  <c r="S50" i="13"/>
  <c r="S49" i="13"/>
  <c r="I53" i="17"/>
  <c r="H49" i="17"/>
  <c r="H47" i="17"/>
  <c r="H174" i="17" s="1"/>
  <c r="G114" i="17"/>
  <c r="G38" i="17"/>
  <c r="I52" i="17"/>
  <c r="G43" i="17"/>
  <c r="H73" i="17"/>
  <c r="AA91" i="10" l="1"/>
  <c r="AA100" i="10" s="1"/>
  <c r="AA106" i="10" s="1"/>
  <c r="AA69" i="10"/>
  <c r="AA77" i="10" s="1"/>
  <c r="Z56" i="11"/>
  <c r="Z178" i="11" s="1"/>
  <c r="Z26" i="12" s="1"/>
  <c r="Z178" i="9"/>
  <c r="Z24" i="9"/>
  <c r="Z68" i="11"/>
  <c r="Z190" i="11" s="1"/>
  <c r="Z147" i="12" s="1"/>
  <c r="Z190" i="9"/>
  <c r="Z29" i="9"/>
  <c r="Z89" i="12"/>
  <c r="V74" i="10"/>
  <c r="V21" i="9" s="1"/>
  <c r="AB22" i="10"/>
  <c r="AB61" i="10" s="1"/>
  <c r="AA30" i="10"/>
  <c r="W204" i="11"/>
  <c r="U40" i="12"/>
  <c r="U41" i="12" s="1"/>
  <c r="V34" i="12"/>
  <c r="X82" i="11"/>
  <c r="X199" i="9"/>
  <c r="X45" i="9"/>
  <c r="S155" i="12"/>
  <c r="S207" i="11"/>
  <c r="S108" i="11" s="1"/>
  <c r="T155" i="12"/>
  <c r="T207" i="11"/>
  <c r="V154" i="12"/>
  <c r="W53" i="10"/>
  <c r="W66" i="10" s="1"/>
  <c r="W74" i="10" s="1"/>
  <c r="W37" i="10"/>
  <c r="W43" i="10" s="1"/>
  <c r="W44" i="10" s="1"/>
  <c r="X76" i="25"/>
  <c r="V20" i="9"/>
  <c r="V52" i="11"/>
  <c r="V174" i="11" s="1"/>
  <c r="V70" i="10"/>
  <c r="U78" i="10"/>
  <c r="U21" i="9"/>
  <c r="U53" i="11"/>
  <c r="U175" i="9"/>
  <c r="U179" i="9" s="1"/>
  <c r="P60" i="17" s="1"/>
  <c r="Q60" i="17" s="1"/>
  <c r="E199" i="17" s="1"/>
  <c r="F199" i="17" s="1"/>
  <c r="H199" i="17" s="1"/>
  <c r="Y33" i="10"/>
  <c r="Y40" i="10" s="1"/>
  <c r="X24" i="10"/>
  <c r="X25" i="10" s="1"/>
  <c r="X32" i="10"/>
  <c r="X39" i="10" s="1"/>
  <c r="U107" i="10"/>
  <c r="U102" i="10"/>
  <c r="W50" i="10"/>
  <c r="W65" i="10" s="1"/>
  <c r="W73" i="10" s="1"/>
  <c r="W20" i="9" s="1"/>
  <c r="T71" i="25"/>
  <c r="T73" i="25" s="1"/>
  <c r="X37" i="10"/>
  <c r="S192" i="11"/>
  <c r="S106" i="11" s="1"/>
  <c r="S56" i="14"/>
  <c r="AJ57" i="14" s="1"/>
  <c r="AJ79" i="14" s="1"/>
  <c r="AJ58" i="9" s="1"/>
  <c r="AK55" i="14"/>
  <c r="R56" i="14" s="1"/>
  <c r="O65" i="17"/>
  <c r="R79" i="13"/>
  <c r="R81" i="13" s="1"/>
  <c r="T72" i="13"/>
  <c r="T74" i="13" s="1"/>
  <c r="T75" i="13" s="1"/>
  <c r="T231" i="9"/>
  <c r="T233" i="9" s="1"/>
  <c r="S76" i="13"/>
  <c r="S75" i="13"/>
  <c r="U70" i="13"/>
  <c r="U63" i="13"/>
  <c r="V107" i="10"/>
  <c r="V90" i="12" s="1"/>
  <c r="U22" i="12"/>
  <c r="Q130" i="17"/>
  <c r="Q67" i="14"/>
  <c r="Q72" i="14"/>
  <c r="AJ66" i="14"/>
  <c r="AJ80" i="14" s="1"/>
  <c r="T131" i="11"/>
  <c r="V190" i="12"/>
  <c r="V191" i="12" s="1"/>
  <c r="V169" i="12"/>
  <c r="V170" i="12" s="1"/>
  <c r="AI59" i="9"/>
  <c r="AI60" i="9" s="1"/>
  <c r="AI62" i="9" s="1"/>
  <c r="AI81" i="14"/>
  <c r="AK64" i="14"/>
  <c r="AP63" i="14"/>
  <c r="P71" i="14"/>
  <c r="P73" i="14" s="1"/>
  <c r="P58" i="14"/>
  <c r="O99" i="9"/>
  <c r="O101" i="9" s="1"/>
  <c r="O85" i="14"/>
  <c r="O87" i="14" s="1"/>
  <c r="O88" i="14" s="1"/>
  <c r="O89" i="14" s="1"/>
  <c r="V173" i="12"/>
  <c r="U105" i="11"/>
  <c r="S105" i="11"/>
  <c r="S131" i="11" s="1"/>
  <c r="J323" i="11"/>
  <c r="J324" i="11"/>
  <c r="J327" i="11" s="1"/>
  <c r="J331" i="11" s="1"/>
  <c r="J332" i="11" s="1"/>
  <c r="J366" i="11" s="1"/>
  <c r="V194" i="12"/>
  <c r="Q64" i="9"/>
  <c r="L107" i="17"/>
  <c r="L14" i="17"/>
  <c r="L16" i="17"/>
  <c r="M15" i="17"/>
  <c r="R55" i="9"/>
  <c r="O65" i="25" s="1"/>
  <c r="S53" i="9"/>
  <c r="R158" i="18" s="1"/>
  <c r="R159" i="18" s="1"/>
  <c r="N13" i="17"/>
  <c r="K15" i="17"/>
  <c r="P55" i="9"/>
  <c r="M65" i="25" s="1"/>
  <c r="O106" i="17"/>
  <c r="O12" i="17"/>
  <c r="N12" i="17"/>
  <c r="S51" i="13"/>
  <c r="S53" i="13" s="1"/>
  <c r="N94" i="14"/>
  <c r="AF103" i="9"/>
  <c r="AF104" i="9" s="1"/>
  <c r="AF89" i="15"/>
  <c r="AF91" i="15" s="1"/>
  <c r="AF92" i="15" s="1"/>
  <c r="AF93" i="15" s="1"/>
  <c r="AF74" i="15"/>
  <c r="AF75" i="15" s="1"/>
  <c r="AF81" i="15" s="1"/>
  <c r="AF246" i="9" s="1"/>
  <c r="AF247" i="9" s="1"/>
  <c r="AF249" i="9" s="1"/>
  <c r="AF276" i="9" s="1"/>
  <c r="AG71" i="15"/>
  <c r="AG72" i="15" s="1"/>
  <c r="AG88" i="15"/>
  <c r="AG79" i="15"/>
  <c r="AH78" i="15"/>
  <c r="AH138" i="15"/>
  <c r="AG148" i="15"/>
  <c r="AG139" i="15"/>
  <c r="AF149" i="15"/>
  <c r="AF151" i="15" s="1"/>
  <c r="AF152" i="15" s="1"/>
  <c r="AF153" i="15" s="1"/>
  <c r="AF134" i="15"/>
  <c r="AF135" i="15" s="1"/>
  <c r="AF141" i="15" s="1"/>
  <c r="AF265" i="9" s="1"/>
  <c r="AG131" i="15"/>
  <c r="AG132" i="15" s="1"/>
  <c r="AF143" i="9"/>
  <c r="AF144" i="9" s="1"/>
  <c r="AD164" i="15"/>
  <c r="AD165" i="15" s="1"/>
  <c r="AD171" i="15" s="1"/>
  <c r="AD266" i="9" s="1"/>
  <c r="AD267" i="9" s="1"/>
  <c r="AD282" i="9" s="1"/>
  <c r="AD179" i="15"/>
  <c r="AD181" i="15" s="1"/>
  <c r="AD182" i="15" s="1"/>
  <c r="AD183" i="15" s="1"/>
  <c r="AE161" i="15"/>
  <c r="AE162" i="15" s="1"/>
  <c r="AD154" i="9"/>
  <c r="AD155" i="9" s="1"/>
  <c r="AE169" i="15"/>
  <c r="AE178" i="15"/>
  <c r="AF168" i="15"/>
  <c r="AE101" i="15"/>
  <c r="AE102" i="15" s="1"/>
  <c r="AD119" i="15"/>
  <c r="AD121" i="15" s="1"/>
  <c r="AD122" i="15" s="1"/>
  <c r="AD123" i="15" s="1"/>
  <c r="AD104" i="15"/>
  <c r="AD105" i="15" s="1"/>
  <c r="AD111" i="15" s="1"/>
  <c r="AD215" i="9" s="1"/>
  <c r="AD216" i="9" s="1"/>
  <c r="AD134" i="9"/>
  <c r="AD135" i="9" s="1"/>
  <c r="AF108" i="15"/>
  <c r="AE109" i="15"/>
  <c r="AE118" i="15"/>
  <c r="AE62" i="15"/>
  <c r="AE63" i="15" s="1"/>
  <c r="AG96" i="12"/>
  <c r="AG97" i="12" s="1"/>
  <c r="V259" i="12"/>
  <c r="U43" i="13"/>
  <c r="T48" i="13"/>
  <c r="U91" i="13"/>
  <c r="V153" i="13"/>
  <c r="U152" i="9"/>
  <c r="AF59" i="15"/>
  <c r="AF61" i="15" s="1"/>
  <c r="AF44" i="15"/>
  <c r="AF45" i="15" s="1"/>
  <c r="AF51" i="15" s="1"/>
  <c r="AF237" i="9" s="1"/>
  <c r="AF238" i="9" s="1"/>
  <c r="AG41" i="15"/>
  <c r="AG42" i="15" s="1"/>
  <c r="AF94" i="9"/>
  <c r="AF95" i="9" s="1"/>
  <c r="V134" i="11"/>
  <c r="V33" i="13"/>
  <c r="V147" i="11"/>
  <c r="AG49" i="15"/>
  <c r="AH48" i="15"/>
  <c r="AG58" i="15"/>
  <c r="U45" i="13"/>
  <c r="W127" i="11"/>
  <c r="W163" i="12"/>
  <c r="W249" i="12"/>
  <c r="H175" i="17"/>
  <c r="H48" i="17"/>
  <c r="H36" i="17"/>
  <c r="H172" i="17" s="1"/>
  <c r="G173" i="17"/>
  <c r="G37" i="17"/>
  <c r="V175" i="9" l="1"/>
  <c r="V179" i="9" s="1"/>
  <c r="AB91" i="10"/>
  <c r="AB100" i="10" s="1"/>
  <c r="AB106" i="10" s="1"/>
  <c r="AB69" i="10"/>
  <c r="AB77" i="10" s="1"/>
  <c r="V53" i="11"/>
  <c r="V175" i="11" s="1"/>
  <c r="V23" i="12" s="1"/>
  <c r="V78" i="10"/>
  <c r="V133" i="10" s="1"/>
  <c r="V146" i="10" s="1"/>
  <c r="V157" i="10" s="1"/>
  <c r="V200" i="9" s="1"/>
  <c r="V202" i="9" s="1"/>
  <c r="W94" i="10"/>
  <c r="W101" i="10" s="1"/>
  <c r="W107" i="10" s="1"/>
  <c r="W108" i="10" s="1"/>
  <c r="AA24" i="9"/>
  <c r="AA178" i="9"/>
  <c r="AA56" i="11"/>
  <c r="AA178" i="11" s="1"/>
  <c r="AA26" i="12" s="1"/>
  <c r="AA68" i="11"/>
  <c r="AA190" i="11" s="1"/>
  <c r="AA147" i="12" s="1"/>
  <c r="AA190" i="9"/>
  <c r="AA29" i="9"/>
  <c r="AA89" i="12"/>
  <c r="O69" i="25"/>
  <c r="N69" i="25"/>
  <c r="M69" i="25"/>
  <c r="X43" i="10"/>
  <c r="X44" i="10" s="1"/>
  <c r="W154" i="12"/>
  <c r="V35" i="12"/>
  <c r="V43" i="12"/>
  <c r="V44" i="12" s="1"/>
  <c r="X204" i="11"/>
  <c r="AC22" i="10"/>
  <c r="AC61" i="10" s="1"/>
  <c r="AB30" i="10"/>
  <c r="Y76" i="25"/>
  <c r="V25" i="9"/>
  <c r="J199" i="17"/>
  <c r="X50" i="10"/>
  <c r="X65" i="10" s="1"/>
  <c r="X73" i="10" s="1"/>
  <c r="X52" i="11" s="1"/>
  <c r="K199" i="17"/>
  <c r="I199" i="17"/>
  <c r="L199" i="17"/>
  <c r="G199" i="17"/>
  <c r="W65" i="17"/>
  <c r="W52" i="11"/>
  <c r="W174" i="11" s="1"/>
  <c r="W174" i="9"/>
  <c r="W70" i="10"/>
  <c r="W78" i="10"/>
  <c r="W133" i="10" s="1"/>
  <c r="W146" i="10" s="1"/>
  <c r="W157" i="10" s="1"/>
  <c r="Y131" i="10"/>
  <c r="Y145" i="10" s="1"/>
  <c r="Y156" i="10" s="1"/>
  <c r="U71" i="25"/>
  <c r="U73" i="25" s="1"/>
  <c r="U175" i="11"/>
  <c r="U57" i="11"/>
  <c r="X53" i="10"/>
  <c r="X66" i="10" s="1"/>
  <c r="X94" i="10" s="1"/>
  <c r="X101" i="10" s="1"/>
  <c r="X102" i="10" s="1"/>
  <c r="U108" i="10"/>
  <c r="U110" i="10" s="1"/>
  <c r="U111" i="10" s="1"/>
  <c r="U112" i="10" s="1"/>
  <c r="U113" i="10" s="1"/>
  <c r="U191" i="9"/>
  <c r="U192" i="9" s="1"/>
  <c r="P64" i="17" s="1"/>
  <c r="Q64" i="17" s="1"/>
  <c r="E202" i="17" s="1"/>
  <c r="U69" i="11"/>
  <c r="U30" i="9"/>
  <c r="U31" i="9" s="1"/>
  <c r="U90" i="12"/>
  <c r="U25" i="9"/>
  <c r="P131" i="17"/>
  <c r="U133" i="10"/>
  <c r="U146" i="10" s="1"/>
  <c r="U157" i="10" s="1"/>
  <c r="U80" i="10"/>
  <c r="U81" i="10" s="1"/>
  <c r="U82" i="10" s="1"/>
  <c r="U83" i="10" s="1"/>
  <c r="V30" i="9"/>
  <c r="V31" i="9" s="1"/>
  <c r="V191" i="9"/>
  <c r="V192" i="9" s="1"/>
  <c r="V69" i="11"/>
  <c r="V191" i="11" s="1"/>
  <c r="V148" i="12" s="1"/>
  <c r="AJ81" i="14"/>
  <c r="AK57" i="14"/>
  <c r="AK79" i="14" s="1"/>
  <c r="AK58" i="9" s="1"/>
  <c r="L108" i="17"/>
  <c r="O106" i="9"/>
  <c r="V108" i="10"/>
  <c r="V110" i="10" s="1"/>
  <c r="V111" i="10" s="1"/>
  <c r="V112" i="10" s="1"/>
  <c r="V113" i="10" s="1"/>
  <c r="AL55" i="14"/>
  <c r="S77" i="13"/>
  <c r="S80" i="13" s="1"/>
  <c r="T127" i="9"/>
  <c r="T128" i="9" s="1"/>
  <c r="T130" i="9" s="1"/>
  <c r="U69" i="13"/>
  <c r="T76" i="13"/>
  <c r="T77" i="13" s="1"/>
  <c r="T79" i="13" s="1"/>
  <c r="U229" i="9"/>
  <c r="U140" i="9"/>
  <c r="U141" i="9" s="1"/>
  <c r="U146" i="9" s="1"/>
  <c r="V59" i="13"/>
  <c r="U69" i="9"/>
  <c r="U70" i="9" s="1"/>
  <c r="U71" i="13"/>
  <c r="U230" i="9" s="1"/>
  <c r="W53" i="11"/>
  <c r="W175" i="11" s="1"/>
  <c r="W23" i="12" s="1"/>
  <c r="W175" i="9"/>
  <c r="W21" i="9"/>
  <c r="W25" i="9" s="1"/>
  <c r="V22" i="12"/>
  <c r="R61" i="14"/>
  <c r="Q84" i="14"/>
  <c r="Q100" i="9" s="1"/>
  <c r="AJ59" i="9"/>
  <c r="AJ60" i="9" s="1"/>
  <c r="AJ62" i="9" s="1"/>
  <c r="R65" i="14"/>
  <c r="AK66" i="14" s="1"/>
  <c r="AK80" i="14" s="1"/>
  <c r="AL64" i="14"/>
  <c r="Q65" i="14" s="1"/>
  <c r="AM64" i="14"/>
  <c r="P65" i="14" s="1"/>
  <c r="AQ63" i="14"/>
  <c r="O91" i="14"/>
  <c r="O93" i="14"/>
  <c r="O92" i="14"/>
  <c r="P83" i="14"/>
  <c r="Q52" i="14"/>
  <c r="V185" i="9"/>
  <c r="W172" i="12"/>
  <c r="W193" i="12"/>
  <c r="S54" i="13"/>
  <c r="S55" i="13" s="1"/>
  <c r="J378" i="11"/>
  <c r="J370" i="11"/>
  <c r="J284" i="11"/>
  <c r="J374" i="11" s="1"/>
  <c r="J325" i="11"/>
  <c r="N15" i="17"/>
  <c r="S55" i="9"/>
  <c r="P65" i="25" s="1"/>
  <c r="P69" i="25" s="1"/>
  <c r="L17" i="17"/>
  <c r="L19" i="17"/>
  <c r="L20" i="17" s="1"/>
  <c r="K14" i="17"/>
  <c r="K16" i="17"/>
  <c r="T108" i="11"/>
  <c r="T53" i="9"/>
  <c r="S158" i="18" s="1"/>
  <c r="S159" i="18" s="1"/>
  <c r="O13" i="17"/>
  <c r="M107" i="17"/>
  <c r="R64" i="9"/>
  <c r="K107" i="17"/>
  <c r="P64" i="9"/>
  <c r="M14" i="17"/>
  <c r="M16" i="17"/>
  <c r="U46" i="13"/>
  <c r="AG74" i="15"/>
  <c r="AG75" i="15" s="1"/>
  <c r="AG81" i="15" s="1"/>
  <c r="AG246" i="9" s="1"/>
  <c r="AG247" i="9" s="1"/>
  <c r="AG249" i="9" s="1"/>
  <c r="AG276" i="9" s="1"/>
  <c r="AG103" i="9"/>
  <c r="AG104" i="9" s="1"/>
  <c r="AG89" i="15"/>
  <c r="AG91" i="15" s="1"/>
  <c r="AG92" i="15" s="1"/>
  <c r="AG93" i="15" s="1"/>
  <c r="AH71" i="15"/>
  <c r="AH72" i="15" s="1"/>
  <c r="AH79" i="15"/>
  <c r="AI78" i="15"/>
  <c r="AH88" i="15"/>
  <c r="AF109" i="15"/>
  <c r="AG108" i="15"/>
  <c r="AF118" i="15"/>
  <c r="AG168" i="15"/>
  <c r="AF169" i="15"/>
  <c r="AF178" i="15"/>
  <c r="AE104" i="15"/>
  <c r="AE105" i="15" s="1"/>
  <c r="AE111" i="15" s="1"/>
  <c r="AE215" i="9" s="1"/>
  <c r="AE216" i="9" s="1"/>
  <c r="AE119" i="15"/>
  <c r="AE121" i="15" s="1"/>
  <c r="AE122" i="15" s="1"/>
  <c r="AE123" i="15" s="1"/>
  <c r="AF101" i="15"/>
  <c r="AF102" i="15" s="1"/>
  <c r="AE134" i="9"/>
  <c r="AE135" i="9" s="1"/>
  <c r="AE154" i="9"/>
  <c r="AE155" i="9" s="1"/>
  <c r="AF161" i="15"/>
  <c r="AF162" i="15" s="1"/>
  <c r="AE164" i="15"/>
  <c r="AE165" i="15" s="1"/>
  <c r="AE171" i="15" s="1"/>
  <c r="AE266" i="9" s="1"/>
  <c r="AE267" i="9" s="1"/>
  <c r="AE282" i="9" s="1"/>
  <c r="AE179" i="15"/>
  <c r="AE181" i="15" s="1"/>
  <c r="AE182" i="15" s="1"/>
  <c r="AE183" i="15" s="1"/>
  <c r="AH131" i="15"/>
  <c r="AH132" i="15" s="1"/>
  <c r="AG134" i="15"/>
  <c r="AG135" i="15" s="1"/>
  <c r="AG141" i="15" s="1"/>
  <c r="AG265" i="9" s="1"/>
  <c r="AG143" i="9"/>
  <c r="AG144" i="9" s="1"/>
  <c r="AG149" i="15"/>
  <c r="AG151" i="15" s="1"/>
  <c r="AG152" i="15" s="1"/>
  <c r="AG153" i="15" s="1"/>
  <c r="AH148" i="15"/>
  <c r="AI138" i="15"/>
  <c r="AH139" i="15"/>
  <c r="AF62" i="15"/>
  <c r="AF63" i="15" s="1"/>
  <c r="W164" i="12"/>
  <c r="V156" i="13"/>
  <c r="V88" i="13"/>
  <c r="AH49" i="15"/>
  <c r="AI48" i="15"/>
  <c r="AH58" i="15"/>
  <c r="W258" i="12"/>
  <c r="W250" i="12"/>
  <c r="AG59" i="15"/>
  <c r="AG61" i="15" s="1"/>
  <c r="AG44" i="15"/>
  <c r="AG45" i="15" s="1"/>
  <c r="AG51" i="15" s="1"/>
  <c r="AG237" i="9" s="1"/>
  <c r="AG238" i="9" s="1"/>
  <c r="AH41" i="15"/>
  <c r="AH42" i="15" s="1"/>
  <c r="AG94" i="9"/>
  <c r="AG95" i="9" s="1"/>
  <c r="V44" i="13"/>
  <c r="V68" i="9" s="1"/>
  <c r="V37" i="13"/>
  <c r="V139" i="9" s="1"/>
  <c r="T50" i="13"/>
  <c r="T49" i="13"/>
  <c r="AH96" i="12"/>
  <c r="AH97" i="12" s="1"/>
  <c r="W146" i="11"/>
  <c r="W133" i="11"/>
  <c r="W128" i="11"/>
  <c r="J53" i="17"/>
  <c r="I49" i="17"/>
  <c r="I47" i="17"/>
  <c r="I174" i="17" s="1"/>
  <c r="H114" i="17"/>
  <c r="H38" i="17"/>
  <c r="J52" i="17"/>
  <c r="I73" i="17"/>
  <c r="H43" i="17"/>
  <c r="W191" i="9" l="1"/>
  <c r="W192" i="9" s="1"/>
  <c r="W69" i="11"/>
  <c r="V80" i="10"/>
  <c r="V81" i="10" s="1"/>
  <c r="V82" i="10" s="1"/>
  <c r="V83" i="10" s="1"/>
  <c r="V148" i="10"/>
  <c r="V159" i="10"/>
  <c r="W102" i="10"/>
  <c r="W110" i="10" s="1"/>
  <c r="W111" i="10" s="1"/>
  <c r="W112" i="10" s="1"/>
  <c r="W113" i="10" s="1"/>
  <c r="V46" i="9"/>
  <c r="V48" i="9" s="1"/>
  <c r="V53" i="9" s="1"/>
  <c r="V83" i="11"/>
  <c r="V85" i="11" s="1"/>
  <c r="W90" i="12"/>
  <c r="W30" i="9"/>
  <c r="W31" i="9" s="1"/>
  <c r="W33" i="9" s="1"/>
  <c r="V57" i="11"/>
  <c r="V179" i="11"/>
  <c r="AB24" i="9"/>
  <c r="AB56" i="11"/>
  <c r="AB178" i="11" s="1"/>
  <c r="AB26" i="12" s="1"/>
  <c r="AB178" i="9"/>
  <c r="AC91" i="10"/>
  <c r="AC100" i="10" s="1"/>
  <c r="AC106" i="10" s="1"/>
  <c r="AC69" i="10"/>
  <c r="AC77" i="10" s="1"/>
  <c r="AB68" i="11"/>
  <c r="AB190" i="11" s="1"/>
  <c r="AB147" i="12" s="1"/>
  <c r="AB190" i="9"/>
  <c r="AB89" i="12"/>
  <c r="AB29" i="9"/>
  <c r="U83" i="11"/>
  <c r="U200" i="9"/>
  <c r="U202" i="9" s="1"/>
  <c r="U46" i="9"/>
  <c r="U159" i="10"/>
  <c r="Y199" i="9"/>
  <c r="Y45" i="9"/>
  <c r="Y82" i="11"/>
  <c r="X154" i="12"/>
  <c r="W83" i="11"/>
  <c r="W200" i="9"/>
  <c r="W202" i="9" s="1"/>
  <c r="W46" i="9"/>
  <c r="W48" i="9" s="1"/>
  <c r="W159" i="10"/>
  <c r="V40" i="12"/>
  <c r="V41" i="12" s="1"/>
  <c r="W34" i="12"/>
  <c r="AD22" i="10"/>
  <c r="AD61" i="10" s="1"/>
  <c r="AC30" i="10"/>
  <c r="Z76" i="25"/>
  <c r="X20" i="9"/>
  <c r="V33" i="9"/>
  <c r="X174" i="9"/>
  <c r="U148" i="10"/>
  <c r="X74" i="10"/>
  <c r="X78" i="10" s="1"/>
  <c r="X133" i="10" s="1"/>
  <c r="X146" i="10" s="1"/>
  <c r="X157" i="10" s="1"/>
  <c r="W179" i="9"/>
  <c r="X70" i="10"/>
  <c r="T139" i="18"/>
  <c r="T140" i="18" s="1"/>
  <c r="U33" i="9"/>
  <c r="P106" i="17" s="1"/>
  <c r="P9" i="17"/>
  <c r="U23" i="12"/>
  <c r="U179" i="11"/>
  <c r="U104" i="11" s="1"/>
  <c r="U131" i="11" s="1"/>
  <c r="Q131" i="17"/>
  <c r="P135" i="17"/>
  <c r="T146" i="18"/>
  <c r="T147" i="18" s="1"/>
  <c r="P10" i="17"/>
  <c r="Q10" i="17" s="1"/>
  <c r="U70" i="11"/>
  <c r="U191" i="11"/>
  <c r="U148" i="12" s="1"/>
  <c r="H202" i="17"/>
  <c r="J202" i="17"/>
  <c r="W68" i="17"/>
  <c r="Z33" i="10"/>
  <c r="Z40" i="10" s="1"/>
  <c r="Z131" i="10"/>
  <c r="Z145" i="10" s="1"/>
  <c r="Z156" i="10" s="1"/>
  <c r="Y32" i="10"/>
  <c r="Y39" i="10" s="1"/>
  <c r="Y24" i="10"/>
  <c r="Y25" i="10" s="1"/>
  <c r="Y37" i="10"/>
  <c r="X107" i="10"/>
  <c r="X108" i="10" s="1"/>
  <c r="X110" i="10" s="1"/>
  <c r="X111" i="10" s="1"/>
  <c r="X112" i="10" s="1"/>
  <c r="X113" i="10" s="1"/>
  <c r="V70" i="11"/>
  <c r="U231" i="9"/>
  <c r="U233" i="9" s="1"/>
  <c r="K108" i="17"/>
  <c r="W148" i="10"/>
  <c r="M108" i="17"/>
  <c r="Q56" i="14"/>
  <c r="AL57" i="14" s="1"/>
  <c r="AL79" i="14" s="1"/>
  <c r="AL58" i="9" s="1"/>
  <c r="AM55" i="14"/>
  <c r="AN55" i="14" s="1"/>
  <c r="S79" i="13"/>
  <c r="S81" i="13" s="1"/>
  <c r="T80" i="13"/>
  <c r="T81" i="13" s="1"/>
  <c r="V63" i="13"/>
  <c r="V70" i="13"/>
  <c r="U126" i="9"/>
  <c r="U72" i="13"/>
  <c r="W57" i="11"/>
  <c r="W22" i="12"/>
  <c r="W179" i="11"/>
  <c r="X174" i="11"/>
  <c r="W191" i="11"/>
  <c r="W148" i="12" s="1"/>
  <c r="W70" i="11"/>
  <c r="V192" i="11"/>
  <c r="W80" i="10"/>
  <c r="W81" i="10" s="1"/>
  <c r="W82" i="10" s="1"/>
  <c r="W83" i="10" s="1"/>
  <c r="R67" i="14"/>
  <c r="R72" i="14"/>
  <c r="W190" i="12"/>
  <c r="W191" i="12" s="1"/>
  <c r="W169" i="12"/>
  <c r="W170" i="12" s="1"/>
  <c r="AM66" i="14"/>
  <c r="AM80" i="14" s="1"/>
  <c r="AM59" i="9" s="1"/>
  <c r="AL66" i="14"/>
  <c r="AL80" i="14" s="1"/>
  <c r="AL59" i="9" s="1"/>
  <c r="AN64" i="14"/>
  <c r="AK59" i="9"/>
  <c r="AK60" i="9" s="1"/>
  <c r="AK62" i="9" s="1"/>
  <c r="AK81" i="14"/>
  <c r="AR63" i="14"/>
  <c r="Q71" i="14"/>
  <c r="Q73" i="14" s="1"/>
  <c r="Q58" i="14"/>
  <c r="P99" i="9"/>
  <c r="P101" i="9" s="1"/>
  <c r="P85" i="14"/>
  <c r="P87" i="14" s="1"/>
  <c r="P88" i="14" s="1"/>
  <c r="P89" i="14" s="1"/>
  <c r="J307" i="11"/>
  <c r="J306" i="11"/>
  <c r="W185" i="9"/>
  <c r="J76" i="9"/>
  <c r="I179" i="18" s="1"/>
  <c r="I180" i="18" s="1"/>
  <c r="J380" i="11"/>
  <c r="J121" i="9" s="1"/>
  <c r="K365" i="11"/>
  <c r="K377" i="11" s="1"/>
  <c r="W194" i="12"/>
  <c r="W173" i="12"/>
  <c r="S64" i="9"/>
  <c r="N107" i="17"/>
  <c r="M17" i="17"/>
  <c r="M19" i="17"/>
  <c r="M20" i="17" s="1"/>
  <c r="K17" i="17"/>
  <c r="K19" i="17"/>
  <c r="K20" i="17" s="1"/>
  <c r="N14" i="17"/>
  <c r="N16" i="17"/>
  <c r="O15" i="17"/>
  <c r="T55" i="9"/>
  <c r="Q65" i="25" s="1"/>
  <c r="U48" i="13"/>
  <c r="U50" i="13" s="1"/>
  <c r="V43" i="13"/>
  <c r="AI71" i="15"/>
  <c r="AI72" i="15" s="1"/>
  <c r="AH103" i="9"/>
  <c r="AH104" i="9" s="1"/>
  <c r="AH89" i="15"/>
  <c r="AH91" i="15" s="1"/>
  <c r="AH92" i="15" s="1"/>
  <c r="AH93" i="15" s="1"/>
  <c r="AH74" i="15"/>
  <c r="AH75" i="15" s="1"/>
  <c r="AH81" i="15" s="1"/>
  <c r="AH246" i="9" s="1"/>
  <c r="AH247" i="9" s="1"/>
  <c r="AH249" i="9" s="1"/>
  <c r="AH276" i="9" s="1"/>
  <c r="AI79" i="15"/>
  <c r="AJ78" i="15"/>
  <c r="AI88" i="15"/>
  <c r="AH168" i="15"/>
  <c r="AG169" i="15"/>
  <c r="AG178" i="15"/>
  <c r="AF134" i="9"/>
  <c r="AF135" i="9" s="1"/>
  <c r="AF119" i="15"/>
  <c r="AF121" i="15" s="1"/>
  <c r="AF122" i="15" s="1"/>
  <c r="AF123" i="15" s="1"/>
  <c r="AF104" i="15"/>
  <c r="AF105" i="15" s="1"/>
  <c r="AF111" i="15" s="1"/>
  <c r="AF215" i="9" s="1"/>
  <c r="AF216" i="9" s="1"/>
  <c r="AG101" i="15"/>
  <c r="AG102" i="15" s="1"/>
  <c r="AH108" i="15"/>
  <c r="AG109" i="15"/>
  <c r="AG118" i="15"/>
  <c r="T51" i="13"/>
  <c r="T54" i="13" s="1"/>
  <c r="AI139" i="15"/>
  <c r="AJ138" i="15"/>
  <c r="AI148" i="15"/>
  <c r="O94" i="14"/>
  <c r="AH149" i="15"/>
  <c r="AH151" i="15" s="1"/>
  <c r="AH152" i="15" s="1"/>
  <c r="AH153" i="15" s="1"/>
  <c r="AH134" i="15"/>
  <c r="AH135" i="15" s="1"/>
  <c r="AH141" i="15" s="1"/>
  <c r="AH265" i="9" s="1"/>
  <c r="AI131" i="15"/>
  <c r="AI132" i="15" s="1"/>
  <c r="AH143" i="9"/>
  <c r="AH144" i="9" s="1"/>
  <c r="AG161" i="15"/>
  <c r="AG162" i="15" s="1"/>
  <c r="AF164" i="15"/>
  <c r="AF165" i="15" s="1"/>
  <c r="AF171" i="15" s="1"/>
  <c r="AF266" i="9" s="1"/>
  <c r="AF267" i="9" s="1"/>
  <c r="AF282" i="9" s="1"/>
  <c r="AF154" i="9"/>
  <c r="AF155" i="9" s="1"/>
  <c r="AF179" i="15"/>
  <c r="AF181" i="15" s="1"/>
  <c r="AF182" i="15" s="1"/>
  <c r="AF183" i="15" s="1"/>
  <c r="W259" i="12"/>
  <c r="W147" i="11"/>
  <c r="X249" i="12"/>
  <c r="W33" i="13"/>
  <c r="V91" i="13"/>
  <c r="W153" i="13"/>
  <c r="V152" i="9"/>
  <c r="V45" i="13"/>
  <c r="AI96" i="12"/>
  <c r="AI97" i="12" s="1"/>
  <c r="AG62" i="15"/>
  <c r="AG63" i="15" s="1"/>
  <c r="X127" i="11"/>
  <c r="AH59" i="15"/>
  <c r="AH61" i="15" s="1"/>
  <c r="AH44" i="15"/>
  <c r="AH45" i="15" s="1"/>
  <c r="AH51" i="15" s="1"/>
  <c r="AH237" i="9" s="1"/>
  <c r="AH238" i="9" s="1"/>
  <c r="AI41" i="15"/>
  <c r="AI42" i="15" s="1"/>
  <c r="AH94" i="9"/>
  <c r="AH95" i="9" s="1"/>
  <c r="X163" i="12"/>
  <c r="W134" i="11"/>
  <c r="AI49" i="15"/>
  <c r="AJ48" i="15"/>
  <c r="AI58" i="15"/>
  <c r="I175" i="17"/>
  <c r="I48" i="17"/>
  <c r="I36" i="17"/>
  <c r="I172" i="17" s="1"/>
  <c r="H173" i="17"/>
  <c r="H37" i="17"/>
  <c r="V161" i="10" l="1"/>
  <c r="V162" i="10" s="1"/>
  <c r="V163" i="10" s="1"/>
  <c r="V164" i="10" s="1"/>
  <c r="V205" i="11"/>
  <c r="V55" i="9"/>
  <c r="V104" i="11"/>
  <c r="AC178" i="9"/>
  <c r="AC56" i="11"/>
  <c r="AC178" i="11" s="1"/>
  <c r="AC26" i="12" s="1"/>
  <c r="AC24" i="9"/>
  <c r="AC89" i="12"/>
  <c r="AC68" i="11"/>
  <c r="AC190" i="11" s="1"/>
  <c r="AC147" i="12" s="1"/>
  <c r="AC190" i="9"/>
  <c r="AC29" i="9"/>
  <c r="AD91" i="10"/>
  <c r="AD100" i="10" s="1"/>
  <c r="AD106" i="10" s="1"/>
  <c r="AD69" i="10"/>
  <c r="AD77" i="10" s="1"/>
  <c r="Q69" i="25"/>
  <c r="V155" i="12"/>
  <c r="V207" i="11"/>
  <c r="V108" i="11" s="1"/>
  <c r="W43" i="12"/>
  <c r="W44" i="12" s="1"/>
  <c r="W35" i="12"/>
  <c r="P154" i="17"/>
  <c r="U48" i="9"/>
  <c r="W205" i="11"/>
  <c r="W85" i="11"/>
  <c r="Z82" i="11"/>
  <c r="Z199" i="9"/>
  <c r="Z45" i="9"/>
  <c r="X83" i="11"/>
  <c r="X200" i="9"/>
  <c r="X202" i="9" s="1"/>
  <c r="X46" i="9"/>
  <c r="X48" i="9" s="1"/>
  <c r="X53" i="9" s="1"/>
  <c r="X159" i="10"/>
  <c r="AE22" i="10"/>
  <c r="AE61" i="10" s="1"/>
  <c r="AD30" i="10"/>
  <c r="Y204" i="11"/>
  <c r="U205" i="11"/>
  <c r="U85" i="11"/>
  <c r="Y43" i="10"/>
  <c r="Y44" i="10" s="1"/>
  <c r="X175" i="9"/>
  <c r="X179" i="9" s="1"/>
  <c r="AA76" i="25"/>
  <c r="U161" i="10"/>
  <c r="U162" i="10" s="1"/>
  <c r="U163" i="10" s="1"/>
  <c r="U164" i="10" s="1"/>
  <c r="X21" i="9"/>
  <c r="X25" i="9" s="1"/>
  <c r="X53" i="11"/>
  <c r="X175" i="11" s="1"/>
  <c r="X23" i="12" s="1"/>
  <c r="P65" i="17"/>
  <c r="Q65" i="17" s="1"/>
  <c r="E203" i="17" s="1"/>
  <c r="H203" i="17" s="1"/>
  <c r="U192" i="11"/>
  <c r="U106" i="11" s="1"/>
  <c r="Y50" i="10"/>
  <c r="Y65" i="10" s="1"/>
  <c r="Z37" i="10"/>
  <c r="Q9" i="17"/>
  <c r="P11" i="17"/>
  <c r="V71" i="25"/>
  <c r="V73" i="25" s="1"/>
  <c r="Y53" i="10"/>
  <c r="Y66" i="10" s="1"/>
  <c r="AA33" i="10"/>
  <c r="AA40" i="10" s="1"/>
  <c r="Z32" i="10"/>
  <c r="Z39" i="10" s="1"/>
  <c r="Z24" i="10"/>
  <c r="Z25" i="10" s="1"/>
  <c r="D133" i="17"/>
  <c r="D132" i="17"/>
  <c r="D131" i="17"/>
  <c r="D130" i="17"/>
  <c r="Q135" i="17"/>
  <c r="D134" i="17"/>
  <c r="X30" i="9"/>
  <c r="X31" i="9" s="1"/>
  <c r="X191" i="9"/>
  <c r="X192" i="9" s="1"/>
  <c r="X90" i="12"/>
  <c r="X69" i="11"/>
  <c r="X70" i="11" s="1"/>
  <c r="V106" i="11"/>
  <c r="W104" i="11"/>
  <c r="V64" i="9"/>
  <c r="S65" i="25"/>
  <c r="W161" i="10"/>
  <c r="W162" i="10" s="1"/>
  <c r="W163" i="10" s="1"/>
  <c r="W164" i="10" s="1"/>
  <c r="AL60" i="9"/>
  <c r="AL62" i="9" s="1"/>
  <c r="O56" i="14"/>
  <c r="AO55" i="14"/>
  <c r="N56" i="14" s="1"/>
  <c r="P106" i="9"/>
  <c r="J78" i="9"/>
  <c r="N108" i="17"/>
  <c r="P56" i="14"/>
  <c r="AM57" i="14" s="1"/>
  <c r="AM79" i="14" s="1"/>
  <c r="AM58" i="9" s="1"/>
  <c r="AM60" i="9" s="1"/>
  <c r="AM62" i="9" s="1"/>
  <c r="AP55" i="14"/>
  <c r="M56" i="14" s="1"/>
  <c r="V229" i="9"/>
  <c r="U127" i="9"/>
  <c r="U128" i="9" s="1"/>
  <c r="U130" i="9" s="1"/>
  <c r="V69" i="13"/>
  <c r="U74" i="13"/>
  <c r="V69" i="9"/>
  <c r="V70" i="9" s="1"/>
  <c r="V71" i="13"/>
  <c r="V230" i="9" s="1"/>
  <c r="V140" i="9"/>
  <c r="V141" i="9" s="1"/>
  <c r="V146" i="9" s="1"/>
  <c r="W59" i="13"/>
  <c r="U49" i="13"/>
  <c r="U51" i="13" s="1"/>
  <c r="U54" i="13" s="1"/>
  <c r="X22" i="12"/>
  <c r="X80" i="10"/>
  <c r="X81" i="10" s="1"/>
  <c r="X82" i="10" s="1"/>
  <c r="X83" i="10" s="1"/>
  <c r="W192" i="11"/>
  <c r="W106" i="11" s="1"/>
  <c r="X148" i="10"/>
  <c r="S61" i="14"/>
  <c r="R84" i="14"/>
  <c r="R100" i="9" s="1"/>
  <c r="AL81" i="14"/>
  <c r="O65" i="14"/>
  <c r="AN66" i="14" s="1"/>
  <c r="AN80" i="14" s="1"/>
  <c r="AO64" i="14"/>
  <c r="N65" i="14" s="1"/>
  <c r="W53" i="9"/>
  <c r="W55" i="9" s="1"/>
  <c r="AS63" i="14"/>
  <c r="P93" i="14"/>
  <c r="P92" i="14"/>
  <c r="P91" i="14"/>
  <c r="Q83" i="14"/>
  <c r="R52" i="14"/>
  <c r="J382" i="11"/>
  <c r="J383" i="11" s="1"/>
  <c r="J384" i="11" s="1"/>
  <c r="V105" i="11"/>
  <c r="V131" i="11" s="1"/>
  <c r="X185" i="9"/>
  <c r="X193" i="12"/>
  <c r="X172" i="12"/>
  <c r="Y185" i="9"/>
  <c r="J308" i="11"/>
  <c r="K305" i="11" s="1"/>
  <c r="T64" i="9"/>
  <c r="O107" i="17"/>
  <c r="O14" i="17"/>
  <c r="O16" i="17"/>
  <c r="N17" i="17"/>
  <c r="N19" i="17"/>
  <c r="N20" i="17" s="1"/>
  <c r="V46" i="13"/>
  <c r="AG164" i="15"/>
  <c r="AG165" i="15" s="1"/>
  <c r="AG171" i="15" s="1"/>
  <c r="AG266" i="9" s="1"/>
  <c r="AG267" i="9" s="1"/>
  <c r="AG282" i="9" s="1"/>
  <c r="AG179" i="15"/>
  <c r="AG181" i="15" s="1"/>
  <c r="AG182" i="15" s="1"/>
  <c r="AG183" i="15" s="1"/>
  <c r="AH161" i="15"/>
  <c r="AH162" i="15" s="1"/>
  <c r="AG154" i="9"/>
  <c r="AG155" i="9" s="1"/>
  <c r="AI134" i="15"/>
  <c r="AI135" i="15" s="1"/>
  <c r="AI141" i="15" s="1"/>
  <c r="AI265" i="9" s="1"/>
  <c r="AI149" i="15"/>
  <c r="AI151" i="15" s="1"/>
  <c r="AI152" i="15" s="1"/>
  <c r="AI153" i="15" s="1"/>
  <c r="AJ131" i="15"/>
  <c r="AJ132" i="15" s="1"/>
  <c r="AI143" i="9"/>
  <c r="AI144" i="9" s="1"/>
  <c r="AI74" i="15"/>
  <c r="AI75" i="15" s="1"/>
  <c r="AI81" i="15" s="1"/>
  <c r="AI246" i="9" s="1"/>
  <c r="AI247" i="9" s="1"/>
  <c r="AI249" i="9" s="1"/>
  <c r="AI276" i="9" s="1"/>
  <c r="AI103" i="9"/>
  <c r="AI104" i="9" s="1"/>
  <c r="AJ71" i="15"/>
  <c r="AJ72" i="15" s="1"/>
  <c r="AI89" i="15"/>
  <c r="AI91" i="15" s="1"/>
  <c r="AI92" i="15" s="1"/>
  <c r="AI93" i="15" s="1"/>
  <c r="T53" i="13"/>
  <c r="T55" i="13" s="1"/>
  <c r="AK138" i="15"/>
  <c r="AJ139" i="15"/>
  <c r="AJ148" i="15"/>
  <c r="AK78" i="15"/>
  <c r="AJ79" i="15"/>
  <c r="AJ88" i="15"/>
  <c r="AG119" i="15"/>
  <c r="AG121" i="15" s="1"/>
  <c r="AG122" i="15" s="1"/>
  <c r="AG123" i="15" s="1"/>
  <c r="AG104" i="15"/>
  <c r="AG105" i="15" s="1"/>
  <c r="AG111" i="15" s="1"/>
  <c r="AG215" i="9" s="1"/>
  <c r="AG216" i="9" s="1"/>
  <c r="AG134" i="9"/>
  <c r="AG135" i="9" s="1"/>
  <c r="AH101" i="15"/>
  <c r="AH102" i="15" s="1"/>
  <c r="AH178" i="15"/>
  <c r="AH169" i="15"/>
  <c r="AI168" i="15"/>
  <c r="AI108" i="15"/>
  <c r="AH118" i="15"/>
  <c r="AH109" i="15"/>
  <c r="AH62" i="15"/>
  <c r="AH63" i="15" s="1"/>
  <c r="X164" i="12"/>
  <c r="X258" i="12"/>
  <c r="X250" i="12"/>
  <c r="W37" i="13"/>
  <c r="W139" i="9" s="1"/>
  <c r="W44" i="13"/>
  <c r="W68" i="9" s="1"/>
  <c r="W156" i="13"/>
  <c r="W88" i="13"/>
  <c r="AI59" i="15"/>
  <c r="AI61" i="15" s="1"/>
  <c r="AI44" i="15"/>
  <c r="AI45" i="15" s="1"/>
  <c r="AI51" i="15" s="1"/>
  <c r="AI237" i="9" s="1"/>
  <c r="AI238" i="9" s="1"/>
  <c r="AJ41" i="15"/>
  <c r="AJ42" i="15" s="1"/>
  <c r="AI94" i="9"/>
  <c r="AI95" i="9" s="1"/>
  <c r="X146" i="11"/>
  <c r="X133" i="11"/>
  <c r="X128" i="11"/>
  <c r="AK48" i="15"/>
  <c r="AJ49" i="15"/>
  <c r="AJ58" i="15"/>
  <c r="AJ96" i="12"/>
  <c r="AJ97" i="12" s="1"/>
  <c r="J49" i="17"/>
  <c r="J47" i="17"/>
  <c r="J174" i="17" s="1"/>
  <c r="I38" i="17"/>
  <c r="I114" i="17"/>
  <c r="K52" i="17"/>
  <c r="K53" i="17"/>
  <c r="J73" i="17"/>
  <c r="I43" i="17"/>
  <c r="AD24" i="9" l="1"/>
  <c r="AD56" i="11"/>
  <c r="AD178" i="11" s="1"/>
  <c r="AD26" i="12" s="1"/>
  <c r="AD178" i="9"/>
  <c r="AD29" i="9"/>
  <c r="AD68" i="11"/>
  <c r="AD190" i="11" s="1"/>
  <c r="AD147" i="12" s="1"/>
  <c r="AD89" i="12"/>
  <c r="AD190" i="9"/>
  <c r="AE91" i="10"/>
  <c r="AE100" i="10" s="1"/>
  <c r="AE106" i="10" s="1"/>
  <c r="AE69" i="10"/>
  <c r="AE77" i="10" s="1"/>
  <c r="U155" i="12"/>
  <c r="U207" i="11"/>
  <c r="Z204" i="11"/>
  <c r="W40" i="12"/>
  <c r="W41" i="12" s="1"/>
  <c r="X34" i="12"/>
  <c r="Y154" i="12"/>
  <c r="X205" i="11"/>
  <c r="X85" i="11"/>
  <c r="W155" i="12"/>
  <c r="W207" i="11"/>
  <c r="W108" i="11" s="1"/>
  <c r="AF22" i="10"/>
  <c r="AF61" i="10" s="1"/>
  <c r="AE30" i="10"/>
  <c r="Q154" i="17"/>
  <c r="P156" i="17"/>
  <c r="Z43" i="10"/>
  <c r="Z44" i="10" s="1"/>
  <c r="X57" i="11"/>
  <c r="AB76" i="25"/>
  <c r="X179" i="11"/>
  <c r="X33" i="9"/>
  <c r="X55" i="9" s="1"/>
  <c r="W69" i="17"/>
  <c r="J203" i="17"/>
  <c r="P12" i="17"/>
  <c r="Q11" i="17"/>
  <c r="Q12" i="17" s="1"/>
  <c r="Z50" i="10"/>
  <c r="Z65" i="10" s="1"/>
  <c r="W71" i="25"/>
  <c r="W73" i="25" s="1"/>
  <c r="Z53" i="10"/>
  <c r="Z66" i="10" s="1"/>
  <c r="Y73" i="10"/>
  <c r="Y70" i="10"/>
  <c r="E141" i="17"/>
  <c r="E142" i="17"/>
  <c r="K140" i="17"/>
  <c r="AB11" i="17" s="1"/>
  <c r="H138" i="17"/>
  <c r="O139" i="17"/>
  <c r="AF10" i="17" s="1"/>
  <c r="P139" i="17"/>
  <c r="AG10" i="17" s="1"/>
  <c r="L140" i="17"/>
  <c r="AC11" i="17" s="1"/>
  <c r="M141" i="17"/>
  <c r="AD12" i="17" s="1"/>
  <c r="M142" i="17"/>
  <c r="AD13" i="17" s="1"/>
  <c r="G140" i="17"/>
  <c r="X11" i="17" s="1"/>
  <c r="J139" i="17"/>
  <c r="AA10" i="17" s="1"/>
  <c r="B138" i="17"/>
  <c r="S9" i="17" s="1"/>
  <c r="G142" i="17"/>
  <c r="X13" i="17" s="1"/>
  <c r="P140" i="17"/>
  <c r="AG11" i="17" s="1"/>
  <c r="N138" i="17"/>
  <c r="N142" i="17"/>
  <c r="AE13" i="17" s="1"/>
  <c r="E138" i="17"/>
  <c r="F140" i="17"/>
  <c r="W11" i="17" s="1"/>
  <c r="I140" i="17"/>
  <c r="Z11" i="17" s="1"/>
  <c r="I141" i="17"/>
  <c r="Z12" i="17" s="1"/>
  <c r="H139" i="17"/>
  <c r="Y10" i="17" s="1"/>
  <c r="G138" i="17"/>
  <c r="E139" i="17"/>
  <c r="K141" i="17"/>
  <c r="AB12" i="17" s="1"/>
  <c r="N139" i="17"/>
  <c r="AE10" i="17" s="1"/>
  <c r="B141" i="17"/>
  <c r="S12" i="17" s="1"/>
  <c r="N141" i="17"/>
  <c r="AE12" i="17" s="1"/>
  <c r="H141" i="17"/>
  <c r="Y12" i="17" s="1"/>
  <c r="J138" i="17"/>
  <c r="L138" i="17"/>
  <c r="H142" i="17"/>
  <c r="Y13" i="17" s="1"/>
  <c r="J142" i="17"/>
  <c r="AA13" i="17" s="1"/>
  <c r="E140" i="17"/>
  <c r="F138" i="17"/>
  <c r="P138" i="17"/>
  <c r="F142" i="17"/>
  <c r="W13" i="17" s="1"/>
  <c r="O140" i="17"/>
  <c r="AF11" i="17" s="1"/>
  <c r="K138" i="17"/>
  <c r="B142" i="17"/>
  <c r="S13" i="17" s="1"/>
  <c r="I139" i="17"/>
  <c r="Z10" i="17" s="1"/>
  <c r="N140" i="17"/>
  <c r="AE11" i="17" s="1"/>
  <c r="H140" i="17"/>
  <c r="Y11" i="17" s="1"/>
  <c r="L139" i="17"/>
  <c r="AC10" i="17" s="1"/>
  <c r="P142" i="17"/>
  <c r="AG13" i="17" s="1"/>
  <c r="F141" i="17"/>
  <c r="W12" i="17" s="1"/>
  <c r="M140" i="17"/>
  <c r="AD11" i="17" s="1"/>
  <c r="O138" i="17"/>
  <c r="B139" i="17"/>
  <c r="S10" i="17" s="1"/>
  <c r="J141" i="17"/>
  <c r="AA12" i="17" s="1"/>
  <c r="M139" i="17"/>
  <c r="AD10" i="17" s="1"/>
  <c r="L142" i="17"/>
  <c r="AC13" i="17" s="1"/>
  <c r="L141" i="17"/>
  <c r="AC12" i="17" s="1"/>
  <c r="B140" i="17"/>
  <c r="S11" i="17" s="1"/>
  <c r="J140" i="17"/>
  <c r="AA11" i="17" s="1"/>
  <c r="P141" i="17"/>
  <c r="AG12" i="17" s="1"/>
  <c r="I142" i="17"/>
  <c r="Z13" i="17" s="1"/>
  <c r="F139" i="17"/>
  <c r="W10" i="17" s="1"/>
  <c r="M138" i="17"/>
  <c r="G141" i="17"/>
  <c r="X12" i="17" s="1"/>
  <c r="K139" i="17"/>
  <c r="AB10" i="17" s="1"/>
  <c r="I138" i="17"/>
  <c r="K142" i="17"/>
  <c r="AB13" i="17" s="1"/>
  <c r="G139" i="17"/>
  <c r="X10" i="17" s="1"/>
  <c r="O142" i="17"/>
  <c r="AF13" i="17" s="1"/>
  <c r="O141" i="17"/>
  <c r="AF12" i="17" s="1"/>
  <c r="Y94" i="10"/>
  <c r="Y101" i="10" s="1"/>
  <c r="Y74" i="10"/>
  <c r="X191" i="11"/>
  <c r="J80" i="9"/>
  <c r="I186" i="18"/>
  <c r="I187" i="18" s="1"/>
  <c r="W64" i="9"/>
  <c r="T65" i="25"/>
  <c r="J158" i="9"/>
  <c r="J110" i="13"/>
  <c r="J124" i="13" s="1"/>
  <c r="J132" i="13" s="1"/>
  <c r="J134" i="13" s="1"/>
  <c r="AM81" i="14"/>
  <c r="AP57" i="14"/>
  <c r="AP79" i="14" s="1"/>
  <c r="AP58" i="9" s="1"/>
  <c r="O108" i="17"/>
  <c r="AO57" i="14"/>
  <c r="AO79" i="14" s="1"/>
  <c r="AO58" i="9" s="1"/>
  <c r="AQ55" i="14"/>
  <c r="L56" i="14" s="1"/>
  <c r="AQ57" i="14" s="1"/>
  <c r="AQ79" i="14" s="1"/>
  <c r="AQ58" i="9" s="1"/>
  <c r="AN57" i="14"/>
  <c r="AN79" i="14" s="1"/>
  <c r="AN58" i="9" s="1"/>
  <c r="U75" i="13"/>
  <c r="U76" i="13"/>
  <c r="W43" i="13"/>
  <c r="V126" i="9"/>
  <c r="V72" i="13"/>
  <c r="W63" i="13"/>
  <c r="W70" i="13"/>
  <c r="V231" i="9"/>
  <c r="V233" i="9" s="1"/>
  <c r="X161" i="10"/>
  <c r="X162" i="10" s="1"/>
  <c r="X163" i="10" s="1"/>
  <c r="X164" i="10" s="1"/>
  <c r="S67" i="14"/>
  <c r="S72" i="14"/>
  <c r="AO66" i="14"/>
  <c r="AO80" i="14" s="1"/>
  <c r="X169" i="12"/>
  <c r="X170" i="12" s="1"/>
  <c r="X190" i="12"/>
  <c r="X191" i="12" s="1"/>
  <c r="AP64" i="14"/>
  <c r="M65" i="14" s="1"/>
  <c r="AP66" i="14" s="1"/>
  <c r="AP80" i="14" s="1"/>
  <c r="AN59" i="9"/>
  <c r="R71" i="14"/>
  <c r="R73" i="14" s="1"/>
  <c r="R58" i="14"/>
  <c r="Q99" i="9"/>
  <c r="Q101" i="9" s="1"/>
  <c r="Q85" i="14"/>
  <c r="Q87" i="14" s="1"/>
  <c r="Q88" i="14" s="1"/>
  <c r="Q89" i="14" s="1"/>
  <c r="W105" i="11"/>
  <c r="W131" i="11" s="1"/>
  <c r="X173" i="12"/>
  <c r="X194" i="12"/>
  <c r="V48" i="13"/>
  <c r="V50" i="13" s="1"/>
  <c r="O17" i="17"/>
  <c r="O19" i="17"/>
  <c r="O20" i="17" s="1"/>
  <c r="U53" i="13"/>
  <c r="U55" i="13" s="1"/>
  <c r="P94" i="14"/>
  <c r="AK139" i="15"/>
  <c r="AK148" i="15"/>
  <c r="AL138" i="15"/>
  <c r="AK71" i="15"/>
  <c r="AK72" i="15" s="1"/>
  <c r="AJ103" i="9"/>
  <c r="AJ104" i="9" s="1"/>
  <c r="AJ74" i="15"/>
  <c r="AJ75" i="15" s="1"/>
  <c r="AJ81" i="15" s="1"/>
  <c r="AJ246" i="9" s="1"/>
  <c r="AJ247" i="9" s="1"/>
  <c r="AJ249" i="9" s="1"/>
  <c r="AJ276" i="9" s="1"/>
  <c r="AJ89" i="15"/>
  <c r="AJ91" i="15" s="1"/>
  <c r="AJ92" i="15" s="1"/>
  <c r="AJ93" i="15" s="1"/>
  <c r="AI169" i="15"/>
  <c r="AJ168" i="15"/>
  <c r="AI178" i="15"/>
  <c r="AI118" i="15"/>
  <c r="AJ108" i="15"/>
  <c r="AI109" i="15"/>
  <c r="AL78" i="15"/>
  <c r="AK79" i="15"/>
  <c r="AK88" i="15"/>
  <c r="AH104" i="15"/>
  <c r="AH105" i="15" s="1"/>
  <c r="AH111" i="15" s="1"/>
  <c r="AH215" i="9" s="1"/>
  <c r="AH216" i="9" s="1"/>
  <c r="AI101" i="15"/>
  <c r="AI102" i="15" s="1"/>
  <c r="AH134" i="9"/>
  <c r="AH135" i="9" s="1"/>
  <c r="AH119" i="15"/>
  <c r="AH121" i="15" s="1"/>
  <c r="AH122" i="15" s="1"/>
  <c r="AH123" i="15" s="1"/>
  <c r="AH179" i="15"/>
  <c r="AH181" i="15" s="1"/>
  <c r="AH182" i="15" s="1"/>
  <c r="AH183" i="15" s="1"/>
  <c r="AI161" i="15"/>
  <c r="AI162" i="15" s="1"/>
  <c r="AH164" i="15"/>
  <c r="AH165" i="15" s="1"/>
  <c r="AH171" i="15" s="1"/>
  <c r="AH266" i="9" s="1"/>
  <c r="AH267" i="9" s="1"/>
  <c r="AH282" i="9" s="1"/>
  <c r="AH154" i="9"/>
  <c r="AH155" i="9" s="1"/>
  <c r="AJ134" i="15"/>
  <c r="AJ135" i="15" s="1"/>
  <c r="AJ141" i="15" s="1"/>
  <c r="AJ265" i="9" s="1"/>
  <c r="AJ143" i="9"/>
  <c r="AJ144" i="9" s="1"/>
  <c r="AJ149" i="15"/>
  <c r="AJ151" i="15" s="1"/>
  <c r="AJ152" i="15" s="1"/>
  <c r="AJ153" i="15" s="1"/>
  <c r="AK131" i="15"/>
  <c r="AK132" i="15" s="1"/>
  <c r="AI62" i="15"/>
  <c r="AI63" i="15" s="1"/>
  <c r="W91" i="13"/>
  <c r="X153" i="13"/>
  <c r="W152" i="9"/>
  <c r="Y249" i="12"/>
  <c r="Y127" i="11"/>
  <c r="X259" i="12"/>
  <c r="AK49" i="15"/>
  <c r="AL48" i="15"/>
  <c r="AK58" i="15"/>
  <c r="X134" i="11"/>
  <c r="AK96" i="12"/>
  <c r="AK97" i="12" s="1"/>
  <c r="X147" i="11"/>
  <c r="Y163" i="12"/>
  <c r="AJ44" i="15"/>
  <c r="AJ45" i="15" s="1"/>
  <c r="AJ51" i="15" s="1"/>
  <c r="AJ237" i="9" s="1"/>
  <c r="AJ238" i="9" s="1"/>
  <c r="AJ59" i="15"/>
  <c r="AJ61" i="15" s="1"/>
  <c r="AK41" i="15"/>
  <c r="AK42" i="15" s="1"/>
  <c r="AJ94" i="9"/>
  <c r="AJ95" i="9" s="1"/>
  <c r="W45" i="13"/>
  <c r="X33" i="13"/>
  <c r="J175" i="17"/>
  <c r="J48" i="17"/>
  <c r="I37" i="17"/>
  <c r="I173" i="17"/>
  <c r="J36" i="17"/>
  <c r="J172" i="17" s="1"/>
  <c r="AF91" i="10" l="1"/>
  <c r="AF100" i="10" s="1"/>
  <c r="AF106" i="10" s="1"/>
  <c r="AF69" i="10"/>
  <c r="AF77" i="10" s="1"/>
  <c r="AE56" i="11"/>
  <c r="AE178" i="11" s="1"/>
  <c r="AE26" i="12" s="1"/>
  <c r="AE24" i="9"/>
  <c r="AE178" i="9"/>
  <c r="AE190" i="9"/>
  <c r="AE89" i="12"/>
  <c r="AE68" i="11"/>
  <c r="AE190" i="11" s="1"/>
  <c r="AE147" i="12" s="1"/>
  <c r="AE29" i="9"/>
  <c r="X192" i="11"/>
  <c r="X106" i="11" s="1"/>
  <c r="X148" i="12"/>
  <c r="X155" i="12"/>
  <c r="X207" i="11"/>
  <c r="X108" i="11" s="1"/>
  <c r="Z154" i="12"/>
  <c r="D154" i="17"/>
  <c r="D153" i="17"/>
  <c r="D152" i="17"/>
  <c r="D149" i="17"/>
  <c r="D155" i="17"/>
  <c r="D148" i="17"/>
  <c r="D151" i="17"/>
  <c r="D150" i="17"/>
  <c r="Q156" i="17"/>
  <c r="AG22" i="10"/>
  <c r="AG61" i="10" s="1"/>
  <c r="AF30" i="10"/>
  <c r="X43" i="12"/>
  <c r="X44" i="12" s="1"/>
  <c r="X35" i="12"/>
  <c r="X104" i="11"/>
  <c r="U108" i="11"/>
  <c r="AC76" i="25"/>
  <c r="U53" i="9"/>
  <c r="P13" i="17"/>
  <c r="Q13" i="17" s="1"/>
  <c r="AA131" i="10"/>
  <c r="AA145" i="10" s="1"/>
  <c r="AA156" i="10" s="1"/>
  <c r="AB9" i="17"/>
  <c r="AB14" i="17" s="1"/>
  <c r="K143" i="17"/>
  <c r="AC9" i="17"/>
  <c r="AC14" i="17" s="1"/>
  <c r="L143" i="17"/>
  <c r="G143" i="17"/>
  <c r="X9" i="17"/>
  <c r="X14" i="17" s="1"/>
  <c r="Y78" i="10"/>
  <c r="Y53" i="11"/>
  <c r="Y175" i="11" s="1"/>
  <c r="Y23" i="12" s="1"/>
  <c r="Y175" i="9"/>
  <c r="Y21" i="9"/>
  <c r="H143" i="17"/>
  <c r="Y9" i="17"/>
  <c r="Y14" i="17" s="1"/>
  <c r="AA9" i="17"/>
  <c r="AA14" i="17" s="1"/>
  <c r="J143" i="17"/>
  <c r="Y102" i="10"/>
  <c r="Y107" i="10"/>
  <c r="P143" i="17"/>
  <c r="AG9" i="17"/>
  <c r="AG14" i="17" s="1"/>
  <c r="AA32" i="10"/>
  <c r="AA39" i="10" s="1"/>
  <c r="AB33" i="10"/>
  <c r="AB40" i="10" s="1"/>
  <c r="AA24" i="10"/>
  <c r="AA25" i="10" s="1"/>
  <c r="M143" i="17"/>
  <c r="AD9" i="17"/>
  <c r="AD14" i="17" s="1"/>
  <c r="F143" i="17"/>
  <c r="W9" i="17"/>
  <c r="W14" i="17" s="1"/>
  <c r="Q142" i="17"/>
  <c r="V13" i="17"/>
  <c r="AH13" i="17" s="1"/>
  <c r="Z73" i="10"/>
  <c r="Z70" i="10"/>
  <c r="I143" i="17"/>
  <c r="Z9" i="17"/>
  <c r="Z14" i="17" s="1"/>
  <c r="Q140" i="17"/>
  <c r="V11" i="17"/>
  <c r="AH11" i="17" s="1"/>
  <c r="Q138" i="17"/>
  <c r="V9" i="17"/>
  <c r="E143" i="17"/>
  <c r="Q141" i="17"/>
  <c r="V12" i="17"/>
  <c r="AH12" i="17" s="1"/>
  <c r="Z94" i="10"/>
  <c r="Z101" i="10" s="1"/>
  <c r="Z74" i="10"/>
  <c r="O143" i="17"/>
  <c r="AF9" i="17"/>
  <c r="AF14" i="17" s="1"/>
  <c r="V10" i="17"/>
  <c r="AH10" i="17" s="1"/>
  <c r="Q139" i="17"/>
  <c r="AE9" i="17"/>
  <c r="AE14" i="17" s="1"/>
  <c r="N143" i="17"/>
  <c r="Y20" i="9"/>
  <c r="Y174" i="9"/>
  <c r="Y52" i="11"/>
  <c r="V49" i="13"/>
  <c r="V51" i="13" s="1"/>
  <c r="V53" i="13" s="1"/>
  <c r="X64" i="9"/>
  <c r="U65" i="25"/>
  <c r="J125" i="13"/>
  <c r="AN81" i="14"/>
  <c r="AR55" i="14"/>
  <c r="Q106" i="9"/>
  <c r="AO81" i="14"/>
  <c r="AN60" i="9"/>
  <c r="AN62" i="9" s="1"/>
  <c r="U77" i="13"/>
  <c r="U79" i="13" s="1"/>
  <c r="V127" i="9"/>
  <c r="V128" i="9" s="1"/>
  <c r="V130" i="9" s="1"/>
  <c r="W69" i="13"/>
  <c r="V74" i="13"/>
  <c r="W69" i="9"/>
  <c r="W70" i="9" s="1"/>
  <c r="W71" i="13"/>
  <c r="W230" i="9" s="1"/>
  <c r="W229" i="9"/>
  <c r="W140" i="9"/>
  <c r="W141" i="9" s="1"/>
  <c r="W146" i="9" s="1"/>
  <c r="X59" i="13"/>
  <c r="S84" i="14"/>
  <c r="S100" i="9" s="1"/>
  <c r="T61" i="14"/>
  <c r="AO59" i="9"/>
  <c r="AO60" i="9" s="1"/>
  <c r="AO62" i="9" s="1"/>
  <c r="AP59" i="9"/>
  <c r="AP60" i="9" s="1"/>
  <c r="AP62" i="9" s="1"/>
  <c r="AP81" i="14"/>
  <c r="AQ64" i="14"/>
  <c r="L65" i="14" s="1"/>
  <c r="AQ66" i="14" s="1"/>
  <c r="AQ80" i="14" s="1"/>
  <c r="R83" i="14"/>
  <c r="S52" i="14"/>
  <c r="Q93" i="14"/>
  <c r="Q92" i="14"/>
  <c r="Q91" i="14"/>
  <c r="Y105" i="11"/>
  <c r="X105" i="11"/>
  <c r="Y172" i="12"/>
  <c r="Y193" i="12"/>
  <c r="Z185" i="9"/>
  <c r="AI154" i="9"/>
  <c r="AI155" i="9" s="1"/>
  <c r="AI179" i="15"/>
  <c r="AI181" i="15" s="1"/>
  <c r="AI182" i="15" s="1"/>
  <c r="AI183" i="15" s="1"/>
  <c r="AI164" i="15"/>
  <c r="AI165" i="15" s="1"/>
  <c r="AI171" i="15" s="1"/>
  <c r="AI266" i="9" s="1"/>
  <c r="AI267" i="9" s="1"/>
  <c r="AI282" i="9" s="1"/>
  <c r="AJ161" i="15"/>
  <c r="AJ162" i="15" s="1"/>
  <c r="AM78" i="15"/>
  <c r="AL88" i="15"/>
  <c r="AL79" i="15"/>
  <c r="AK74" i="15"/>
  <c r="AK75" i="15" s="1"/>
  <c r="AK81" i="15" s="1"/>
  <c r="AK246" i="9" s="1"/>
  <c r="AK247" i="9" s="1"/>
  <c r="AK249" i="9" s="1"/>
  <c r="AK276" i="9" s="1"/>
  <c r="AK89" i="15"/>
  <c r="AK91" i="15" s="1"/>
  <c r="AK92" i="15" s="1"/>
  <c r="AK93" i="15" s="1"/>
  <c r="AL71" i="15"/>
  <c r="AL72" i="15" s="1"/>
  <c r="AK103" i="9"/>
  <c r="AK104" i="9" s="1"/>
  <c r="AJ169" i="15"/>
  <c r="AK168" i="15"/>
  <c r="AJ178" i="15"/>
  <c r="W46" i="13"/>
  <c r="AK149" i="15"/>
  <c r="AK151" i="15" s="1"/>
  <c r="AK152" i="15" s="1"/>
  <c r="AK153" i="15" s="1"/>
  <c r="AK134" i="15"/>
  <c r="AK135" i="15" s="1"/>
  <c r="AK141" i="15" s="1"/>
  <c r="AK265" i="9" s="1"/>
  <c r="AK143" i="9"/>
  <c r="AK144" i="9" s="1"/>
  <c r="AL131" i="15"/>
  <c r="AL132" i="15" s="1"/>
  <c r="AL148" i="15"/>
  <c r="AL139" i="15"/>
  <c r="AM138" i="15"/>
  <c r="AK108" i="15"/>
  <c r="AJ118" i="15"/>
  <c r="AJ109" i="15"/>
  <c r="AI104" i="15"/>
  <c r="AI105" i="15" s="1"/>
  <c r="AI111" i="15" s="1"/>
  <c r="AI215" i="9" s="1"/>
  <c r="AI216" i="9" s="1"/>
  <c r="AI119" i="15"/>
  <c r="AI121" i="15" s="1"/>
  <c r="AI122" i="15" s="1"/>
  <c r="AI123" i="15" s="1"/>
  <c r="AJ101" i="15"/>
  <c r="AJ102" i="15" s="1"/>
  <c r="AI134" i="9"/>
  <c r="AI135" i="9" s="1"/>
  <c r="AJ62" i="15"/>
  <c r="AJ63" i="15" s="1"/>
  <c r="AK59" i="15"/>
  <c r="AK61" i="15" s="1"/>
  <c r="AK44" i="15"/>
  <c r="AK45" i="15" s="1"/>
  <c r="AK51" i="15" s="1"/>
  <c r="AK237" i="9" s="1"/>
  <c r="AK238" i="9" s="1"/>
  <c r="AL41" i="15"/>
  <c r="AL42" i="15" s="1"/>
  <c r="AK94" i="9"/>
  <c r="AK95" i="9" s="1"/>
  <c r="Y164" i="12"/>
  <c r="Y133" i="11"/>
  <c r="Y128" i="11"/>
  <c r="Y146" i="11"/>
  <c r="AL49" i="15"/>
  <c r="AM48" i="15"/>
  <c r="AL58" i="15"/>
  <c r="Y258" i="12"/>
  <c r="Y250" i="12"/>
  <c r="X44" i="13"/>
  <c r="X68" i="9" s="1"/>
  <c r="X37" i="13"/>
  <c r="X139" i="9" s="1"/>
  <c r="AL96" i="12"/>
  <c r="AL97" i="12" s="1"/>
  <c r="X156" i="13"/>
  <c r="X88" i="13"/>
  <c r="L53" i="17"/>
  <c r="K49" i="17"/>
  <c r="K47" i="17"/>
  <c r="K174" i="17" s="1"/>
  <c r="J38" i="17"/>
  <c r="J114" i="17"/>
  <c r="L52" i="17"/>
  <c r="J43" i="17"/>
  <c r="K73" i="17"/>
  <c r="AG91" i="10" l="1"/>
  <c r="AG100" i="10" s="1"/>
  <c r="AG106" i="10" s="1"/>
  <c r="AG69" i="10"/>
  <c r="AG77" i="10" s="1"/>
  <c r="AF56" i="11"/>
  <c r="AF178" i="11" s="1"/>
  <c r="AF26" i="12" s="1"/>
  <c r="AF178" i="9"/>
  <c r="AF24" i="9"/>
  <c r="AF190" i="9"/>
  <c r="AF89" i="12"/>
  <c r="AF68" i="11"/>
  <c r="AF190" i="11" s="1"/>
  <c r="AF147" i="12" s="1"/>
  <c r="AF29" i="9"/>
  <c r="U69" i="25"/>
  <c r="AH22" i="10"/>
  <c r="AH61" i="10" s="1"/>
  <c r="AG30" i="10"/>
  <c r="F163" i="17"/>
  <c r="L163" i="17"/>
  <c r="F162" i="17"/>
  <c r="L162" i="17"/>
  <c r="F161" i="17"/>
  <c r="L161" i="17"/>
  <c r="F160" i="17"/>
  <c r="L160" i="17"/>
  <c r="F159" i="17"/>
  <c r="L159" i="17"/>
  <c r="J163" i="17"/>
  <c r="P163" i="17"/>
  <c r="J162" i="17"/>
  <c r="P162" i="17"/>
  <c r="J161" i="17"/>
  <c r="P161" i="17"/>
  <c r="J160" i="17"/>
  <c r="P160" i="17"/>
  <c r="J159" i="17"/>
  <c r="P159" i="17"/>
  <c r="B160" i="17"/>
  <c r="I163" i="17"/>
  <c r="G162" i="17"/>
  <c r="O162" i="17"/>
  <c r="M161" i="17"/>
  <c r="I160" i="17"/>
  <c r="G159" i="17"/>
  <c r="O159" i="17"/>
  <c r="K163" i="17"/>
  <c r="H162" i="17"/>
  <c r="E161" i="17"/>
  <c r="G163" i="17"/>
  <c r="O163" i="17"/>
  <c r="M162" i="17"/>
  <c r="I161" i="17"/>
  <c r="G160" i="17"/>
  <c r="O160" i="17"/>
  <c r="M159" i="17"/>
  <c r="I162" i="17"/>
  <c r="N161" i="17"/>
  <c r="N160" i="17"/>
  <c r="B161" i="17"/>
  <c r="E163" i="17"/>
  <c r="K162" i="17"/>
  <c r="O161" i="17"/>
  <c r="E159" i="17"/>
  <c r="B159" i="17"/>
  <c r="H163" i="17"/>
  <c r="N162" i="17"/>
  <c r="E160" i="17"/>
  <c r="H159" i="17"/>
  <c r="M163" i="17"/>
  <c r="G161" i="17"/>
  <c r="H160" i="17"/>
  <c r="I159" i="17"/>
  <c r="N163" i="17"/>
  <c r="H161" i="17"/>
  <c r="K160" i="17"/>
  <c r="K159" i="17"/>
  <c r="E162" i="17"/>
  <c r="K161" i="17"/>
  <c r="M160" i="17"/>
  <c r="N159" i="17"/>
  <c r="B162" i="17"/>
  <c r="AA82" i="11"/>
  <c r="AA199" i="9"/>
  <c r="AA45" i="9"/>
  <c r="X40" i="12"/>
  <c r="X41" i="12" s="1"/>
  <c r="Y34" i="12"/>
  <c r="AA53" i="10"/>
  <c r="AA66" i="10" s="1"/>
  <c r="AA94" i="10" s="1"/>
  <c r="AA101" i="10" s="1"/>
  <c r="AA37" i="10"/>
  <c r="AA43" i="10" s="1"/>
  <c r="AA44" i="10" s="1"/>
  <c r="X131" i="11"/>
  <c r="AD76" i="25"/>
  <c r="X71" i="25"/>
  <c r="X73" i="25" s="1"/>
  <c r="T158" i="18"/>
  <c r="T159" i="18" s="1"/>
  <c r="P15" i="17"/>
  <c r="U55" i="9"/>
  <c r="Q143" i="17"/>
  <c r="Y25" i="9"/>
  <c r="V14" i="17"/>
  <c r="AH14" i="17" s="1"/>
  <c r="AH9" i="17"/>
  <c r="Y174" i="11"/>
  <c r="Y57" i="11"/>
  <c r="AB131" i="10"/>
  <c r="AB145" i="10" s="1"/>
  <c r="AB156" i="10" s="1"/>
  <c r="Z21" i="9"/>
  <c r="Z53" i="11"/>
  <c r="Z175" i="11" s="1"/>
  <c r="Z23" i="12" s="1"/>
  <c r="Z175" i="9"/>
  <c r="Z107" i="10"/>
  <c r="Z102" i="10"/>
  <c r="Y179" i="9"/>
  <c r="AA50" i="10"/>
  <c r="AA65" i="10" s="1"/>
  <c r="Y108" i="10"/>
  <c r="Y110" i="10" s="1"/>
  <c r="Y111" i="10" s="1"/>
  <c r="Y112" i="10" s="1"/>
  <c r="Y113" i="10" s="1"/>
  <c r="Y69" i="11"/>
  <c r="Y90" i="12"/>
  <c r="Y30" i="9"/>
  <c r="Y31" i="9" s="1"/>
  <c r="Y191" i="9"/>
  <c r="Y192" i="9" s="1"/>
  <c r="Y133" i="10"/>
  <c r="Y146" i="10" s="1"/>
  <c r="Y157" i="10" s="1"/>
  <c r="Y80" i="10"/>
  <c r="Y81" i="10" s="1"/>
  <c r="Y82" i="10" s="1"/>
  <c r="Y83" i="10" s="1"/>
  <c r="Z52" i="11"/>
  <c r="Z174" i="9"/>
  <c r="Z20" i="9"/>
  <c r="Z78" i="10"/>
  <c r="Z133" i="10" s="1"/>
  <c r="Z146" i="10" s="1"/>
  <c r="Z157" i="10" s="1"/>
  <c r="AS55" i="14"/>
  <c r="J56" i="14" s="1"/>
  <c r="K56" i="14"/>
  <c r="AR57" i="14" s="1"/>
  <c r="AR79" i="14" s="1"/>
  <c r="AR58" i="9" s="1"/>
  <c r="AR64" i="14"/>
  <c r="U80" i="13"/>
  <c r="U81" i="13" s="1"/>
  <c r="X70" i="13"/>
  <c r="X63" i="13"/>
  <c r="V75" i="13"/>
  <c r="V76" i="13"/>
  <c r="W48" i="13"/>
  <c r="W49" i="13" s="1"/>
  <c r="W126" i="9"/>
  <c r="W72" i="13"/>
  <c r="W231" i="9"/>
  <c r="W233" i="9" s="1"/>
  <c r="V54" i="13"/>
  <c r="V55" i="13" s="1"/>
  <c r="T72" i="14"/>
  <c r="T67" i="14"/>
  <c r="Y169" i="12"/>
  <c r="Y170" i="12" s="1"/>
  <c r="Y190" i="12"/>
  <c r="Y191" i="12" s="1"/>
  <c r="AQ59" i="9"/>
  <c r="AQ60" i="9" s="1"/>
  <c r="AQ62" i="9" s="1"/>
  <c r="AQ81" i="14"/>
  <c r="S71" i="14"/>
  <c r="S73" i="14" s="1"/>
  <c r="S58" i="14"/>
  <c r="X43" i="13"/>
  <c r="R99" i="9"/>
  <c r="R101" i="9" s="1"/>
  <c r="R85" i="14"/>
  <c r="R87" i="14" s="1"/>
  <c r="R88" i="14" s="1"/>
  <c r="R89" i="14" s="1"/>
  <c r="Y173" i="12"/>
  <c r="AC185" i="9"/>
  <c r="AA185" i="9"/>
  <c r="Y194" i="12"/>
  <c r="AL74" i="15"/>
  <c r="AL75" i="15" s="1"/>
  <c r="AL81" i="15" s="1"/>
  <c r="AL246" i="9" s="1"/>
  <c r="AL247" i="9" s="1"/>
  <c r="AL249" i="9" s="1"/>
  <c r="AL276" i="9" s="1"/>
  <c r="AM71" i="15"/>
  <c r="AM72" i="15" s="1"/>
  <c r="AL103" i="9"/>
  <c r="AL104" i="9" s="1"/>
  <c r="AL89" i="15"/>
  <c r="AL91" i="15" s="1"/>
  <c r="AL92" i="15" s="1"/>
  <c r="AL93" i="15" s="1"/>
  <c r="AM139" i="15"/>
  <c r="AN138" i="15"/>
  <c r="AM148" i="15"/>
  <c r="AL168" i="15"/>
  <c r="AK169" i="15"/>
  <c r="AK178" i="15"/>
  <c r="AN78" i="15"/>
  <c r="AM79" i="15"/>
  <c r="AM88" i="15"/>
  <c r="AK161" i="15"/>
  <c r="AK162" i="15" s="1"/>
  <c r="AJ154" i="9"/>
  <c r="AJ155" i="9" s="1"/>
  <c r="AJ164" i="15"/>
  <c r="AJ165" i="15" s="1"/>
  <c r="AJ171" i="15" s="1"/>
  <c r="AJ266" i="9" s="1"/>
  <c r="AJ267" i="9" s="1"/>
  <c r="AJ282" i="9" s="1"/>
  <c r="AJ179" i="15"/>
  <c r="AJ181" i="15" s="1"/>
  <c r="AJ182" i="15" s="1"/>
  <c r="AJ183" i="15" s="1"/>
  <c r="Q94" i="14"/>
  <c r="AJ119" i="15"/>
  <c r="AJ121" i="15" s="1"/>
  <c r="AJ122" i="15" s="1"/>
  <c r="AJ123" i="15" s="1"/>
  <c r="AJ104" i="15"/>
  <c r="AJ105" i="15" s="1"/>
  <c r="AJ111" i="15" s="1"/>
  <c r="AJ215" i="9" s="1"/>
  <c r="AJ216" i="9" s="1"/>
  <c r="AJ134" i="9"/>
  <c r="AJ135" i="9" s="1"/>
  <c r="AK101" i="15"/>
  <c r="AK102" i="15" s="1"/>
  <c r="AL149" i="15"/>
  <c r="AL151" i="15" s="1"/>
  <c r="AL152" i="15" s="1"/>
  <c r="AL153" i="15" s="1"/>
  <c r="AL134" i="15"/>
  <c r="AL135" i="15" s="1"/>
  <c r="AL141" i="15" s="1"/>
  <c r="AL265" i="9" s="1"/>
  <c r="AM131" i="15"/>
  <c r="AM132" i="15" s="1"/>
  <c r="AL143" i="9"/>
  <c r="AL144" i="9" s="1"/>
  <c r="AK109" i="15"/>
  <c r="AK118" i="15"/>
  <c r="AL108" i="15"/>
  <c r="AK62" i="15"/>
  <c r="AK63" i="15" s="1"/>
  <c r="Z163" i="12"/>
  <c r="X91" i="13"/>
  <c r="Y153" i="13"/>
  <c r="X152" i="9"/>
  <c r="Y259" i="12"/>
  <c r="AM96" i="12"/>
  <c r="AM97" i="12" s="1"/>
  <c r="AL44" i="15"/>
  <c r="AL45" i="15" s="1"/>
  <c r="AL51" i="15" s="1"/>
  <c r="AL237" i="9" s="1"/>
  <c r="AL238" i="9" s="1"/>
  <c r="AL59" i="15"/>
  <c r="AL61" i="15" s="1"/>
  <c r="AM41" i="15"/>
  <c r="AM42" i="15" s="1"/>
  <c r="AL94" i="9"/>
  <c r="AL95" i="9" s="1"/>
  <c r="AM49" i="15"/>
  <c r="AN48" i="15"/>
  <c r="AM58" i="15"/>
  <c r="Y147" i="11"/>
  <c r="Y33" i="13"/>
  <c r="Z127" i="11"/>
  <c r="X45" i="13"/>
  <c r="Y134" i="11"/>
  <c r="Z249" i="12"/>
  <c r="K175" i="17"/>
  <c r="K48" i="17"/>
  <c r="K36" i="17"/>
  <c r="K172" i="17" s="1"/>
  <c r="J173" i="17"/>
  <c r="J37" i="17"/>
  <c r="AH91" i="10" l="1"/>
  <c r="AH100" i="10" s="1"/>
  <c r="AH106" i="10" s="1"/>
  <c r="AH69" i="10"/>
  <c r="AH77" i="10" s="1"/>
  <c r="AG56" i="11"/>
  <c r="AG178" i="11" s="1"/>
  <c r="AG26" i="12" s="1"/>
  <c r="AG178" i="9"/>
  <c r="AG24" i="9"/>
  <c r="AG29" i="9"/>
  <c r="AG190" i="9"/>
  <c r="AG89" i="12"/>
  <c r="AG68" i="11"/>
  <c r="AG190" i="11" s="1"/>
  <c r="AG147" i="12" s="1"/>
  <c r="AA74" i="10"/>
  <c r="AA53" i="11" s="1"/>
  <c r="AA175" i="11" s="1"/>
  <c r="AA23" i="12" s="1"/>
  <c r="Y200" i="9"/>
  <c r="Y202" i="9" s="1"/>
  <c r="Y46" i="9"/>
  <c r="Y48" i="9" s="1"/>
  <c r="Y83" i="11"/>
  <c r="Y159" i="10"/>
  <c r="Y43" i="12"/>
  <c r="Y44" i="12" s="1"/>
  <c r="Y35" i="12"/>
  <c r="Z83" i="11"/>
  <c r="Z200" i="9"/>
  <c r="Z202" i="9" s="1"/>
  <c r="Z46" i="9"/>
  <c r="Z48" i="9" s="1"/>
  <c r="Z159" i="10"/>
  <c r="AB82" i="11"/>
  <c r="AB45" i="9"/>
  <c r="AB199" i="9"/>
  <c r="AA204" i="11"/>
  <c r="AI22" i="10"/>
  <c r="AI61" i="10" s="1"/>
  <c r="AH30" i="10"/>
  <c r="AE76" i="25"/>
  <c r="Y148" i="10"/>
  <c r="R65" i="25"/>
  <c r="U64" i="9"/>
  <c r="P108" i="17" s="1"/>
  <c r="P107" i="17"/>
  <c r="Z148" i="10"/>
  <c r="Q15" i="17"/>
  <c r="P16" i="17"/>
  <c r="P14" i="17"/>
  <c r="Q14" i="17" s="1"/>
  <c r="AB20" i="17"/>
  <c r="Y23" i="17"/>
  <c r="AC21" i="17"/>
  <c r="AD23" i="17"/>
  <c r="AA23" i="17"/>
  <c r="Z20" i="17"/>
  <c r="S21" i="17"/>
  <c r="S20" i="17"/>
  <c r="W22" i="17"/>
  <c r="S22" i="17"/>
  <c r="AB21" i="17"/>
  <c r="X23" i="17"/>
  <c r="Z23" i="17"/>
  <c r="S19" i="17"/>
  <c r="AA21" i="17"/>
  <c r="W21" i="17"/>
  <c r="W20" i="17"/>
  <c r="AF22" i="17"/>
  <c r="Z21" i="17"/>
  <c r="AD20" i="17"/>
  <c r="Y21" i="17"/>
  <c r="X22" i="17"/>
  <c r="AG22" i="17"/>
  <c r="AE20" i="17"/>
  <c r="AF20" i="17"/>
  <c r="AE22" i="17"/>
  <c r="Y22" i="17"/>
  <c r="AG21" i="17"/>
  <c r="AG20" i="17"/>
  <c r="Z22" i="17"/>
  <c r="AE21" i="17"/>
  <c r="AB23" i="17"/>
  <c r="AB22" i="17"/>
  <c r="X20" i="17"/>
  <c r="AD21" i="17"/>
  <c r="AA22" i="17"/>
  <c r="X21" i="17"/>
  <c r="AC22" i="17"/>
  <c r="Y20" i="17"/>
  <c r="AF21" i="17"/>
  <c r="AG23" i="17"/>
  <c r="AC20" i="17"/>
  <c r="AA20" i="17"/>
  <c r="AC23" i="17"/>
  <c r="AF23" i="17"/>
  <c r="AD22" i="17"/>
  <c r="W23" i="17"/>
  <c r="AE23" i="17"/>
  <c r="Y33" i="9"/>
  <c r="Z25" i="9"/>
  <c r="AA73" i="10"/>
  <c r="AA70" i="10"/>
  <c r="AC33" i="10"/>
  <c r="AC40" i="10" s="1"/>
  <c r="AB32" i="10"/>
  <c r="AB39" i="10" s="1"/>
  <c r="AB24" i="10"/>
  <c r="AB25" i="10" s="1"/>
  <c r="AA107" i="10"/>
  <c r="AA102" i="10"/>
  <c r="Y22" i="12"/>
  <c r="Y179" i="11"/>
  <c r="Y104" i="11" s="1"/>
  <c r="Y131" i="11" s="1"/>
  <c r="Z69" i="11"/>
  <c r="Z191" i="9"/>
  <c r="Z192" i="9" s="1"/>
  <c r="Z30" i="9"/>
  <c r="Z31" i="9" s="1"/>
  <c r="Z108" i="10"/>
  <c r="Z110" i="10" s="1"/>
  <c r="Z111" i="10" s="1"/>
  <c r="Z112" i="10" s="1"/>
  <c r="Z113" i="10" s="1"/>
  <c r="Z90" i="12"/>
  <c r="AB37" i="10"/>
  <c r="Z174" i="11"/>
  <c r="Z57" i="11"/>
  <c r="Z179" i="9"/>
  <c r="Y191" i="11"/>
  <c r="Y148" i="12" s="1"/>
  <c r="Y70" i="11"/>
  <c r="Z80" i="10"/>
  <c r="Z81" i="10" s="1"/>
  <c r="Z82" i="10" s="1"/>
  <c r="Z83" i="10" s="1"/>
  <c r="AS57" i="14"/>
  <c r="AS79" i="14" s="1"/>
  <c r="AS58" i="9" s="1"/>
  <c r="R106" i="9"/>
  <c r="K65" i="14"/>
  <c r="AR66" i="14" s="1"/>
  <c r="AR80" i="14" s="1"/>
  <c r="AR59" i="9" s="1"/>
  <c r="AR60" i="9" s="1"/>
  <c r="AR62" i="9" s="1"/>
  <c r="AS64" i="14"/>
  <c r="J65" i="14" s="1"/>
  <c r="V77" i="13"/>
  <c r="V80" i="13" s="1"/>
  <c r="W50" i="13"/>
  <c r="W51" i="13" s="1"/>
  <c r="W54" i="13" s="1"/>
  <c r="X229" i="9"/>
  <c r="W127" i="9"/>
  <c r="W128" i="9" s="1"/>
  <c r="W130" i="9" s="1"/>
  <c r="X69" i="13"/>
  <c r="W74" i="13"/>
  <c r="X140" i="9"/>
  <c r="X141" i="9" s="1"/>
  <c r="X146" i="9" s="1"/>
  <c r="Y59" i="13"/>
  <c r="X69" i="9"/>
  <c r="X70" i="9" s="1"/>
  <c r="X71" i="13"/>
  <c r="X230" i="9" s="1"/>
  <c r="T84" i="14"/>
  <c r="T100" i="9" s="1"/>
  <c r="U61" i="14"/>
  <c r="R91" i="14"/>
  <c r="R93" i="14"/>
  <c r="R92" i="14"/>
  <c r="S83" i="14"/>
  <c r="T52" i="14"/>
  <c r="Z193" i="12"/>
  <c r="Z172" i="12"/>
  <c r="Z105" i="11"/>
  <c r="AB185" i="9"/>
  <c r="AK119" i="15"/>
  <c r="AK104" i="15"/>
  <c r="AK105" i="15" s="1"/>
  <c r="AK111" i="15" s="1"/>
  <c r="AK215" i="9" s="1"/>
  <c r="AK216" i="9" s="1"/>
  <c r="AL101" i="15"/>
  <c r="AL102" i="15" s="1"/>
  <c r="AK134" i="9"/>
  <c r="AK135" i="9" s="1"/>
  <c r="AM143" i="9"/>
  <c r="AM144" i="9" s="1"/>
  <c r="AN131" i="15"/>
  <c r="AN132" i="15" s="1"/>
  <c r="AM134" i="15"/>
  <c r="AM135" i="15" s="1"/>
  <c r="AM141" i="15" s="1"/>
  <c r="AM265" i="9" s="1"/>
  <c r="AM149" i="15"/>
  <c r="AK121" i="15"/>
  <c r="AK122" i="15" s="1"/>
  <c r="AK123" i="15" s="1"/>
  <c r="AN139" i="15"/>
  <c r="AN148" i="15"/>
  <c r="AO138" i="15"/>
  <c r="AM89" i="15"/>
  <c r="AM91" i="15" s="1"/>
  <c r="AM92" i="15" s="1"/>
  <c r="AM93" i="15" s="1"/>
  <c r="AM74" i="15"/>
  <c r="AM75" i="15" s="1"/>
  <c r="AM81" i="15" s="1"/>
  <c r="AM246" i="9" s="1"/>
  <c r="AM247" i="9" s="1"/>
  <c r="AM249" i="9" s="1"/>
  <c r="AM276" i="9" s="1"/>
  <c r="AM103" i="9"/>
  <c r="AM104" i="9" s="1"/>
  <c r="AN71" i="15"/>
  <c r="AN72" i="15" s="1"/>
  <c r="AM151" i="15"/>
  <c r="AM152" i="15" s="1"/>
  <c r="AM153" i="15" s="1"/>
  <c r="AL118" i="15"/>
  <c r="AM108" i="15"/>
  <c r="AL109" i="15"/>
  <c r="AN79" i="15"/>
  <c r="AO78" i="15"/>
  <c r="AN88" i="15"/>
  <c r="AL169" i="15"/>
  <c r="AL178" i="15"/>
  <c r="AM168" i="15"/>
  <c r="AK179" i="15"/>
  <c r="AK181" i="15" s="1"/>
  <c r="AK182" i="15" s="1"/>
  <c r="AK183" i="15" s="1"/>
  <c r="AL161" i="15"/>
  <c r="AL162" i="15" s="1"/>
  <c r="AK164" i="15"/>
  <c r="AK165" i="15" s="1"/>
  <c r="AK171" i="15" s="1"/>
  <c r="AK266" i="9" s="1"/>
  <c r="AK267" i="9" s="1"/>
  <c r="AK282" i="9" s="1"/>
  <c r="AK154" i="9"/>
  <c r="AK155" i="9" s="1"/>
  <c r="Y88" i="13"/>
  <c r="Y156" i="13"/>
  <c r="Z146" i="11"/>
  <c r="Z133" i="11"/>
  <c r="Z128" i="11"/>
  <c r="AN96" i="12"/>
  <c r="AN97" i="12" s="1"/>
  <c r="Z164" i="12"/>
  <c r="Z258" i="12"/>
  <c r="Z250" i="12"/>
  <c r="AL62" i="15"/>
  <c r="AL63" i="15" s="1"/>
  <c r="AM59" i="15"/>
  <c r="AM61" i="15" s="1"/>
  <c r="AM44" i="15"/>
  <c r="AM45" i="15" s="1"/>
  <c r="AM51" i="15" s="1"/>
  <c r="AM237" i="9" s="1"/>
  <c r="AM238" i="9" s="1"/>
  <c r="AN41" i="15"/>
  <c r="AN42" i="15" s="1"/>
  <c r="AM94" i="9"/>
  <c r="AM95" i="9" s="1"/>
  <c r="AO48" i="15"/>
  <c r="AN49" i="15"/>
  <c r="AN58" i="15"/>
  <c r="X46" i="13"/>
  <c r="X126" i="9" s="1"/>
  <c r="Y44" i="13"/>
  <c r="Y68" i="9" s="1"/>
  <c r="Y37" i="13"/>
  <c r="Y139" i="9" s="1"/>
  <c r="M53" i="17"/>
  <c r="L49" i="17"/>
  <c r="L47" i="17"/>
  <c r="L174" i="17" s="1"/>
  <c r="K114" i="17"/>
  <c r="K38" i="17"/>
  <c r="M52" i="17"/>
  <c r="K43" i="17"/>
  <c r="L73" i="17"/>
  <c r="AA21" i="9" l="1"/>
  <c r="AA78" i="10"/>
  <c r="AA133" i="10" s="1"/>
  <c r="AA146" i="10" s="1"/>
  <c r="AA157" i="10" s="1"/>
  <c r="AA83" i="11" s="1"/>
  <c r="AA175" i="9"/>
  <c r="AH24" i="9"/>
  <c r="AH56" i="11"/>
  <c r="AH178" i="11" s="1"/>
  <c r="AH26" i="12" s="1"/>
  <c r="AH178" i="9"/>
  <c r="AI91" i="10"/>
  <c r="AI100" i="10" s="1"/>
  <c r="AI106" i="10" s="1"/>
  <c r="AI69" i="10"/>
  <c r="AI77" i="10" s="1"/>
  <c r="AH89" i="12"/>
  <c r="AH68" i="11"/>
  <c r="AH190" i="11" s="1"/>
  <c r="AH147" i="12" s="1"/>
  <c r="AH190" i="9"/>
  <c r="AH29" i="9"/>
  <c r="T69" i="25"/>
  <c r="S69" i="25"/>
  <c r="R69" i="25"/>
  <c r="Y40" i="12"/>
  <c r="Y41" i="12" s="1"/>
  <c r="Z34" i="12"/>
  <c r="AA154" i="12"/>
  <c r="AB204" i="11"/>
  <c r="Y205" i="11"/>
  <c r="Y85" i="11"/>
  <c r="AJ22" i="10"/>
  <c r="AJ61" i="10" s="1"/>
  <c r="AI30" i="10"/>
  <c r="Z205" i="11"/>
  <c r="Z85" i="11"/>
  <c r="AB43" i="10"/>
  <c r="AB44" i="10" s="1"/>
  <c r="AF76" i="25"/>
  <c r="Z53" i="9"/>
  <c r="Y53" i="9"/>
  <c r="Y55" i="9" s="1"/>
  <c r="Z161" i="10"/>
  <c r="Z162" i="10" s="1"/>
  <c r="Z163" i="10" s="1"/>
  <c r="Z164" i="10" s="1"/>
  <c r="AA148" i="10"/>
  <c r="V21" i="17"/>
  <c r="AH21" i="17" s="1"/>
  <c r="Q161" i="17"/>
  <c r="V20" i="17"/>
  <c r="AH20" i="17" s="1"/>
  <c r="Q160" i="17"/>
  <c r="AB19" i="17"/>
  <c r="AB24" i="17" s="1"/>
  <c r="K164" i="17"/>
  <c r="AE19" i="17"/>
  <c r="AE24" i="17" s="1"/>
  <c r="N164" i="17"/>
  <c r="V19" i="17"/>
  <c r="E164" i="17"/>
  <c r="Q159" i="17"/>
  <c r="AA19" i="17"/>
  <c r="AA24" i="17" s="1"/>
  <c r="J164" i="17"/>
  <c r="W19" i="17"/>
  <c r="W24" i="17" s="1"/>
  <c r="F164" i="17"/>
  <c r="Z19" i="17"/>
  <c r="Z24" i="17" s="1"/>
  <c r="I164" i="17"/>
  <c r="P17" i="17"/>
  <c r="P19" i="17"/>
  <c r="Q16" i="17"/>
  <c r="Q17" i="17" s="1"/>
  <c r="AD19" i="17"/>
  <c r="AD24" i="17" s="1"/>
  <c r="M164" i="17"/>
  <c r="AF19" i="17"/>
  <c r="AF24" i="17" s="1"/>
  <c r="O164" i="17"/>
  <c r="V23" i="17"/>
  <c r="AH23" i="17" s="1"/>
  <c r="Q163" i="17"/>
  <c r="X19" i="17"/>
  <c r="X24" i="17" s="1"/>
  <c r="G164" i="17"/>
  <c r="V22" i="17"/>
  <c r="AH22" i="17" s="1"/>
  <c r="Q162" i="17"/>
  <c r="AC19" i="17"/>
  <c r="AC24" i="17" s="1"/>
  <c r="L164" i="17"/>
  <c r="Y19" i="17"/>
  <c r="Y24" i="17" s="1"/>
  <c r="H164" i="17"/>
  <c r="AG19" i="17"/>
  <c r="AG24" i="17" s="1"/>
  <c r="P164" i="17"/>
  <c r="Y161" i="10"/>
  <c r="Y162" i="10" s="1"/>
  <c r="Y163" i="10" s="1"/>
  <c r="Y164" i="10" s="1"/>
  <c r="Z179" i="11"/>
  <c r="Z104" i="11" s="1"/>
  <c r="Z131" i="11" s="1"/>
  <c r="Z22" i="12"/>
  <c r="AB50" i="10"/>
  <c r="AB65" i="10" s="1"/>
  <c r="Y71" i="25"/>
  <c r="Y73" i="25" s="1"/>
  <c r="AB53" i="10"/>
  <c r="AB66" i="10" s="1"/>
  <c r="Z191" i="11"/>
  <c r="Z148" i="12" s="1"/>
  <c r="Z70" i="11"/>
  <c r="AA191" i="9"/>
  <c r="AA192" i="9" s="1"/>
  <c r="AA30" i="9"/>
  <c r="AA31" i="9" s="1"/>
  <c r="AA90" i="12"/>
  <c r="AA108" i="10"/>
  <c r="AA110" i="10" s="1"/>
  <c r="AA111" i="10" s="1"/>
  <c r="AA112" i="10" s="1"/>
  <c r="AA113" i="10" s="1"/>
  <c r="AA69" i="11"/>
  <c r="Y192" i="11"/>
  <c r="Y106" i="11" s="1"/>
  <c r="AA52" i="11"/>
  <c r="AA174" i="9"/>
  <c r="AA20" i="9"/>
  <c r="AA25" i="9" s="1"/>
  <c r="Z33" i="9"/>
  <c r="W53" i="13"/>
  <c r="W55" i="13" s="1"/>
  <c r="AS66" i="14"/>
  <c r="AS80" i="14" s="1"/>
  <c r="AS59" i="9" s="1"/>
  <c r="AS60" i="9" s="1"/>
  <c r="AS62" i="9" s="1"/>
  <c r="AR81" i="14"/>
  <c r="V79" i="13"/>
  <c r="V81" i="13" s="1"/>
  <c r="X72" i="13"/>
  <c r="X127" i="9" s="1"/>
  <c r="X128" i="9" s="1"/>
  <c r="X130" i="9" s="1"/>
  <c r="X231" i="9"/>
  <c r="X233" i="9" s="1"/>
  <c r="Y70" i="13"/>
  <c r="Y63" i="13"/>
  <c r="W75" i="13"/>
  <c r="W76" i="13"/>
  <c r="U72" i="14"/>
  <c r="U67" i="14"/>
  <c r="Z169" i="12"/>
  <c r="Z170" i="12" s="1"/>
  <c r="Z190" i="12"/>
  <c r="Z191" i="12" s="1"/>
  <c r="T58" i="14"/>
  <c r="T71" i="14"/>
  <c r="T73" i="14" s="1"/>
  <c r="S99" i="9"/>
  <c r="S101" i="9" s="1"/>
  <c r="S85" i="14"/>
  <c r="S87" i="14" s="1"/>
  <c r="S88" i="14" s="1"/>
  <c r="S89" i="14" s="1"/>
  <c r="AC105" i="11"/>
  <c r="AA105" i="11"/>
  <c r="Z173" i="12"/>
  <c r="Z194" i="12"/>
  <c r="AO131" i="15"/>
  <c r="AO132" i="15" s="1"/>
  <c r="AN149" i="15"/>
  <c r="AN151" i="15" s="1"/>
  <c r="AN152" i="15" s="1"/>
  <c r="AN153" i="15" s="1"/>
  <c r="AN143" i="9"/>
  <c r="AN144" i="9" s="1"/>
  <c r="AN134" i="15"/>
  <c r="AN135" i="15" s="1"/>
  <c r="AN141" i="15" s="1"/>
  <c r="AN265" i="9" s="1"/>
  <c r="AM169" i="15"/>
  <c r="AN168" i="15"/>
  <c r="AM178" i="15"/>
  <c r="AL154" i="9"/>
  <c r="AL155" i="9" s="1"/>
  <c r="AL164" i="15"/>
  <c r="AL165" i="15" s="1"/>
  <c r="AL171" i="15" s="1"/>
  <c r="AL266" i="9" s="1"/>
  <c r="AL267" i="9" s="1"/>
  <c r="AL282" i="9" s="1"/>
  <c r="AL179" i="15"/>
  <c r="AL181" i="15" s="1"/>
  <c r="AL182" i="15" s="1"/>
  <c r="AL183" i="15" s="1"/>
  <c r="AM161" i="15"/>
  <c r="AM162" i="15" s="1"/>
  <c r="AM118" i="15"/>
  <c r="AN108" i="15"/>
  <c r="AM109" i="15"/>
  <c r="AP78" i="15"/>
  <c r="AO88" i="15"/>
  <c r="AO79" i="15"/>
  <c r="AN89" i="15"/>
  <c r="AN91" i="15" s="1"/>
  <c r="AN92" i="15" s="1"/>
  <c r="AN93" i="15" s="1"/>
  <c r="AN74" i="15"/>
  <c r="AN75" i="15" s="1"/>
  <c r="AN81" i="15" s="1"/>
  <c r="AN246" i="9" s="1"/>
  <c r="AN247" i="9" s="1"/>
  <c r="AN249" i="9" s="1"/>
  <c r="AN276" i="9" s="1"/>
  <c r="AN103" i="9"/>
  <c r="AN104" i="9" s="1"/>
  <c r="AO71" i="15"/>
  <c r="AO72" i="15" s="1"/>
  <c r="AL104" i="15"/>
  <c r="AL105" i="15" s="1"/>
  <c r="AL111" i="15" s="1"/>
  <c r="AL215" i="9" s="1"/>
  <c r="AL216" i="9" s="1"/>
  <c r="AL119" i="15"/>
  <c r="AL121" i="15" s="1"/>
  <c r="AL122" i="15" s="1"/>
  <c r="AL123" i="15" s="1"/>
  <c r="AM101" i="15"/>
  <c r="AM102" i="15" s="1"/>
  <c r="AL134" i="9"/>
  <c r="AL135" i="9" s="1"/>
  <c r="AO139" i="15"/>
  <c r="AP138" i="15"/>
  <c r="AO148" i="15"/>
  <c r="R94" i="14"/>
  <c r="Y45" i="13"/>
  <c r="Y43" i="13"/>
  <c r="X48" i="13"/>
  <c r="AA127" i="11"/>
  <c r="Z33" i="13"/>
  <c r="Z259" i="12"/>
  <c r="AO96" i="12"/>
  <c r="AO97" i="12" s="1"/>
  <c r="Z147" i="11"/>
  <c r="Z134" i="11"/>
  <c r="AO49" i="15"/>
  <c r="AP48" i="15"/>
  <c r="AO58" i="15"/>
  <c r="AM62" i="15"/>
  <c r="AM63" i="15" s="1"/>
  <c r="AA163" i="12"/>
  <c r="AN59" i="15"/>
  <c r="AN61" i="15" s="1"/>
  <c r="AN44" i="15"/>
  <c r="AN45" i="15" s="1"/>
  <c r="AN51" i="15" s="1"/>
  <c r="AN237" i="9" s="1"/>
  <c r="AN238" i="9" s="1"/>
  <c r="AO41" i="15"/>
  <c r="AO42" i="15" s="1"/>
  <c r="AN94" i="9"/>
  <c r="AN95" i="9" s="1"/>
  <c r="AA249" i="12"/>
  <c r="Y91" i="13"/>
  <c r="Z153" i="13"/>
  <c r="Y152" i="9"/>
  <c r="L175" i="17"/>
  <c r="L48" i="17"/>
  <c r="L36" i="17"/>
  <c r="L172" i="17" s="1"/>
  <c r="K173" i="17"/>
  <c r="K37" i="17"/>
  <c r="AA159" i="10" l="1"/>
  <c r="AA46" i="9"/>
  <c r="AA48" i="9" s="1"/>
  <c r="AA200" i="9"/>
  <c r="AA202" i="9" s="1"/>
  <c r="AA179" i="9"/>
  <c r="AI24" i="9"/>
  <c r="AI56" i="11"/>
  <c r="AI178" i="11" s="1"/>
  <c r="AI26" i="12" s="1"/>
  <c r="AI178" i="9"/>
  <c r="AI89" i="12"/>
  <c r="AI68" i="11"/>
  <c r="AI190" i="11" s="1"/>
  <c r="AI147" i="12" s="1"/>
  <c r="AI190" i="9"/>
  <c r="AI29" i="9"/>
  <c r="AJ91" i="10"/>
  <c r="AJ100" i="10" s="1"/>
  <c r="AJ106" i="10" s="1"/>
  <c r="AJ69" i="10"/>
  <c r="AJ77" i="10" s="1"/>
  <c r="AA80" i="10"/>
  <c r="AA81" i="10" s="1"/>
  <c r="AA82" i="10" s="1"/>
  <c r="AA83" i="10" s="1"/>
  <c r="Y155" i="12"/>
  <c r="Y207" i="11"/>
  <c r="Z155" i="12"/>
  <c r="Z207" i="11"/>
  <c r="AB154" i="12"/>
  <c r="AK22" i="10"/>
  <c r="AK61" i="10" s="1"/>
  <c r="AJ30" i="10"/>
  <c r="Z43" i="12"/>
  <c r="Z44" i="12" s="1"/>
  <c r="Z35" i="12"/>
  <c r="AA205" i="11"/>
  <c r="AA85" i="11"/>
  <c r="AG76" i="25"/>
  <c r="Z55" i="9"/>
  <c r="Z64" i="9" s="1"/>
  <c r="AA53" i="9"/>
  <c r="V65" i="25"/>
  <c r="Y64" i="9"/>
  <c r="Q164" i="17"/>
  <c r="AC131" i="10"/>
  <c r="AC145" i="10" s="1"/>
  <c r="AC156" i="10" s="1"/>
  <c r="V24" i="17"/>
  <c r="AH24" i="17" s="1"/>
  <c r="AH19" i="17"/>
  <c r="P20" i="17"/>
  <c r="Q19" i="17"/>
  <c r="Q20" i="17" s="1"/>
  <c r="AA161" i="10"/>
  <c r="AA162" i="10" s="1"/>
  <c r="AA163" i="10" s="1"/>
  <c r="AA164" i="10" s="1"/>
  <c r="AA33" i="9"/>
  <c r="Z192" i="11"/>
  <c r="Z106" i="11" s="1"/>
  <c r="AD131" i="10"/>
  <c r="AD145" i="10" s="1"/>
  <c r="AD156" i="10" s="1"/>
  <c r="AC32" i="10"/>
  <c r="AC39" i="10" s="1"/>
  <c r="AD33" i="10"/>
  <c r="AD40" i="10" s="1"/>
  <c r="AC24" i="10"/>
  <c r="AC25" i="10" s="1"/>
  <c r="AA191" i="11"/>
  <c r="AA148" i="12" s="1"/>
  <c r="AA70" i="11"/>
  <c r="AB94" i="10"/>
  <c r="AB101" i="10" s="1"/>
  <c r="AB74" i="10"/>
  <c r="AA174" i="11"/>
  <c r="AA57" i="11"/>
  <c r="AB73" i="10"/>
  <c r="AB70" i="10"/>
  <c r="AS81" i="14"/>
  <c r="W77" i="13"/>
  <c r="W80" i="13" s="1"/>
  <c r="S106" i="9"/>
  <c r="X74" i="13"/>
  <c r="X76" i="13" s="1"/>
  <c r="Y69" i="13"/>
  <c r="Y69" i="9"/>
  <c r="Y70" i="9" s="1"/>
  <c r="Y71" i="13"/>
  <c r="Y230" i="9" s="1"/>
  <c r="Y140" i="9"/>
  <c r="Y141" i="9" s="1"/>
  <c r="Y146" i="9" s="1"/>
  <c r="Z59" i="13"/>
  <c r="Y229" i="9"/>
  <c r="U84" i="14"/>
  <c r="U100" i="9" s="1"/>
  <c r="V61" i="14"/>
  <c r="T83" i="14"/>
  <c r="U52" i="14"/>
  <c r="S92" i="14"/>
  <c r="S91" i="14"/>
  <c r="S93" i="14"/>
  <c r="AB105" i="11"/>
  <c r="Y46" i="13"/>
  <c r="AA193" i="12"/>
  <c r="AA172" i="12"/>
  <c r="AD185" i="9"/>
  <c r="AN118" i="15"/>
  <c r="AN109" i="15"/>
  <c r="AO108" i="15"/>
  <c r="AM104" i="15"/>
  <c r="AM105" i="15" s="1"/>
  <c r="AM111" i="15" s="1"/>
  <c r="AM215" i="9" s="1"/>
  <c r="AM216" i="9" s="1"/>
  <c r="AM119" i="15"/>
  <c r="AM121" i="15" s="1"/>
  <c r="AM122" i="15" s="1"/>
  <c r="AM123" i="15" s="1"/>
  <c r="AN101" i="15"/>
  <c r="AN102" i="15" s="1"/>
  <c r="AM134" i="9"/>
  <c r="AM135" i="9" s="1"/>
  <c r="AN169" i="15"/>
  <c r="AO168" i="15"/>
  <c r="AN178" i="15"/>
  <c r="AM179" i="15"/>
  <c r="AM181" i="15" s="1"/>
  <c r="AM182" i="15" s="1"/>
  <c r="AM183" i="15" s="1"/>
  <c r="AM164" i="15"/>
  <c r="AM165" i="15" s="1"/>
  <c r="AM171" i="15" s="1"/>
  <c r="AM266" i="9" s="1"/>
  <c r="AM267" i="9" s="1"/>
  <c r="AM282" i="9" s="1"/>
  <c r="AN161" i="15"/>
  <c r="AN162" i="15" s="1"/>
  <c r="AM154" i="9"/>
  <c r="AM155" i="9" s="1"/>
  <c r="AO89" i="15"/>
  <c r="AO91" i="15" s="1"/>
  <c r="AO92" i="15" s="1"/>
  <c r="AO93" i="15" s="1"/>
  <c r="AO74" i="15"/>
  <c r="AO75" i="15" s="1"/>
  <c r="AO81" i="15" s="1"/>
  <c r="AO246" i="9" s="1"/>
  <c r="AO247" i="9" s="1"/>
  <c r="AO249" i="9" s="1"/>
  <c r="AO276" i="9" s="1"/>
  <c r="AO103" i="9"/>
  <c r="AO104" i="9" s="1"/>
  <c r="AP71" i="15"/>
  <c r="AP72" i="15" s="1"/>
  <c r="AQ138" i="15"/>
  <c r="AP139" i="15"/>
  <c r="AP148" i="15"/>
  <c r="AQ78" i="15"/>
  <c r="AP88" i="15"/>
  <c r="AP79" i="15"/>
  <c r="AO149" i="15"/>
  <c r="AO151" i="15" s="1"/>
  <c r="AO152" i="15" s="1"/>
  <c r="AO153" i="15" s="1"/>
  <c r="AO143" i="9"/>
  <c r="AO144" i="9" s="1"/>
  <c r="AP131" i="15"/>
  <c r="AP132" i="15" s="1"/>
  <c r="AO134" i="15"/>
  <c r="AO135" i="15" s="1"/>
  <c r="AO141" i="15" s="1"/>
  <c r="AO265" i="9" s="1"/>
  <c r="AN62" i="15"/>
  <c r="AN63" i="15" s="1"/>
  <c r="AA164" i="12"/>
  <c r="AO59" i="15"/>
  <c r="AO61" i="15" s="1"/>
  <c r="AO44" i="15"/>
  <c r="AO45" i="15" s="1"/>
  <c r="AO51" i="15" s="1"/>
  <c r="AO237" i="9" s="1"/>
  <c r="AO238" i="9" s="1"/>
  <c r="AP41" i="15"/>
  <c r="AP42" i="15" s="1"/>
  <c r="AO94" i="9"/>
  <c r="AO95" i="9" s="1"/>
  <c r="AP49" i="15"/>
  <c r="AQ48" i="15"/>
  <c r="AP58" i="15"/>
  <c r="AA146" i="11"/>
  <c r="AA133" i="11"/>
  <c r="AA128" i="11"/>
  <c r="Z44" i="13"/>
  <c r="Z68" i="9" s="1"/>
  <c r="Z37" i="13"/>
  <c r="Z139" i="9" s="1"/>
  <c r="Z88" i="13"/>
  <c r="Z156" i="13"/>
  <c r="AA250" i="12"/>
  <c r="AA258" i="12"/>
  <c r="AP96" i="12"/>
  <c r="AP97" i="12" s="1"/>
  <c r="X50" i="13"/>
  <c r="X49" i="13"/>
  <c r="N53" i="17"/>
  <c r="M49" i="17"/>
  <c r="M47" i="17"/>
  <c r="M174" i="17" s="1"/>
  <c r="L114" i="17"/>
  <c r="L38" i="17"/>
  <c r="N52" i="17"/>
  <c r="L43" i="17"/>
  <c r="M73" i="17"/>
  <c r="AJ178" i="9" l="1"/>
  <c r="AJ56" i="11"/>
  <c r="AJ178" i="11" s="1"/>
  <c r="AJ26" i="12" s="1"/>
  <c r="AJ24" i="9"/>
  <c r="AJ29" i="9"/>
  <c r="AJ68" i="11"/>
  <c r="AJ190" i="11" s="1"/>
  <c r="AJ147" i="12" s="1"/>
  <c r="AJ190" i="9"/>
  <c r="AJ89" i="12"/>
  <c r="AK91" i="10"/>
  <c r="AK100" i="10" s="1"/>
  <c r="AK106" i="10" s="1"/>
  <c r="AK69" i="10"/>
  <c r="AK77" i="10" s="1"/>
  <c r="V69" i="25"/>
  <c r="AA155" i="12"/>
  <c r="AA207" i="11"/>
  <c r="Z40" i="12"/>
  <c r="Z41" i="12" s="1"/>
  <c r="AA34" i="12"/>
  <c r="AD199" i="9"/>
  <c r="AD82" i="11"/>
  <c r="AD45" i="9"/>
  <c r="AC82" i="11"/>
  <c r="AC199" i="9"/>
  <c r="AC45" i="9"/>
  <c r="AL22" i="10"/>
  <c r="AL61" i="10" s="1"/>
  <c r="AK30" i="10"/>
  <c r="AC53" i="10"/>
  <c r="AC66" i="10" s="1"/>
  <c r="AC94" i="10" s="1"/>
  <c r="AC101" i="10" s="1"/>
  <c r="AC37" i="10"/>
  <c r="AC43" i="10" s="1"/>
  <c r="AC44" i="10" s="1"/>
  <c r="Z108" i="11"/>
  <c r="Y108" i="11"/>
  <c r="AA55" i="9"/>
  <c r="AA64" i="9" s="1"/>
  <c r="AH76" i="25"/>
  <c r="Z71" i="25"/>
  <c r="Z73" i="25" s="1"/>
  <c r="W65" i="25"/>
  <c r="AA192" i="11"/>
  <c r="AA106" i="11" s="1"/>
  <c r="AB174" i="9"/>
  <c r="AB52" i="11"/>
  <c r="AB20" i="9"/>
  <c r="AB78" i="10"/>
  <c r="AB133" i="10" s="1"/>
  <c r="AB146" i="10" s="1"/>
  <c r="AB157" i="10" s="1"/>
  <c r="AA22" i="12"/>
  <c r="AA179" i="11"/>
  <c r="AA104" i="11" s="1"/>
  <c r="AA131" i="11" s="1"/>
  <c r="AC50" i="10"/>
  <c r="AC65" i="10" s="1"/>
  <c r="AD37" i="10"/>
  <c r="AB53" i="11"/>
  <c r="AB175" i="11" s="1"/>
  <c r="AB23" i="12" s="1"/>
  <c r="AB21" i="9"/>
  <c r="AB175" i="9"/>
  <c r="AE33" i="10"/>
  <c r="AE40" i="10" s="1"/>
  <c r="AD32" i="10"/>
  <c r="AD39" i="10" s="1"/>
  <c r="AD24" i="10"/>
  <c r="AD25" i="10" s="1"/>
  <c r="AB107" i="10"/>
  <c r="AB102" i="10"/>
  <c r="W79" i="13"/>
  <c r="W81" i="13" s="1"/>
  <c r="X75" i="13"/>
  <c r="X77" i="13" s="1"/>
  <c r="X79" i="13" s="1"/>
  <c r="Y72" i="13"/>
  <c r="Z69" i="13" s="1"/>
  <c r="Y231" i="9"/>
  <c r="Y233" i="9" s="1"/>
  <c r="Z70" i="13"/>
  <c r="Z63" i="13"/>
  <c r="Y48" i="13"/>
  <c r="Y50" i="13" s="1"/>
  <c r="Y126" i="9"/>
  <c r="Z43" i="13"/>
  <c r="V72" i="14"/>
  <c r="V67" i="14"/>
  <c r="AA169" i="12"/>
  <c r="AA170" i="12" s="1"/>
  <c r="AA190" i="12"/>
  <c r="AA191" i="12" s="1"/>
  <c r="U58" i="14"/>
  <c r="U71" i="14"/>
  <c r="U73" i="14" s="1"/>
  <c r="T99" i="9"/>
  <c r="T101" i="9" s="1"/>
  <c r="T85" i="14"/>
  <c r="T87" i="14" s="1"/>
  <c r="T88" i="14" s="1"/>
  <c r="T89" i="14" s="1"/>
  <c r="AE185" i="9"/>
  <c r="AA173" i="12"/>
  <c r="AA194" i="12"/>
  <c r="AG185" i="9"/>
  <c r="S94" i="14"/>
  <c r="X51" i="13"/>
  <c r="X54" i="13" s="1"/>
  <c r="AQ139" i="15"/>
  <c r="AR138" i="15"/>
  <c r="AQ148" i="15"/>
  <c r="AQ79" i="15"/>
  <c r="AR78" i="15"/>
  <c r="AQ88" i="15"/>
  <c r="AN154" i="9"/>
  <c r="AN155" i="9" s="1"/>
  <c r="AN164" i="15"/>
  <c r="AN165" i="15" s="1"/>
  <c r="AN171" i="15" s="1"/>
  <c r="AN266" i="9" s="1"/>
  <c r="AN267" i="9" s="1"/>
  <c r="AN282" i="9" s="1"/>
  <c r="AN179" i="15"/>
  <c r="AN181" i="15" s="1"/>
  <c r="AN182" i="15" s="1"/>
  <c r="AN183" i="15" s="1"/>
  <c r="AO161" i="15"/>
  <c r="AO162" i="15" s="1"/>
  <c r="AO109" i="15"/>
  <c r="AO118" i="15"/>
  <c r="AP108" i="15"/>
  <c r="AP89" i="15"/>
  <c r="AP91" i="15" s="1"/>
  <c r="AP92" i="15" s="1"/>
  <c r="AP93" i="15" s="1"/>
  <c r="AP74" i="15"/>
  <c r="AP75" i="15" s="1"/>
  <c r="AP81" i="15" s="1"/>
  <c r="AP246" i="9" s="1"/>
  <c r="AP247" i="9" s="1"/>
  <c r="AP249" i="9" s="1"/>
  <c r="AP276" i="9" s="1"/>
  <c r="AQ71" i="15"/>
  <c r="AQ72" i="15" s="1"/>
  <c r="AP103" i="9"/>
  <c r="AP104" i="9" s="1"/>
  <c r="AQ131" i="15"/>
  <c r="AQ132" i="15" s="1"/>
  <c r="AP143" i="9"/>
  <c r="AP144" i="9" s="1"/>
  <c r="AP134" i="15"/>
  <c r="AP135" i="15" s="1"/>
  <c r="AP141" i="15" s="1"/>
  <c r="AP265" i="9" s="1"/>
  <c r="AP149" i="15"/>
  <c r="AP151" i="15" s="1"/>
  <c r="AP152" i="15" s="1"/>
  <c r="AP153" i="15" s="1"/>
  <c r="AO169" i="15"/>
  <c r="AO178" i="15"/>
  <c r="AP168" i="15"/>
  <c r="AN119" i="15"/>
  <c r="AN121" i="15" s="1"/>
  <c r="AN122" i="15" s="1"/>
  <c r="AN123" i="15" s="1"/>
  <c r="AN104" i="15"/>
  <c r="AN105" i="15" s="1"/>
  <c r="AN111" i="15" s="1"/>
  <c r="AN215" i="9" s="1"/>
  <c r="AN216" i="9" s="1"/>
  <c r="AO101" i="15"/>
  <c r="AO102" i="15" s="1"/>
  <c r="AN134" i="9"/>
  <c r="AN135" i="9" s="1"/>
  <c r="Z45" i="13"/>
  <c r="AB127" i="11"/>
  <c r="AA134" i="11"/>
  <c r="AA33" i="13"/>
  <c r="AA147" i="11"/>
  <c r="AB249" i="12"/>
  <c r="Z91" i="13"/>
  <c r="AA153" i="13"/>
  <c r="Z152" i="9"/>
  <c r="AP59" i="15"/>
  <c r="AP61" i="15" s="1"/>
  <c r="AP44" i="15"/>
  <c r="AP45" i="15" s="1"/>
  <c r="AP51" i="15" s="1"/>
  <c r="AP237" i="9" s="1"/>
  <c r="AP238" i="9" s="1"/>
  <c r="AQ41" i="15"/>
  <c r="AQ42" i="15" s="1"/>
  <c r="AP94" i="9"/>
  <c r="AP95" i="9" s="1"/>
  <c r="AA259" i="12"/>
  <c r="AQ96" i="12"/>
  <c r="AQ97" i="12" s="1"/>
  <c r="AO62" i="15"/>
  <c r="AO63" i="15" s="1"/>
  <c r="AQ49" i="15"/>
  <c r="AR48" i="15"/>
  <c r="AQ58" i="15"/>
  <c r="AB163" i="12"/>
  <c r="M175" i="17"/>
  <c r="M48" i="17"/>
  <c r="M36" i="17"/>
  <c r="M172" i="17" s="1"/>
  <c r="L173" i="17"/>
  <c r="L37" i="17"/>
  <c r="AC74" i="10" l="1"/>
  <c r="AC175" i="9" s="1"/>
  <c r="AL91" i="10"/>
  <c r="AL100" i="10" s="1"/>
  <c r="AL106" i="10" s="1"/>
  <c r="AL69" i="10"/>
  <c r="AL77" i="10" s="1"/>
  <c r="AK24" i="9"/>
  <c r="AK56" i="11"/>
  <c r="AK178" i="11" s="1"/>
  <c r="AK26" i="12" s="1"/>
  <c r="AK178" i="9"/>
  <c r="AK89" i="12"/>
  <c r="AK68" i="11"/>
  <c r="AK190" i="11" s="1"/>
  <c r="AK147" i="12" s="1"/>
  <c r="AK29" i="9"/>
  <c r="AK190" i="9"/>
  <c r="W69" i="25"/>
  <c r="AA35" i="12"/>
  <c r="AA43" i="12"/>
  <c r="AA44" i="12" s="1"/>
  <c r="AB83" i="11"/>
  <c r="AB200" i="9"/>
  <c r="AB202" i="9" s="1"/>
  <c r="AB46" i="9"/>
  <c r="AB48" i="9" s="1"/>
  <c r="AB159" i="10"/>
  <c r="AC204" i="11"/>
  <c r="AD204" i="11"/>
  <c r="AM22" i="10"/>
  <c r="AM61" i="10" s="1"/>
  <c r="AL30" i="10"/>
  <c r="AD43" i="10"/>
  <c r="AD44" i="10" s="1"/>
  <c r="AB25" i="9"/>
  <c r="X65" i="25"/>
  <c r="AA108" i="11"/>
  <c r="AI76" i="25"/>
  <c r="AB148" i="10"/>
  <c r="AB179" i="9"/>
  <c r="AC21" i="9"/>
  <c r="AB174" i="11"/>
  <c r="AB57" i="11"/>
  <c r="AA71" i="25"/>
  <c r="AA73" i="25" s="1"/>
  <c r="AD53" i="10"/>
  <c r="AD66" i="10" s="1"/>
  <c r="AD50" i="10"/>
  <c r="AD65" i="10" s="1"/>
  <c r="AC73" i="10"/>
  <c r="AC70" i="10"/>
  <c r="AB80" i="10"/>
  <c r="AB81" i="10" s="1"/>
  <c r="AB82" i="10" s="1"/>
  <c r="AB83" i="10" s="1"/>
  <c r="AE131" i="10"/>
  <c r="AE145" i="10" s="1"/>
  <c r="AE156" i="10" s="1"/>
  <c r="AB69" i="11"/>
  <c r="AB191" i="9"/>
  <c r="AB192" i="9" s="1"/>
  <c r="AB108" i="10"/>
  <c r="AB110" i="10" s="1"/>
  <c r="AB111" i="10" s="1"/>
  <c r="AB112" i="10" s="1"/>
  <c r="AB113" i="10" s="1"/>
  <c r="AB30" i="9"/>
  <c r="AB31" i="9" s="1"/>
  <c r="AB90" i="12"/>
  <c r="AC107" i="10"/>
  <c r="AC102" i="10"/>
  <c r="Y74" i="13"/>
  <c r="Y75" i="13" s="1"/>
  <c r="Y127" i="9"/>
  <c r="Y128" i="9" s="1"/>
  <c r="Y130" i="9" s="1"/>
  <c r="T106" i="9"/>
  <c r="X80" i="13"/>
  <c r="X81" i="13" s="1"/>
  <c r="Y49" i="13"/>
  <c r="Y51" i="13" s="1"/>
  <c r="Y53" i="13" s="1"/>
  <c r="Z140" i="9"/>
  <c r="Z141" i="9" s="1"/>
  <c r="Z146" i="9" s="1"/>
  <c r="AA59" i="13"/>
  <c r="Z69" i="9"/>
  <c r="Z70" i="9" s="1"/>
  <c r="Z71" i="13"/>
  <c r="Z230" i="9" s="1"/>
  <c r="Z229" i="9"/>
  <c r="V84" i="14"/>
  <c r="V100" i="9" s="1"/>
  <c r="W61" i="14"/>
  <c r="T93" i="14"/>
  <c r="T92" i="14"/>
  <c r="T91" i="14"/>
  <c r="U83" i="14"/>
  <c r="V52" i="14"/>
  <c r="AB172" i="12"/>
  <c r="AB193" i="12"/>
  <c r="AD105" i="11"/>
  <c r="AF185" i="9"/>
  <c r="X53" i="13"/>
  <c r="X55" i="13" s="1"/>
  <c r="Z46" i="13"/>
  <c r="AR148" i="15"/>
  <c r="AS138" i="15"/>
  <c r="AR139" i="15"/>
  <c r="AP169" i="15"/>
  <c r="AQ168" i="15"/>
  <c r="AP178" i="15"/>
  <c r="AQ149" i="15"/>
  <c r="AQ151" i="15" s="1"/>
  <c r="AQ152" i="15" s="1"/>
  <c r="AQ153" i="15" s="1"/>
  <c r="AQ134" i="15"/>
  <c r="AQ135" i="15" s="1"/>
  <c r="AQ141" i="15" s="1"/>
  <c r="AQ265" i="9" s="1"/>
  <c r="AR131" i="15"/>
  <c r="AR132" i="15" s="1"/>
  <c r="AQ143" i="9"/>
  <c r="AQ144" i="9" s="1"/>
  <c r="AQ74" i="15"/>
  <c r="AQ75" i="15" s="1"/>
  <c r="AQ81" i="15" s="1"/>
  <c r="AQ246" i="9" s="1"/>
  <c r="AQ247" i="9" s="1"/>
  <c r="AQ249" i="9" s="1"/>
  <c r="AQ276" i="9" s="1"/>
  <c r="AQ103" i="9"/>
  <c r="AQ104" i="9" s="1"/>
  <c r="AR71" i="15"/>
  <c r="AR72" i="15" s="1"/>
  <c r="AQ89" i="15"/>
  <c r="AQ91" i="15" s="1"/>
  <c r="AQ92" i="15" s="1"/>
  <c r="AQ93" i="15" s="1"/>
  <c r="AO154" i="9"/>
  <c r="AO155" i="9" s="1"/>
  <c r="AP161" i="15"/>
  <c r="AP162" i="15" s="1"/>
  <c r="AO179" i="15"/>
  <c r="AO181" i="15" s="1"/>
  <c r="AO182" i="15" s="1"/>
  <c r="AO183" i="15" s="1"/>
  <c r="AO164" i="15"/>
  <c r="AO165" i="15" s="1"/>
  <c r="AO171" i="15" s="1"/>
  <c r="AO266" i="9" s="1"/>
  <c r="AO267" i="9" s="1"/>
  <c r="AO282" i="9" s="1"/>
  <c r="AQ108" i="15"/>
  <c r="AP109" i="15"/>
  <c r="AP118" i="15"/>
  <c r="AR79" i="15"/>
  <c r="AS78" i="15"/>
  <c r="AR88" i="15"/>
  <c r="AO119" i="15"/>
  <c r="AO121" i="15" s="1"/>
  <c r="AO122" i="15" s="1"/>
  <c r="AO123" i="15" s="1"/>
  <c r="AO104" i="15"/>
  <c r="AO105" i="15" s="1"/>
  <c r="AO111" i="15" s="1"/>
  <c r="AO215" i="9" s="1"/>
  <c r="AO216" i="9" s="1"/>
  <c r="AP101" i="15"/>
  <c r="AP102" i="15" s="1"/>
  <c r="AO134" i="9"/>
  <c r="AO135" i="9" s="1"/>
  <c r="AP62" i="15"/>
  <c r="AP63" i="15" s="1"/>
  <c r="AS48" i="15"/>
  <c r="AR49" i="15"/>
  <c r="AR58" i="15"/>
  <c r="AQ59" i="15"/>
  <c r="AQ61" i="15" s="1"/>
  <c r="AQ44" i="15"/>
  <c r="AQ45" i="15" s="1"/>
  <c r="AQ51" i="15" s="1"/>
  <c r="AQ237" i="9" s="1"/>
  <c r="AQ238" i="9" s="1"/>
  <c r="AR41" i="15"/>
  <c r="AR42" i="15" s="1"/>
  <c r="AQ94" i="9"/>
  <c r="AQ95" i="9" s="1"/>
  <c r="AR96" i="12"/>
  <c r="AR97" i="12" s="1"/>
  <c r="AA44" i="13"/>
  <c r="AA68" i="9" s="1"/>
  <c r="AA37" i="13"/>
  <c r="AA139" i="9" s="1"/>
  <c r="AB146" i="11"/>
  <c r="AB133" i="11"/>
  <c r="AB128" i="11"/>
  <c r="AB250" i="12"/>
  <c r="AB258" i="12"/>
  <c r="AB164" i="12"/>
  <c r="AA88" i="13"/>
  <c r="AA156" i="13"/>
  <c r="N49" i="17"/>
  <c r="N47" i="17"/>
  <c r="N174" i="17" s="1"/>
  <c r="M38" i="17"/>
  <c r="M114" i="17"/>
  <c r="O53" i="17"/>
  <c r="O52" i="17"/>
  <c r="M43" i="17"/>
  <c r="N73" i="17"/>
  <c r="AC53" i="11" l="1"/>
  <c r="AC175" i="11" s="1"/>
  <c r="AC23" i="12" s="1"/>
  <c r="AM91" i="10"/>
  <c r="AM100" i="10" s="1"/>
  <c r="AM106" i="10" s="1"/>
  <c r="AM69" i="10"/>
  <c r="AM77" i="10" s="1"/>
  <c r="AL24" i="9"/>
  <c r="AL56" i="11"/>
  <c r="AL178" i="11" s="1"/>
  <c r="AL26" i="12" s="1"/>
  <c r="AL178" i="9"/>
  <c r="AL89" i="12"/>
  <c r="AL29" i="9"/>
  <c r="AL68" i="11"/>
  <c r="AL190" i="11" s="1"/>
  <c r="AL147" i="12" s="1"/>
  <c r="AL190" i="9"/>
  <c r="X69" i="25"/>
  <c r="AB205" i="11"/>
  <c r="AB85" i="11"/>
  <c r="AE199" i="9"/>
  <c r="AE82" i="11"/>
  <c r="AE45" i="9"/>
  <c r="AC154" i="12"/>
  <c r="AA40" i="12"/>
  <c r="AA41" i="12" s="1"/>
  <c r="AB34" i="12"/>
  <c r="AD154" i="12"/>
  <c r="AN22" i="10"/>
  <c r="AN61" i="10" s="1"/>
  <c r="AM30" i="10"/>
  <c r="Y76" i="13"/>
  <c r="Y77" i="13" s="1"/>
  <c r="Y79" i="13" s="1"/>
  <c r="AB33" i="9"/>
  <c r="AJ76" i="25"/>
  <c r="AB53" i="9"/>
  <c r="AB161" i="10"/>
  <c r="AB162" i="10" s="1"/>
  <c r="AB163" i="10" s="1"/>
  <c r="AB164" i="10" s="1"/>
  <c r="AF131" i="10"/>
  <c r="AF145" i="10" s="1"/>
  <c r="AF156" i="10" s="1"/>
  <c r="AE32" i="10"/>
  <c r="AE39" i="10" s="1"/>
  <c r="AF33" i="10"/>
  <c r="AF40" i="10" s="1"/>
  <c r="AE24" i="10"/>
  <c r="AE25" i="10" s="1"/>
  <c r="AD94" i="10"/>
  <c r="AD101" i="10" s="1"/>
  <c r="AD74" i="10"/>
  <c r="AB22" i="12"/>
  <c r="AB179" i="11"/>
  <c r="AB104" i="11" s="1"/>
  <c r="AB131" i="11" s="1"/>
  <c r="AC174" i="9"/>
  <c r="AC179" i="9" s="1"/>
  <c r="AC78" i="10"/>
  <c r="AC133" i="10" s="1"/>
  <c r="AC146" i="10" s="1"/>
  <c r="AC157" i="10" s="1"/>
  <c r="AC52" i="11"/>
  <c r="AC20" i="9"/>
  <c r="AC25" i="9" s="1"/>
  <c r="AD73" i="10"/>
  <c r="AD70" i="10"/>
  <c r="AC90" i="12"/>
  <c r="AC69" i="11"/>
  <c r="AC108" i="10"/>
  <c r="AC110" i="10" s="1"/>
  <c r="AC111" i="10" s="1"/>
  <c r="AC112" i="10" s="1"/>
  <c r="AC113" i="10" s="1"/>
  <c r="AC30" i="9"/>
  <c r="AC31" i="9" s="1"/>
  <c r="AC191" i="9"/>
  <c r="AC192" i="9" s="1"/>
  <c r="AB191" i="11"/>
  <c r="AB148" i="12" s="1"/>
  <c r="AB70" i="11"/>
  <c r="Y54" i="13"/>
  <c r="Y55" i="13" s="1"/>
  <c r="Z72" i="13"/>
  <c r="AA70" i="13"/>
  <c r="AA63" i="13"/>
  <c r="Z48" i="13"/>
  <c r="Z49" i="13" s="1"/>
  <c r="Z126" i="9"/>
  <c r="Z231" i="9"/>
  <c r="Z233" i="9" s="1"/>
  <c r="AA43" i="13"/>
  <c r="W72" i="14"/>
  <c r="W67" i="14"/>
  <c r="AB190" i="12"/>
  <c r="AB191" i="12" s="1"/>
  <c r="AB169" i="12"/>
  <c r="AB170" i="12" s="1"/>
  <c r="V58" i="14"/>
  <c r="V71" i="14"/>
  <c r="V73" i="14" s="1"/>
  <c r="U85" i="14"/>
  <c r="U87" i="14" s="1"/>
  <c r="U88" i="14" s="1"/>
  <c r="U89" i="14" s="1"/>
  <c r="U99" i="9"/>
  <c r="U101" i="9" s="1"/>
  <c r="AI185" i="9"/>
  <c r="AE105" i="11"/>
  <c r="AG105" i="11"/>
  <c r="AB194" i="12"/>
  <c r="AB173" i="12"/>
  <c r="T94" i="14"/>
  <c r="AP164" i="15"/>
  <c r="AP165" i="15" s="1"/>
  <c r="AP171" i="15" s="1"/>
  <c r="AP266" i="9" s="1"/>
  <c r="AP267" i="9" s="1"/>
  <c r="AP282" i="9" s="1"/>
  <c r="AQ161" i="15"/>
  <c r="AQ162" i="15" s="1"/>
  <c r="AP179" i="15"/>
  <c r="AP181" i="15" s="1"/>
  <c r="AP182" i="15" s="1"/>
  <c r="AP183" i="15" s="1"/>
  <c r="AP154" i="9"/>
  <c r="AP155" i="9" s="1"/>
  <c r="AS71" i="15"/>
  <c r="AS72" i="15" s="1"/>
  <c r="AR103" i="9"/>
  <c r="AR104" i="9" s="1"/>
  <c r="AR74" i="15"/>
  <c r="AR75" i="15" s="1"/>
  <c r="AR81" i="15" s="1"/>
  <c r="AR246" i="9" s="1"/>
  <c r="AR247" i="9" s="1"/>
  <c r="AR249" i="9" s="1"/>
  <c r="AR276" i="9" s="1"/>
  <c r="AR89" i="15"/>
  <c r="AR91" i="15" s="1"/>
  <c r="AR92" i="15" s="1"/>
  <c r="AR93" i="15" s="1"/>
  <c r="AQ169" i="15"/>
  <c r="AR168" i="15"/>
  <c r="AQ178" i="15"/>
  <c r="AR108" i="15"/>
  <c r="AQ109" i="15"/>
  <c r="AQ118" i="15"/>
  <c r="AS79" i="15"/>
  <c r="AS88" i="15"/>
  <c r="AQ101" i="15"/>
  <c r="AQ102" i="15" s="1"/>
  <c r="AP134" i="9"/>
  <c r="AP135" i="9" s="1"/>
  <c r="AP119" i="15"/>
  <c r="AP121" i="15" s="1"/>
  <c r="AP122" i="15" s="1"/>
  <c r="AP123" i="15" s="1"/>
  <c r="AP104" i="15"/>
  <c r="AP105" i="15" s="1"/>
  <c r="AP111" i="15" s="1"/>
  <c r="AP215" i="9" s="1"/>
  <c r="AP216" i="9" s="1"/>
  <c r="AS139" i="15"/>
  <c r="AS148" i="15"/>
  <c r="AR134" i="15"/>
  <c r="AR135" i="15" s="1"/>
  <c r="AR141" i="15" s="1"/>
  <c r="AR265" i="9" s="1"/>
  <c r="AR149" i="15"/>
  <c r="AR151" i="15" s="1"/>
  <c r="AR152" i="15" s="1"/>
  <c r="AR153" i="15" s="1"/>
  <c r="AS131" i="15"/>
  <c r="AS132" i="15" s="1"/>
  <c r="AR143" i="9"/>
  <c r="AR144" i="9" s="1"/>
  <c r="AQ62" i="15"/>
  <c r="AQ63" i="15" s="1"/>
  <c r="AB134" i="11"/>
  <c r="AC163" i="12"/>
  <c r="AB259" i="12"/>
  <c r="AB147" i="11"/>
  <c r="AS96" i="12"/>
  <c r="AS97" i="12" s="1"/>
  <c r="AK105" i="12" s="1"/>
  <c r="AC249" i="12"/>
  <c r="AB33" i="13"/>
  <c r="AA45" i="13"/>
  <c r="AA91" i="13"/>
  <c r="AB153" i="13"/>
  <c r="AA152" i="9"/>
  <c r="AR59" i="15"/>
  <c r="AR61" i="15" s="1"/>
  <c r="AR44" i="15"/>
  <c r="AR45" i="15" s="1"/>
  <c r="AR51" i="15" s="1"/>
  <c r="AR237" i="9" s="1"/>
  <c r="AR238" i="9" s="1"/>
  <c r="AS41" i="15"/>
  <c r="AS42" i="15" s="1"/>
  <c r="AR94" i="9"/>
  <c r="AR95" i="9" s="1"/>
  <c r="AS49" i="15"/>
  <c r="AS58" i="15"/>
  <c r="AC127" i="11"/>
  <c r="N175" i="17"/>
  <c r="N48" i="17"/>
  <c r="N36" i="17"/>
  <c r="N172" i="17" s="1"/>
  <c r="M173" i="17"/>
  <c r="M37" i="17"/>
  <c r="AM56" i="11" l="1"/>
  <c r="AM178" i="11" s="1"/>
  <c r="AM26" i="12" s="1"/>
  <c r="AM178" i="9"/>
  <c r="AM24" i="9"/>
  <c r="AN91" i="10"/>
  <c r="AN100" i="10" s="1"/>
  <c r="AN106" i="10" s="1"/>
  <c r="AN69" i="10"/>
  <c r="AN77" i="10" s="1"/>
  <c r="AM89" i="12"/>
  <c r="AM29" i="9"/>
  <c r="AM68" i="11"/>
  <c r="AM190" i="11" s="1"/>
  <c r="AM147" i="12" s="1"/>
  <c r="AM190" i="9"/>
  <c r="AC83" i="11"/>
  <c r="AC200" i="9"/>
  <c r="AC202" i="9" s="1"/>
  <c r="AC46" i="9"/>
  <c r="AC48" i="9" s="1"/>
  <c r="AC159" i="10"/>
  <c r="AB43" i="12"/>
  <c r="AB44" i="12" s="1"/>
  <c r="AB35" i="12"/>
  <c r="AE204" i="11"/>
  <c r="AF82" i="11"/>
  <c r="AF199" i="9"/>
  <c r="AF45" i="9"/>
  <c r="AO22" i="10"/>
  <c r="AO61" i="10" s="1"/>
  <c r="AN30" i="10"/>
  <c r="AB155" i="12"/>
  <c r="AB207" i="11"/>
  <c r="AE53" i="10"/>
  <c r="AE66" i="10" s="1"/>
  <c r="AE94" i="10" s="1"/>
  <c r="AE101" i="10" s="1"/>
  <c r="AE37" i="10"/>
  <c r="AE43" i="10" s="1"/>
  <c r="AE44" i="10" s="1"/>
  <c r="AB55" i="9"/>
  <c r="Y65" i="25" s="1"/>
  <c r="AK76" i="25"/>
  <c r="AB71" i="25"/>
  <c r="AB73" i="25" s="1"/>
  <c r="AC148" i="10"/>
  <c r="AD21" i="9"/>
  <c r="AD175" i="9"/>
  <c r="AD53" i="11"/>
  <c r="AD175" i="11" s="1"/>
  <c r="AD23" i="12" s="1"/>
  <c r="AD107" i="10"/>
  <c r="AD102" i="10"/>
  <c r="AD20" i="9"/>
  <c r="AD52" i="11"/>
  <c r="AD174" i="9"/>
  <c r="AD78" i="10"/>
  <c r="AD133" i="10" s="1"/>
  <c r="AD146" i="10" s="1"/>
  <c r="AD157" i="10" s="1"/>
  <c r="AB192" i="11"/>
  <c r="AB106" i="11" s="1"/>
  <c r="AC33" i="9"/>
  <c r="AE50" i="10"/>
  <c r="AE65" i="10" s="1"/>
  <c r="AC174" i="11"/>
  <c r="AC57" i="11"/>
  <c r="AC80" i="10"/>
  <c r="AC81" i="10" s="1"/>
  <c r="AC82" i="10" s="1"/>
  <c r="AC83" i="10" s="1"/>
  <c r="AF37" i="10"/>
  <c r="AG131" i="10"/>
  <c r="AG145" i="10" s="1"/>
  <c r="AG156" i="10" s="1"/>
  <c r="AG33" i="10"/>
  <c r="AG40" i="10" s="1"/>
  <c r="AF24" i="10"/>
  <c r="AF25" i="10" s="1"/>
  <c r="AF32" i="10"/>
  <c r="AF39" i="10" s="1"/>
  <c r="AC70" i="11"/>
  <c r="AC191" i="11"/>
  <c r="AC148" i="12" s="1"/>
  <c r="U106" i="9"/>
  <c r="Y80" i="13"/>
  <c r="Y81" i="13" s="1"/>
  <c r="AA140" i="9"/>
  <c r="AA141" i="9" s="1"/>
  <c r="AA146" i="9" s="1"/>
  <c r="AB59" i="13"/>
  <c r="Z50" i="13"/>
  <c r="Z51" i="13" s="1"/>
  <c r="Z53" i="13" s="1"/>
  <c r="AA69" i="9"/>
  <c r="AA70" i="9" s="1"/>
  <c r="AA71" i="13"/>
  <c r="AA230" i="9" s="1"/>
  <c r="AA229" i="9"/>
  <c r="Z127" i="9"/>
  <c r="Z128" i="9" s="1"/>
  <c r="Z130" i="9" s="1"/>
  <c r="AA69" i="13"/>
  <c r="Z74" i="13"/>
  <c r="W84" i="14"/>
  <c r="W100" i="9" s="1"/>
  <c r="X61" i="14"/>
  <c r="U93" i="14"/>
  <c r="U92" i="14"/>
  <c r="U91" i="14"/>
  <c r="V83" i="14"/>
  <c r="W52" i="14"/>
  <c r="AH185" i="9"/>
  <c r="AF105" i="11"/>
  <c r="AC193" i="12"/>
  <c r="AC172" i="12"/>
  <c r="AA46" i="13"/>
  <c r="AO105" i="12"/>
  <c r="AO108" i="12" s="1"/>
  <c r="AN105" i="12"/>
  <c r="AN108" i="12" s="1"/>
  <c r="AR101" i="15"/>
  <c r="AR102" i="15" s="1"/>
  <c r="AQ119" i="15"/>
  <c r="AQ121" i="15" s="1"/>
  <c r="AQ122" i="15" s="1"/>
  <c r="AQ123" i="15" s="1"/>
  <c r="AQ134" i="9"/>
  <c r="AQ135" i="9" s="1"/>
  <c r="AQ104" i="15"/>
  <c r="AQ105" i="15" s="1"/>
  <c r="AQ111" i="15" s="1"/>
  <c r="AQ215" i="9" s="1"/>
  <c r="AQ216" i="9" s="1"/>
  <c r="AR109" i="15"/>
  <c r="AS108" i="15"/>
  <c r="AR118" i="15"/>
  <c r="AR161" i="15"/>
  <c r="AR162" i="15" s="1"/>
  <c r="AQ154" i="9"/>
  <c r="AQ155" i="9" s="1"/>
  <c r="AQ164" i="15"/>
  <c r="AQ165" i="15" s="1"/>
  <c r="AQ171" i="15" s="1"/>
  <c r="AQ266" i="9" s="1"/>
  <c r="AQ267" i="9" s="1"/>
  <c r="AQ282" i="9" s="1"/>
  <c r="AQ179" i="15"/>
  <c r="AQ181" i="15" s="1"/>
  <c r="AQ182" i="15" s="1"/>
  <c r="AQ183" i="15" s="1"/>
  <c r="AR178" i="15"/>
  <c r="AR169" i="15"/>
  <c r="AS168" i="15"/>
  <c r="AS149" i="15"/>
  <c r="AS151" i="15" s="1"/>
  <c r="AS152" i="15" s="1"/>
  <c r="AS153" i="15" s="1"/>
  <c r="I153" i="15" s="1"/>
  <c r="K36" i="2" s="1"/>
  <c r="M36" i="2" s="1"/>
  <c r="AS134" i="15"/>
  <c r="AS135" i="15" s="1"/>
  <c r="AS141" i="15" s="1"/>
  <c r="AS265" i="9" s="1"/>
  <c r="AS143" i="9"/>
  <c r="AS144" i="9" s="1"/>
  <c r="AS74" i="15"/>
  <c r="AS75" i="15" s="1"/>
  <c r="AS81" i="15" s="1"/>
  <c r="AS246" i="9" s="1"/>
  <c r="AS247" i="9" s="1"/>
  <c r="AS249" i="9" s="1"/>
  <c r="AS276" i="9" s="1"/>
  <c r="AS103" i="9"/>
  <c r="AS104" i="9" s="1"/>
  <c r="AS89" i="15"/>
  <c r="AS91" i="15" s="1"/>
  <c r="AS92" i="15" s="1"/>
  <c r="AS93" i="15" s="1"/>
  <c r="I93" i="15" s="1"/>
  <c r="K34" i="2" s="1"/>
  <c r="M34" i="2" s="1"/>
  <c r="AC146" i="11"/>
  <c r="AC128" i="11"/>
  <c r="AC133" i="11"/>
  <c r="AB88" i="13"/>
  <c r="AB156" i="13"/>
  <c r="AS105" i="12"/>
  <c r="J105" i="12"/>
  <c r="K105" i="12"/>
  <c r="M105" i="12"/>
  <c r="L105" i="12"/>
  <c r="N105" i="12"/>
  <c r="O105" i="12"/>
  <c r="P105" i="12"/>
  <c r="Q105" i="12"/>
  <c r="R105" i="12"/>
  <c r="S105" i="12"/>
  <c r="T105" i="12"/>
  <c r="W105" i="12"/>
  <c r="U105" i="12"/>
  <c r="V105" i="12"/>
  <c r="X105" i="12"/>
  <c r="Y105" i="12"/>
  <c r="AB105" i="12"/>
  <c r="Z105" i="12"/>
  <c r="AA105" i="12"/>
  <c r="AC105" i="12"/>
  <c r="AE105" i="12"/>
  <c r="AF105" i="12"/>
  <c r="AD105" i="12"/>
  <c r="AG105" i="12"/>
  <c r="AH105" i="12"/>
  <c r="AJ105" i="12"/>
  <c r="AI105" i="12"/>
  <c r="AM105" i="12"/>
  <c r="AR62" i="15"/>
  <c r="AR63" i="15" s="1"/>
  <c r="AR105" i="12"/>
  <c r="AS59" i="15"/>
  <c r="AS61" i="15" s="1"/>
  <c r="AS44" i="15"/>
  <c r="AS45" i="15" s="1"/>
  <c r="AS51" i="15" s="1"/>
  <c r="AS237" i="9" s="1"/>
  <c r="AS238" i="9" s="1"/>
  <c r="AS94" i="9"/>
  <c r="AS95" i="9" s="1"/>
  <c r="AC164" i="12"/>
  <c r="AC250" i="12"/>
  <c r="AC258" i="12"/>
  <c r="AQ105" i="12"/>
  <c r="AK108" i="12"/>
  <c r="AK104" i="12"/>
  <c r="AK107" i="12" s="1"/>
  <c r="AK109" i="12" s="1"/>
  <c r="AP105" i="12"/>
  <c r="AB37" i="13"/>
  <c r="AB139" i="9" s="1"/>
  <c r="AB44" i="13"/>
  <c r="AB68" i="9" s="1"/>
  <c r="AL105" i="12"/>
  <c r="P53" i="17"/>
  <c r="Q53" i="17" s="1"/>
  <c r="O73" i="17"/>
  <c r="O49" i="17"/>
  <c r="O47" i="17"/>
  <c r="O174" i="17" s="1"/>
  <c r="N114" i="17"/>
  <c r="N38" i="17"/>
  <c r="P52" i="17"/>
  <c r="Q52" i="17" s="1"/>
  <c r="N43" i="17"/>
  <c r="AN24" i="9" l="1"/>
  <c r="AN56" i="11"/>
  <c r="AN178" i="11" s="1"/>
  <c r="AN26" i="12" s="1"/>
  <c r="AN178" i="9"/>
  <c r="AN89" i="12"/>
  <c r="AN29" i="9"/>
  <c r="AN68" i="11"/>
  <c r="AN190" i="11" s="1"/>
  <c r="AN147" i="12" s="1"/>
  <c r="AN190" i="9"/>
  <c r="AO91" i="10"/>
  <c r="AO100" i="10" s="1"/>
  <c r="AO106" i="10" s="1"/>
  <c r="AO69" i="10"/>
  <c r="AO77" i="10" s="1"/>
  <c r="Y69" i="25"/>
  <c r="AE74" i="10"/>
  <c r="AE175" i="9" s="1"/>
  <c r="AD200" i="9"/>
  <c r="AD202" i="9" s="1"/>
  <c r="AD83" i="11"/>
  <c r="AD46" i="9"/>
  <c r="AD48" i="9" s="1"/>
  <c r="AD159" i="10"/>
  <c r="AF204" i="11"/>
  <c r="AP22" i="10"/>
  <c r="AP61" i="10" s="1"/>
  <c r="AO30" i="10"/>
  <c r="AE154" i="12"/>
  <c r="AG82" i="11"/>
  <c r="AG199" i="9"/>
  <c r="AG45" i="9"/>
  <c r="AB40" i="12"/>
  <c r="AB41" i="12" s="1"/>
  <c r="AC34" i="12"/>
  <c r="AC205" i="11"/>
  <c r="AC85" i="11"/>
  <c r="AF43" i="10"/>
  <c r="AF44" i="10" s="1"/>
  <c r="AB64" i="9"/>
  <c r="AL76" i="25"/>
  <c r="AD148" i="10"/>
  <c r="AC161" i="10"/>
  <c r="AC162" i="10" s="1"/>
  <c r="AC163" i="10" s="1"/>
  <c r="AC164" i="10" s="1"/>
  <c r="AC53" i="9"/>
  <c r="AC55" i="9" s="1"/>
  <c r="AB108" i="11"/>
  <c r="AD25" i="9"/>
  <c r="AE107" i="10"/>
  <c r="AE102" i="10"/>
  <c r="AF50" i="10"/>
  <c r="AF65" i="10" s="1"/>
  <c r="AC71" i="25"/>
  <c r="AC73" i="25" s="1"/>
  <c r="AF53" i="10"/>
  <c r="AF66" i="10" s="1"/>
  <c r="AC192" i="11"/>
  <c r="AC106" i="11" s="1"/>
  <c r="AD69" i="11"/>
  <c r="AD191" i="9"/>
  <c r="AD192" i="9" s="1"/>
  <c r="AD90" i="12"/>
  <c r="AD30" i="9"/>
  <c r="AD31" i="9" s="1"/>
  <c r="AD108" i="10"/>
  <c r="AD110" i="10" s="1"/>
  <c r="AD111" i="10" s="1"/>
  <c r="AD112" i="10" s="1"/>
  <c r="AD113" i="10" s="1"/>
  <c r="AG37" i="10"/>
  <c r="AC22" i="12"/>
  <c r="AC179" i="11"/>
  <c r="AC104" i="11" s="1"/>
  <c r="AC131" i="11" s="1"/>
  <c r="AD80" i="10"/>
  <c r="AD81" i="10" s="1"/>
  <c r="AD82" i="10" s="1"/>
  <c r="AD83" i="10" s="1"/>
  <c r="AG32" i="10"/>
  <c r="AG39" i="10" s="1"/>
  <c r="AG24" i="10"/>
  <c r="AG25" i="10" s="1"/>
  <c r="AH131" i="10"/>
  <c r="AH145" i="10" s="1"/>
  <c r="AH156" i="10" s="1"/>
  <c r="AH33" i="10"/>
  <c r="AH40" i="10" s="1"/>
  <c r="AD174" i="11"/>
  <c r="AD57" i="11"/>
  <c r="AE73" i="10"/>
  <c r="AE70" i="10"/>
  <c r="AD179" i="9"/>
  <c r="Z54" i="13"/>
  <c r="Z55" i="13" s="1"/>
  <c r="AA231" i="9"/>
  <c r="AA233" i="9" s="1"/>
  <c r="AA48" i="13"/>
  <c r="AA49" i="13" s="1"/>
  <c r="AA126" i="9"/>
  <c r="Z75" i="13"/>
  <c r="Z76" i="13"/>
  <c r="AB63" i="13"/>
  <c r="AB70" i="13"/>
  <c r="AA72" i="13"/>
  <c r="X67" i="14"/>
  <c r="X72" i="14"/>
  <c r="AC169" i="12"/>
  <c r="AC170" i="12" s="1"/>
  <c r="AC190" i="12"/>
  <c r="AC191" i="12" s="1"/>
  <c r="W71" i="14"/>
  <c r="W73" i="14" s="1"/>
  <c r="W58" i="14"/>
  <c r="V99" i="9"/>
  <c r="V101" i="9" s="1"/>
  <c r="V106" i="9" s="1"/>
  <c r="V85" i="14"/>
  <c r="V87" i="14" s="1"/>
  <c r="V88" i="14" s="1"/>
  <c r="V89" i="14" s="1"/>
  <c r="AC173" i="12"/>
  <c r="AC194" i="12"/>
  <c r="AI105" i="11"/>
  <c r="AJ185" i="9"/>
  <c r="AN104" i="12"/>
  <c r="AN107" i="12" s="1"/>
  <c r="AN109" i="12" s="1"/>
  <c r="AO104" i="12"/>
  <c r="AO107" i="12" s="1"/>
  <c r="AO109" i="12" s="1"/>
  <c r="AB43" i="13"/>
  <c r="AS178" i="15"/>
  <c r="AS169" i="15"/>
  <c r="U94" i="14"/>
  <c r="AR179" i="15"/>
  <c r="AR181" i="15" s="1"/>
  <c r="AR182" i="15" s="1"/>
  <c r="AR183" i="15" s="1"/>
  <c r="AR164" i="15"/>
  <c r="AR165" i="15" s="1"/>
  <c r="AR171" i="15" s="1"/>
  <c r="AR266" i="9" s="1"/>
  <c r="AR267" i="9" s="1"/>
  <c r="AR282" i="9" s="1"/>
  <c r="AR154" i="9"/>
  <c r="AR155" i="9" s="1"/>
  <c r="AS161" i="15"/>
  <c r="AS162" i="15" s="1"/>
  <c r="AR119" i="15"/>
  <c r="AR121" i="15" s="1"/>
  <c r="AR122" i="15" s="1"/>
  <c r="AR123" i="15" s="1"/>
  <c r="AR104" i="15"/>
  <c r="AR105" i="15" s="1"/>
  <c r="AR111" i="15" s="1"/>
  <c r="AR215" i="9" s="1"/>
  <c r="AR216" i="9" s="1"/>
  <c r="AS101" i="15"/>
  <c r="AS102" i="15" s="1"/>
  <c r="AR134" i="9"/>
  <c r="AR135" i="9" s="1"/>
  <c r="AS109" i="15"/>
  <c r="AS118" i="15"/>
  <c r="AC259" i="12"/>
  <c r="AP108" i="12"/>
  <c r="AP104" i="12"/>
  <c r="AP107" i="12" s="1"/>
  <c r="AP109" i="12" s="1"/>
  <c r="AD249" i="12"/>
  <c r="AI108" i="12"/>
  <c r="AI104" i="12"/>
  <c r="AI107" i="12" s="1"/>
  <c r="AI109" i="12" s="1"/>
  <c r="AA108" i="12"/>
  <c r="AA104" i="12"/>
  <c r="AA107" i="12" s="1"/>
  <c r="AA109" i="12" s="1"/>
  <c r="T108" i="12"/>
  <c r="T104" i="12"/>
  <c r="T107" i="12" s="1"/>
  <c r="T109" i="12" s="1"/>
  <c r="M108" i="12"/>
  <c r="M104" i="12"/>
  <c r="M107" i="12" s="1"/>
  <c r="M109" i="12" s="1"/>
  <c r="AD127" i="11"/>
  <c r="AC33" i="13"/>
  <c r="AM108" i="12"/>
  <c r="AM104" i="12"/>
  <c r="AM107" i="12" s="1"/>
  <c r="AM109" i="12" s="1"/>
  <c r="AR108" i="12"/>
  <c r="AR104" i="12"/>
  <c r="AR107" i="12" s="1"/>
  <c r="AR109" i="12" s="1"/>
  <c r="AJ108" i="12"/>
  <c r="AJ104" i="12"/>
  <c r="AJ107" i="12" s="1"/>
  <c r="AJ109" i="12" s="1"/>
  <c r="Z108" i="12"/>
  <c r="Z104" i="12"/>
  <c r="Z107" i="12" s="1"/>
  <c r="Z109" i="12" s="1"/>
  <c r="S108" i="12"/>
  <c r="S104" i="12"/>
  <c r="S107" i="12" s="1"/>
  <c r="S109" i="12" s="1"/>
  <c r="K108" i="12"/>
  <c r="K104" i="12"/>
  <c r="K107" i="12" s="1"/>
  <c r="K109" i="12" s="1"/>
  <c r="AC147" i="11"/>
  <c r="AS62" i="15"/>
  <c r="AS63" i="15" s="1"/>
  <c r="I63" i="15" s="1"/>
  <c r="K33" i="2" s="1"/>
  <c r="M33" i="2" s="1"/>
  <c r="AH108" i="12"/>
  <c r="AH104" i="12"/>
  <c r="AH107" i="12" s="1"/>
  <c r="AH109" i="12" s="1"/>
  <c r="AB108" i="12"/>
  <c r="AB104" i="12"/>
  <c r="AB107" i="12" s="1"/>
  <c r="AB109" i="12" s="1"/>
  <c r="R108" i="12"/>
  <c r="R104" i="12"/>
  <c r="R107" i="12" s="1"/>
  <c r="R109" i="12" s="1"/>
  <c r="J108" i="12"/>
  <c r="J104" i="12"/>
  <c r="J107" i="12" s="1"/>
  <c r="J109" i="12" s="1"/>
  <c r="AG108" i="12"/>
  <c r="AG104" i="12"/>
  <c r="AG107" i="12" s="1"/>
  <c r="AG109" i="12" s="1"/>
  <c r="Y108" i="12"/>
  <c r="Y104" i="12"/>
  <c r="Y107" i="12" s="1"/>
  <c r="Y109" i="12" s="1"/>
  <c r="Q108" i="12"/>
  <c r="Q104" i="12"/>
  <c r="Q107" i="12" s="1"/>
  <c r="Q109" i="12" s="1"/>
  <c r="AS108" i="12"/>
  <c r="AS104" i="12"/>
  <c r="AS107" i="12" s="1"/>
  <c r="AS109" i="12" s="1"/>
  <c r="W108" i="12"/>
  <c r="W104" i="12"/>
  <c r="W107" i="12" s="1"/>
  <c r="W109" i="12" s="1"/>
  <c r="AC134" i="11"/>
  <c r="AK110" i="12"/>
  <c r="AK111" i="12"/>
  <c r="AD108" i="12"/>
  <c r="AD104" i="12"/>
  <c r="AD107" i="12" s="1"/>
  <c r="AD109" i="12" s="1"/>
  <c r="X108" i="12"/>
  <c r="X104" i="12"/>
  <c r="X107" i="12" s="1"/>
  <c r="X109" i="12" s="1"/>
  <c r="P108" i="12"/>
  <c r="P104" i="12"/>
  <c r="P107" i="12" s="1"/>
  <c r="P109" i="12" s="1"/>
  <c r="AC108" i="12"/>
  <c r="AC104" i="12"/>
  <c r="AC107" i="12" s="1"/>
  <c r="AC109" i="12" s="1"/>
  <c r="L108" i="12"/>
  <c r="L104" i="12"/>
  <c r="L107" i="12" s="1"/>
  <c r="L109" i="12" s="1"/>
  <c r="AL108" i="12"/>
  <c r="AL104" i="12"/>
  <c r="AL107" i="12" s="1"/>
  <c r="AL109" i="12" s="1"/>
  <c r="AK106" i="12"/>
  <c r="AD163" i="12"/>
  <c r="AF108" i="12"/>
  <c r="AF104" i="12"/>
  <c r="AF107" i="12" s="1"/>
  <c r="AF109" i="12" s="1"/>
  <c r="V108" i="12"/>
  <c r="V104" i="12"/>
  <c r="V107" i="12" s="1"/>
  <c r="V109" i="12" s="1"/>
  <c r="O108" i="12"/>
  <c r="O104" i="12"/>
  <c r="O107" i="12" s="1"/>
  <c r="O109" i="12" s="1"/>
  <c r="AB91" i="13"/>
  <c r="AC153" i="13"/>
  <c r="AB152" i="9"/>
  <c r="AB45" i="13"/>
  <c r="AQ108" i="12"/>
  <c r="AQ104" i="12"/>
  <c r="AQ107" i="12" s="1"/>
  <c r="AQ109" i="12" s="1"/>
  <c r="AE108" i="12"/>
  <c r="AE104" i="12"/>
  <c r="AE107" i="12" s="1"/>
  <c r="AE109" i="12" s="1"/>
  <c r="U108" i="12"/>
  <c r="U104" i="12"/>
  <c r="U107" i="12" s="1"/>
  <c r="U109" i="12" s="1"/>
  <c r="N108" i="12"/>
  <c r="N104" i="12"/>
  <c r="N107" i="12" s="1"/>
  <c r="N109" i="12" s="1"/>
  <c r="P47" i="17"/>
  <c r="P174" i="17" s="1"/>
  <c r="O48" i="17"/>
  <c r="O175" i="17"/>
  <c r="N173" i="17"/>
  <c r="N37" i="17"/>
  <c r="O36" i="17"/>
  <c r="O172" i="17" s="1"/>
  <c r="AE21" i="9" l="1"/>
  <c r="AO190" i="9"/>
  <c r="AO68" i="11"/>
  <c r="AO190" i="11" s="1"/>
  <c r="AO147" i="12" s="1"/>
  <c r="AO89" i="12"/>
  <c r="AO29" i="9"/>
  <c r="AE53" i="11"/>
  <c r="AE175" i="11" s="1"/>
  <c r="AE23" i="12" s="1"/>
  <c r="AP91" i="10"/>
  <c r="AP100" i="10" s="1"/>
  <c r="AP106" i="10" s="1"/>
  <c r="AP69" i="10"/>
  <c r="AP77" i="10" s="1"/>
  <c r="AO24" i="9"/>
  <c r="AO56" i="11"/>
  <c r="AO178" i="11" s="1"/>
  <c r="AO26" i="12" s="1"/>
  <c r="AO178" i="9"/>
  <c r="AC43" i="12"/>
  <c r="AC44" i="12" s="1"/>
  <c r="AC35" i="12"/>
  <c r="AF154" i="12"/>
  <c r="AD205" i="11"/>
  <c r="AD85" i="11"/>
  <c r="AG204" i="11"/>
  <c r="AQ22" i="10"/>
  <c r="AQ61" i="10" s="1"/>
  <c r="AP30" i="10"/>
  <c r="AH199" i="9"/>
  <c r="AH82" i="11"/>
  <c r="AH45" i="9"/>
  <c r="AG43" i="10"/>
  <c r="AG44" i="10" s="1"/>
  <c r="AC155" i="12"/>
  <c r="AC207" i="11"/>
  <c r="AD33" i="9"/>
  <c r="AM76" i="25"/>
  <c r="AD53" i="9"/>
  <c r="AD161" i="10"/>
  <c r="AD162" i="10" s="1"/>
  <c r="AD163" i="10" s="1"/>
  <c r="AD164" i="10" s="1"/>
  <c r="AH37" i="10"/>
  <c r="AD70" i="11"/>
  <c r="AD191" i="11"/>
  <c r="AD148" i="12" s="1"/>
  <c r="AF94" i="10"/>
  <c r="AF101" i="10" s="1"/>
  <c r="AF74" i="10"/>
  <c r="AE20" i="9"/>
  <c r="AE25" i="9" s="1"/>
  <c r="AE174" i="9"/>
  <c r="AE179" i="9" s="1"/>
  <c r="AE52" i="11"/>
  <c r="AG50" i="10"/>
  <c r="AG65" i="10" s="1"/>
  <c r="AC64" i="9"/>
  <c r="Z65" i="25"/>
  <c r="AH24" i="10"/>
  <c r="AH25" i="10" s="1"/>
  <c r="AI131" i="10"/>
  <c r="AI145" i="10" s="1"/>
  <c r="AI156" i="10" s="1"/>
  <c r="AH32" i="10"/>
  <c r="AH39" i="10" s="1"/>
  <c r="AI33" i="10"/>
  <c r="AI40" i="10" s="1"/>
  <c r="AF73" i="10"/>
  <c r="AF70" i="10"/>
  <c r="AE78" i="10"/>
  <c r="AE133" i="10" s="1"/>
  <c r="AE146" i="10" s="1"/>
  <c r="AE157" i="10" s="1"/>
  <c r="AD22" i="12"/>
  <c r="AD179" i="11"/>
  <c r="AD104" i="11" s="1"/>
  <c r="AD131" i="11" s="1"/>
  <c r="AD71" i="25"/>
  <c r="AD73" i="25" s="1"/>
  <c r="AG53" i="10"/>
  <c r="AG66" i="10" s="1"/>
  <c r="AE69" i="11"/>
  <c r="AE191" i="9"/>
  <c r="AE192" i="9" s="1"/>
  <c r="AE30" i="9"/>
  <c r="AE31" i="9" s="1"/>
  <c r="AE90" i="12"/>
  <c r="AE108" i="10"/>
  <c r="AE110" i="10" s="1"/>
  <c r="AE111" i="10" s="1"/>
  <c r="AE112" i="10" s="1"/>
  <c r="AE113" i="10" s="1"/>
  <c r="Z77" i="13"/>
  <c r="Z80" i="13" s="1"/>
  <c r="AA50" i="13"/>
  <c r="AA51" i="13" s="1"/>
  <c r="AA53" i="13" s="1"/>
  <c r="AA127" i="9"/>
  <c r="AA128" i="9" s="1"/>
  <c r="AA130" i="9" s="1"/>
  <c r="AB69" i="13"/>
  <c r="AA74" i="13"/>
  <c r="AB229" i="9"/>
  <c r="AB69" i="9"/>
  <c r="AB70" i="9" s="1"/>
  <c r="AB71" i="13"/>
  <c r="AB230" i="9" s="1"/>
  <c r="AB140" i="9"/>
  <c r="AB141" i="9" s="1"/>
  <c r="AB146" i="9" s="1"/>
  <c r="AC59" i="13"/>
  <c r="AO106" i="12"/>
  <c r="AN111" i="12"/>
  <c r="AN106" i="12"/>
  <c r="Y61" i="14"/>
  <c r="X84" i="14"/>
  <c r="X100" i="9" s="1"/>
  <c r="V92" i="14"/>
  <c r="V93" i="14"/>
  <c r="V91" i="14"/>
  <c r="W83" i="14"/>
  <c r="X52" i="14"/>
  <c r="AD172" i="12"/>
  <c r="AD193" i="12"/>
  <c r="AH105" i="11"/>
  <c r="AN110" i="12"/>
  <c r="AQ106" i="12"/>
  <c r="AE106" i="12"/>
  <c r="AO111" i="12"/>
  <c r="AO110" i="12"/>
  <c r="V106" i="12"/>
  <c r="Z106" i="12"/>
  <c r="O106" i="12"/>
  <c r="Y106" i="12"/>
  <c r="L106" i="12"/>
  <c r="AH106" i="12"/>
  <c r="AL106" i="12"/>
  <c r="W106" i="12"/>
  <c r="AM106" i="12"/>
  <c r="AS134" i="9"/>
  <c r="AS135" i="9" s="1"/>
  <c r="AS104" i="15"/>
  <c r="AS105" i="15" s="1"/>
  <c r="AS111" i="15" s="1"/>
  <c r="AS215" i="9" s="1"/>
  <c r="AS216" i="9" s="1"/>
  <c r="AS119" i="15"/>
  <c r="AS121" i="15" s="1"/>
  <c r="AS122" i="15" s="1"/>
  <c r="AS123" i="15" s="1"/>
  <c r="I123" i="15" s="1"/>
  <c r="K35" i="2" s="1"/>
  <c r="M35" i="2" s="1"/>
  <c r="AD106" i="12"/>
  <c r="AP106" i="12"/>
  <c r="AS179" i="15"/>
  <c r="AS181" i="15" s="1"/>
  <c r="AS182" i="15" s="1"/>
  <c r="AS183" i="15" s="1"/>
  <c r="I183" i="15" s="1"/>
  <c r="K37" i="2" s="1"/>
  <c r="M37" i="2" s="1"/>
  <c r="AS164" i="15"/>
  <c r="AS165" i="15" s="1"/>
  <c r="AS171" i="15" s="1"/>
  <c r="AS266" i="9" s="1"/>
  <c r="AS267" i="9" s="1"/>
  <c r="AS282" i="9" s="1"/>
  <c r="AS154" i="9"/>
  <c r="AS155" i="9" s="1"/>
  <c r="AB110" i="12"/>
  <c r="AB111" i="12"/>
  <c r="Z110" i="12"/>
  <c r="Z111" i="12"/>
  <c r="AD258" i="12"/>
  <c r="AD250" i="12"/>
  <c r="U106" i="12"/>
  <c r="AF106" i="12"/>
  <c r="AK112" i="12"/>
  <c r="AC110" i="12"/>
  <c r="AC111" i="12"/>
  <c r="P106" i="12"/>
  <c r="AS110" i="12"/>
  <c r="AS111" i="12"/>
  <c r="AG106" i="12"/>
  <c r="J106" i="12"/>
  <c r="AB106" i="12"/>
  <c r="K106" i="12"/>
  <c r="AD128" i="11"/>
  <c r="AD146" i="11"/>
  <c r="AD133" i="11"/>
  <c r="AA110" i="12"/>
  <c r="AA111" i="12"/>
  <c r="AA106" i="12"/>
  <c r="X110" i="12"/>
  <c r="X111" i="12"/>
  <c r="AG110" i="12"/>
  <c r="AG111" i="12"/>
  <c r="J110" i="12"/>
  <c r="J111" i="12"/>
  <c r="K110" i="12"/>
  <c r="K111" i="12"/>
  <c r="AJ110" i="12"/>
  <c r="AJ111" i="12"/>
  <c r="M110" i="12"/>
  <c r="M111" i="12"/>
  <c r="AP110" i="12"/>
  <c r="AP111" i="12"/>
  <c r="AQ110" i="12"/>
  <c r="AQ111" i="12"/>
  <c r="AC106" i="12"/>
  <c r="AE110" i="12"/>
  <c r="AE111" i="12"/>
  <c r="AL110" i="12"/>
  <c r="AL111" i="12"/>
  <c r="X106" i="12"/>
  <c r="Q110" i="12"/>
  <c r="Q111" i="12"/>
  <c r="AB46" i="13"/>
  <c r="AB126" i="9" s="1"/>
  <c r="AH110" i="12"/>
  <c r="AH111" i="12"/>
  <c r="AJ106" i="12"/>
  <c r="M106" i="12"/>
  <c r="AI110" i="12"/>
  <c r="AI111" i="12"/>
  <c r="AS106" i="12"/>
  <c r="Q106" i="12"/>
  <c r="R110" i="12"/>
  <c r="R111" i="12"/>
  <c r="S110" i="12"/>
  <c r="S111" i="12"/>
  <c r="AM110" i="12"/>
  <c r="AM111" i="12"/>
  <c r="AI106" i="12"/>
  <c r="U110" i="12"/>
  <c r="U111" i="12"/>
  <c r="AF110" i="12"/>
  <c r="AF111" i="12"/>
  <c r="P110" i="12"/>
  <c r="P111" i="12"/>
  <c r="O110" i="12"/>
  <c r="O111" i="12"/>
  <c r="N110" i="12"/>
  <c r="N111" i="12"/>
  <c r="N106" i="12"/>
  <c r="AC156" i="13"/>
  <c r="AC88" i="13"/>
  <c r="V110" i="12"/>
  <c r="V111" i="12"/>
  <c r="AD164" i="12"/>
  <c r="L110" i="12"/>
  <c r="L111" i="12"/>
  <c r="R106" i="12"/>
  <c r="S106" i="12"/>
  <c r="AR110" i="12"/>
  <c r="AR111" i="12"/>
  <c r="T110" i="12"/>
  <c r="T111" i="12"/>
  <c r="AD110" i="12"/>
  <c r="AD111" i="12"/>
  <c r="W110" i="12"/>
  <c r="W111" i="12"/>
  <c r="Y110" i="12"/>
  <c r="Y111" i="12"/>
  <c r="AR106" i="12"/>
  <c r="AC44" i="13"/>
  <c r="AC68" i="9" s="1"/>
  <c r="AC37" i="13"/>
  <c r="AC139" i="9" s="1"/>
  <c r="T106" i="12"/>
  <c r="P49" i="17"/>
  <c r="Q49" i="17" s="1"/>
  <c r="E185" i="17" s="1"/>
  <c r="Q47" i="17"/>
  <c r="P36" i="17"/>
  <c r="O114" i="17"/>
  <c r="O38" i="17"/>
  <c r="P73" i="17"/>
  <c r="Q73" i="17" s="1"/>
  <c r="E210" i="17" s="1"/>
  <c r="O43" i="17"/>
  <c r="AP68" i="11" l="1"/>
  <c r="AP190" i="11" s="1"/>
  <c r="AP147" i="12" s="1"/>
  <c r="AP190" i="9"/>
  <c r="AP89" i="12"/>
  <c r="AP29" i="9"/>
  <c r="AQ91" i="10"/>
  <c r="AQ100" i="10" s="1"/>
  <c r="AQ106" i="10" s="1"/>
  <c r="AQ69" i="10"/>
  <c r="AQ77" i="10" s="1"/>
  <c r="AP56" i="11"/>
  <c r="AP178" i="11" s="1"/>
  <c r="AP26" i="12" s="1"/>
  <c r="AP24" i="9"/>
  <c r="AP178" i="9"/>
  <c r="Z69" i="25"/>
  <c r="AE200" i="9"/>
  <c r="AE202" i="9" s="1"/>
  <c r="AE83" i="11"/>
  <c r="AE46" i="9"/>
  <c r="AE48" i="9" s="1"/>
  <c r="AE159" i="10"/>
  <c r="AD155" i="12"/>
  <c r="AD207" i="11"/>
  <c r="AI82" i="11"/>
  <c r="AI199" i="9"/>
  <c r="AI45" i="9"/>
  <c r="AR22" i="10"/>
  <c r="AR61" i="10" s="1"/>
  <c r="AQ30" i="10"/>
  <c r="AC40" i="12"/>
  <c r="AC41" i="12" s="1"/>
  <c r="AD34" i="12"/>
  <c r="AH204" i="11"/>
  <c r="AG154" i="12"/>
  <c r="AH43" i="10"/>
  <c r="AH44" i="10" s="1"/>
  <c r="AD55" i="9"/>
  <c r="AA65" i="25" s="1"/>
  <c r="AN76" i="25"/>
  <c r="AC108" i="11"/>
  <c r="AE148" i="10"/>
  <c r="AE33" i="9"/>
  <c r="AE80" i="10"/>
  <c r="AE81" i="10" s="1"/>
  <c r="AE82" i="10" s="1"/>
  <c r="AE83" i="10" s="1"/>
  <c r="AG74" i="10"/>
  <c r="AG94" i="10"/>
  <c r="AG101" i="10" s="1"/>
  <c r="AF20" i="9"/>
  <c r="AF52" i="11"/>
  <c r="AF174" i="9"/>
  <c r="AF78" i="10"/>
  <c r="AF53" i="11"/>
  <c r="AF175" i="11" s="1"/>
  <c r="AF23" i="12" s="1"/>
  <c r="AF21" i="9"/>
  <c r="AF175" i="9"/>
  <c r="AE191" i="11"/>
  <c r="AE148" i="12" s="1"/>
  <c r="AE70" i="11"/>
  <c r="AH50" i="10"/>
  <c r="AH65" i="10" s="1"/>
  <c r="AG73" i="10"/>
  <c r="AG70" i="10"/>
  <c r="AF107" i="10"/>
  <c r="AF102" i="10"/>
  <c r="AI37" i="10"/>
  <c r="AD192" i="11"/>
  <c r="AD106" i="11" s="1"/>
  <c r="AE174" i="11"/>
  <c r="AE57" i="11"/>
  <c r="AJ131" i="10"/>
  <c r="AJ145" i="10" s="1"/>
  <c r="AJ156" i="10" s="1"/>
  <c r="AJ33" i="10"/>
  <c r="AJ40" i="10" s="1"/>
  <c r="AI32" i="10"/>
  <c r="AI39" i="10" s="1"/>
  <c r="AI24" i="10"/>
  <c r="AI25" i="10" s="1"/>
  <c r="AE71" i="25"/>
  <c r="AE73" i="25" s="1"/>
  <c r="AH53" i="10"/>
  <c r="AH66" i="10" s="1"/>
  <c r="AA54" i="13"/>
  <c r="AA55" i="13" s="1"/>
  <c r="Z79" i="13"/>
  <c r="Z81" i="13" s="1"/>
  <c r="AB231" i="9"/>
  <c r="AB233" i="9" s="1"/>
  <c r="AB72" i="13"/>
  <c r="AB127" i="9" s="1"/>
  <c r="AB128" i="9" s="1"/>
  <c r="AB130" i="9" s="1"/>
  <c r="AC70" i="13"/>
  <c r="AC63" i="13"/>
  <c r="AA76" i="13"/>
  <c r="AA75" i="13"/>
  <c r="AN112" i="12"/>
  <c r="AN130" i="12" s="1"/>
  <c r="AN91" i="9" s="1"/>
  <c r="AN92" i="9" s="1"/>
  <c r="Y67" i="14"/>
  <c r="Y72" i="14"/>
  <c r="AD190" i="12"/>
  <c r="AD191" i="12" s="1"/>
  <c r="AD169" i="12"/>
  <c r="AD170" i="12" s="1"/>
  <c r="X71" i="14"/>
  <c r="X73" i="14" s="1"/>
  <c r="X58" i="14"/>
  <c r="W99" i="9"/>
  <c r="W101" i="9" s="1"/>
  <c r="W106" i="9" s="1"/>
  <c r="W85" i="14"/>
  <c r="W87" i="14" s="1"/>
  <c r="W88" i="14" s="1"/>
  <c r="W89" i="14" s="1"/>
  <c r="AJ105" i="11"/>
  <c r="AK185" i="9"/>
  <c r="AD194" i="12"/>
  <c r="AD173" i="12"/>
  <c r="AO112" i="12"/>
  <c r="AO130" i="12" s="1"/>
  <c r="AL112" i="12"/>
  <c r="AL130" i="12" s="1"/>
  <c r="O112" i="12"/>
  <c r="O130" i="12" s="1"/>
  <c r="W112" i="12"/>
  <c r="X100" i="12" s="1"/>
  <c r="X118" i="12" s="1"/>
  <c r="X119" i="12" s="1"/>
  <c r="Q112" i="12"/>
  <c r="Q130" i="12" s="1"/>
  <c r="Z112" i="12"/>
  <c r="AA100" i="12" s="1"/>
  <c r="AA118" i="12" s="1"/>
  <c r="AA119" i="12" s="1"/>
  <c r="V94" i="14"/>
  <c r="AD112" i="12"/>
  <c r="AD130" i="12" s="1"/>
  <c r="AH112" i="12"/>
  <c r="AH130" i="12" s="1"/>
  <c r="AP112" i="12"/>
  <c r="AP130" i="12" s="1"/>
  <c r="AE112" i="12"/>
  <c r="AF100" i="12" s="1"/>
  <c r="AF118" i="12" s="1"/>
  <c r="AF119" i="12" s="1"/>
  <c r="Y112" i="12"/>
  <c r="Y130" i="12" s="1"/>
  <c r="V112" i="12"/>
  <c r="V130" i="12" s="1"/>
  <c r="AM112" i="12"/>
  <c r="AM130" i="12" s="1"/>
  <c r="AQ112" i="12"/>
  <c r="AQ130" i="12" s="1"/>
  <c r="AS112" i="12"/>
  <c r="AS130" i="12" s="1"/>
  <c r="AA112" i="12"/>
  <c r="AA130" i="12" s="1"/>
  <c r="P112" i="12"/>
  <c r="Q100" i="12" s="1"/>
  <c r="Q118" i="12" s="1"/>
  <c r="Q119" i="12" s="1"/>
  <c r="AC112" i="12"/>
  <c r="AD100" i="12" s="1"/>
  <c r="AD118" i="12" s="1"/>
  <c r="AD119" i="12" s="1"/>
  <c r="R112" i="12"/>
  <c r="R130" i="12" s="1"/>
  <c r="T112" i="12"/>
  <c r="U100" i="12" s="1"/>
  <c r="U118" i="12" s="1"/>
  <c r="U119" i="12" s="1"/>
  <c r="L112" i="12"/>
  <c r="L130" i="12" s="1"/>
  <c r="AE127" i="11"/>
  <c r="S112" i="12"/>
  <c r="AI112" i="12"/>
  <c r="AC91" i="13"/>
  <c r="AD153" i="13"/>
  <c r="AC152" i="9"/>
  <c r="AC43" i="13"/>
  <c r="AB48" i="13"/>
  <c r="K112" i="12"/>
  <c r="AD33" i="13"/>
  <c r="N112" i="12"/>
  <c r="AB112" i="12"/>
  <c r="AK130" i="12"/>
  <c r="AL100" i="12"/>
  <c r="AL118" i="12" s="1"/>
  <c r="AL119" i="12" s="1"/>
  <c r="AC45" i="13"/>
  <c r="J112" i="12"/>
  <c r="AF112" i="12"/>
  <c r="AR112" i="12"/>
  <c r="AE163" i="12"/>
  <c r="X112" i="12"/>
  <c r="AG112" i="12"/>
  <c r="U112" i="12"/>
  <c r="M112" i="12"/>
  <c r="AD134" i="11"/>
  <c r="AE249" i="12"/>
  <c r="AJ112" i="12"/>
  <c r="AD147" i="11"/>
  <c r="AD259" i="12"/>
  <c r="P175" i="17"/>
  <c r="P48" i="17"/>
  <c r="Q48" i="17" s="1"/>
  <c r="H210" i="17"/>
  <c r="W76" i="17"/>
  <c r="J210" i="17"/>
  <c r="L210" i="17"/>
  <c r="K210" i="17"/>
  <c r="J185" i="17"/>
  <c r="H185" i="17"/>
  <c r="O173" i="17"/>
  <c r="O37" i="17"/>
  <c r="P172" i="17"/>
  <c r="Q36" i="17"/>
  <c r="P114" i="17"/>
  <c r="P38" i="17"/>
  <c r="P43" i="17"/>
  <c r="Q43" i="17" s="1"/>
  <c r="AQ24" i="9" l="1"/>
  <c r="AQ56" i="11"/>
  <c r="AQ178" i="11" s="1"/>
  <c r="AQ26" i="12" s="1"/>
  <c r="AQ178" i="9"/>
  <c r="AQ29" i="9"/>
  <c r="AQ68" i="11"/>
  <c r="AQ190" i="11" s="1"/>
  <c r="AQ147" i="12" s="1"/>
  <c r="AQ190" i="9"/>
  <c r="AQ89" i="12"/>
  <c r="AR91" i="10"/>
  <c r="AR100" i="10" s="1"/>
  <c r="AR106" i="10" s="1"/>
  <c r="AR69" i="10"/>
  <c r="AR77" i="10" s="1"/>
  <c r="AA69" i="25"/>
  <c r="AJ82" i="11"/>
  <c r="AJ199" i="9"/>
  <c r="AJ45" i="9"/>
  <c r="AH154" i="12"/>
  <c r="AD35" i="12"/>
  <c r="AD43" i="12"/>
  <c r="AD44" i="12" s="1"/>
  <c r="AS22" i="10"/>
  <c r="AR30" i="10"/>
  <c r="AE205" i="11"/>
  <c r="AE85" i="11"/>
  <c r="AI204" i="11"/>
  <c r="AI43" i="10"/>
  <c r="AI44" i="10" s="1"/>
  <c r="AD64" i="9"/>
  <c r="AO76" i="25"/>
  <c r="AE53" i="9"/>
  <c r="AE55" i="9" s="1"/>
  <c r="AE64" i="9" s="1"/>
  <c r="AE161" i="10"/>
  <c r="AE162" i="10" s="1"/>
  <c r="AE163" i="10" s="1"/>
  <c r="AE164" i="10" s="1"/>
  <c r="AD108" i="11"/>
  <c r="AF25" i="9"/>
  <c r="AF71" i="25"/>
  <c r="AF73" i="25" s="1"/>
  <c r="AI53" i="10"/>
  <c r="AI66" i="10" s="1"/>
  <c r="AE192" i="11"/>
  <c r="AE106" i="11" s="1"/>
  <c r="AF174" i="11"/>
  <c r="AF57" i="11"/>
  <c r="AJ37" i="10"/>
  <c r="AF69" i="11"/>
  <c r="AF191" i="9"/>
  <c r="AF192" i="9" s="1"/>
  <c r="AF90" i="12"/>
  <c r="AF30" i="9"/>
  <c r="AF31" i="9" s="1"/>
  <c r="AF108" i="10"/>
  <c r="AF110" i="10" s="1"/>
  <c r="AF111" i="10" s="1"/>
  <c r="AF112" i="10" s="1"/>
  <c r="AF113" i="10" s="1"/>
  <c r="AF179" i="9"/>
  <c r="AG102" i="10"/>
  <c r="AG107" i="10"/>
  <c r="AH94" i="10"/>
  <c r="AH101" i="10" s="1"/>
  <c r="AH74" i="10"/>
  <c r="AG52" i="11"/>
  <c r="AG174" i="9"/>
  <c r="AG20" i="9"/>
  <c r="AG78" i="10"/>
  <c r="AG133" i="10" s="1"/>
  <c r="AG146" i="10" s="1"/>
  <c r="AG157" i="10" s="1"/>
  <c r="AG53" i="11"/>
  <c r="AG175" i="11" s="1"/>
  <c r="AG23" i="12" s="1"/>
  <c r="AG21" i="9"/>
  <c r="AG175" i="9"/>
  <c r="AJ32" i="10"/>
  <c r="AJ39" i="10" s="1"/>
  <c r="AJ24" i="10"/>
  <c r="AJ25" i="10" s="1"/>
  <c r="AK131" i="10"/>
  <c r="AK145" i="10" s="1"/>
  <c r="AK156" i="10" s="1"/>
  <c r="AK33" i="10"/>
  <c r="AK40" i="10" s="1"/>
  <c r="AE179" i="11"/>
  <c r="AE104" i="11" s="1"/>
  <c r="AE131" i="11" s="1"/>
  <c r="AE22" i="12"/>
  <c r="AH73" i="10"/>
  <c r="AH70" i="10"/>
  <c r="AF80" i="10"/>
  <c r="AF81" i="10" s="1"/>
  <c r="AF82" i="10" s="1"/>
  <c r="AF83" i="10" s="1"/>
  <c r="AF133" i="10"/>
  <c r="AF146" i="10" s="1"/>
  <c r="AF157" i="10" s="1"/>
  <c r="AI50" i="10"/>
  <c r="AI65" i="10" s="1"/>
  <c r="AB74" i="13"/>
  <c r="AB75" i="13" s="1"/>
  <c r="AC69" i="13"/>
  <c r="AA77" i="13"/>
  <c r="AA79" i="13" s="1"/>
  <c r="AC229" i="9"/>
  <c r="AC140" i="9"/>
  <c r="AC141" i="9" s="1"/>
  <c r="AC146" i="9" s="1"/>
  <c r="AD59" i="13"/>
  <c r="AC69" i="9"/>
  <c r="AC70" i="9" s="1"/>
  <c r="AC71" i="13"/>
  <c r="AC230" i="9" s="1"/>
  <c r="AN131" i="12"/>
  <c r="AO100" i="12"/>
  <c r="AO118" i="12" s="1"/>
  <c r="AO119" i="12" s="1"/>
  <c r="Y84" i="14"/>
  <c r="Y100" i="9" s="1"/>
  <c r="Z61" i="14"/>
  <c r="W91" i="14"/>
  <c r="W92" i="14"/>
  <c r="W93" i="14"/>
  <c r="X83" i="14"/>
  <c r="Y52" i="14"/>
  <c r="AE172" i="12"/>
  <c r="AE193" i="12"/>
  <c r="AL185" i="9"/>
  <c r="AM185" i="9"/>
  <c r="W130" i="12"/>
  <c r="W131" i="12" s="1"/>
  <c r="AC46" i="13"/>
  <c r="AP100" i="12"/>
  <c r="AP118" i="12" s="1"/>
  <c r="AP119" i="12" s="1"/>
  <c r="Z130" i="12"/>
  <c r="Z91" i="9" s="1"/>
  <c r="Z92" i="9" s="1"/>
  <c r="AM100" i="12"/>
  <c r="AM118" i="12" s="1"/>
  <c r="AM119" i="12" s="1"/>
  <c r="AI100" i="12"/>
  <c r="AI118" i="12" s="1"/>
  <c r="AI119" i="12" s="1"/>
  <c r="AE100" i="12"/>
  <c r="AE118" i="12" s="1"/>
  <c r="AE119" i="12" s="1"/>
  <c r="AN100" i="12"/>
  <c r="AN101" i="12" s="1"/>
  <c r="AN121" i="12" s="1"/>
  <c r="P100" i="12"/>
  <c r="P118" i="12" s="1"/>
  <c r="P119" i="12" s="1"/>
  <c r="S100" i="12"/>
  <c r="S118" i="12" s="1"/>
  <c r="S119" i="12" s="1"/>
  <c r="R100" i="12"/>
  <c r="R118" i="12" s="1"/>
  <c r="R119" i="12" s="1"/>
  <c r="AR100" i="12"/>
  <c r="AR118" i="12" s="1"/>
  <c r="AR119" i="12" s="1"/>
  <c r="AE130" i="12"/>
  <c r="AE91" i="9" s="1"/>
  <c r="AE92" i="9" s="1"/>
  <c r="AB100" i="12"/>
  <c r="AB118" i="12" s="1"/>
  <c r="AB119" i="12" s="1"/>
  <c r="AQ100" i="12"/>
  <c r="AQ118" i="12" s="1"/>
  <c r="AQ119" i="12" s="1"/>
  <c r="W100" i="12"/>
  <c r="W118" i="12" s="1"/>
  <c r="W119" i="12" s="1"/>
  <c r="Z100" i="12"/>
  <c r="Z118" i="12" s="1"/>
  <c r="Z119" i="12" s="1"/>
  <c r="T130" i="12"/>
  <c r="T131" i="12" s="1"/>
  <c r="P130" i="12"/>
  <c r="P131" i="12" s="1"/>
  <c r="M100" i="12"/>
  <c r="M118" i="12" s="1"/>
  <c r="M119" i="12" s="1"/>
  <c r="AC130" i="12"/>
  <c r="AC91" i="9" s="1"/>
  <c r="AC92" i="9" s="1"/>
  <c r="AA101" i="12"/>
  <c r="AA121" i="12" s="1"/>
  <c r="AA122" i="12" s="1"/>
  <c r="AR130" i="12"/>
  <c r="AS100" i="12"/>
  <c r="AK131" i="12"/>
  <c r="AK91" i="9"/>
  <c r="AK92" i="9" s="1"/>
  <c r="AD131" i="12"/>
  <c r="AD91" i="9"/>
  <c r="AD92" i="9" s="1"/>
  <c r="AL101" i="12"/>
  <c r="AL121" i="12" s="1"/>
  <c r="AD44" i="13"/>
  <c r="AD68" i="9" s="1"/>
  <c r="AD37" i="13"/>
  <c r="AD139" i="9" s="1"/>
  <c r="AL131" i="12"/>
  <c r="AL91" i="9"/>
  <c r="AL92" i="9" s="1"/>
  <c r="AJ130" i="12"/>
  <c r="AK100" i="12"/>
  <c r="AD156" i="13"/>
  <c r="AD88" i="13"/>
  <c r="AD101" i="12"/>
  <c r="AD121" i="12" s="1"/>
  <c r="K130" i="12"/>
  <c r="L100" i="12"/>
  <c r="X130" i="12"/>
  <c r="X101" i="12"/>
  <c r="X121" i="12" s="1"/>
  <c r="Y100" i="12"/>
  <c r="AF130" i="12"/>
  <c r="AF101" i="12"/>
  <c r="AF121" i="12" s="1"/>
  <c r="AG100" i="12"/>
  <c r="AG118" i="12" s="1"/>
  <c r="AG119" i="12" s="1"/>
  <c r="AB130" i="12"/>
  <c r="AC100" i="12"/>
  <c r="AA131" i="12"/>
  <c r="AA91" i="9"/>
  <c r="AA92" i="9" s="1"/>
  <c r="AB50" i="13"/>
  <c r="AB49" i="13"/>
  <c r="AE146" i="11"/>
  <c r="AE133" i="11"/>
  <c r="AE128" i="11"/>
  <c r="AM131" i="12"/>
  <c r="AM91" i="9"/>
  <c r="AM92" i="9" s="1"/>
  <c r="Y131" i="12"/>
  <c r="Y91" i="9"/>
  <c r="Y92" i="9" s="1"/>
  <c r="M130" i="12"/>
  <c r="N100" i="12"/>
  <c r="N118" i="12" s="1"/>
  <c r="N119" i="12" s="1"/>
  <c r="J101" i="12"/>
  <c r="J121" i="12" s="1"/>
  <c r="J130" i="12"/>
  <c r="K100" i="12"/>
  <c r="K118" i="12" s="1"/>
  <c r="K119" i="12" s="1"/>
  <c r="AS131" i="12"/>
  <c r="AS91" i="9"/>
  <c r="AS92" i="9" s="1"/>
  <c r="AO131" i="12"/>
  <c r="AO91" i="9"/>
  <c r="AO92" i="9" s="1"/>
  <c r="AH131" i="12"/>
  <c r="AH91" i="9"/>
  <c r="AH92" i="9" s="1"/>
  <c r="O131" i="12"/>
  <c r="O91" i="9"/>
  <c r="O92" i="9" s="1"/>
  <c r="AP131" i="12"/>
  <c r="AP91" i="9"/>
  <c r="AP92" i="9" s="1"/>
  <c r="AE164" i="12"/>
  <c r="N130" i="12"/>
  <c r="O100" i="12"/>
  <c r="Q101" i="12"/>
  <c r="Q121" i="12" s="1"/>
  <c r="R131" i="12"/>
  <c r="R91" i="9"/>
  <c r="R92" i="9" s="1"/>
  <c r="AI130" i="12"/>
  <c r="AJ100" i="12"/>
  <c r="AJ118" i="12" s="1"/>
  <c r="AJ119" i="12" s="1"/>
  <c r="AQ131" i="12"/>
  <c r="AQ91" i="9"/>
  <c r="AQ92" i="9" s="1"/>
  <c r="AG130" i="12"/>
  <c r="AH100" i="12"/>
  <c r="AE258" i="12"/>
  <c r="AE250" i="12"/>
  <c r="U101" i="12"/>
  <c r="U121" i="12" s="1"/>
  <c r="U130" i="12"/>
  <c r="V100" i="12"/>
  <c r="Q131" i="12"/>
  <c r="Q91" i="9"/>
  <c r="Q92" i="9" s="1"/>
  <c r="S130" i="12"/>
  <c r="T100" i="12"/>
  <c r="V131" i="12"/>
  <c r="V91" i="9"/>
  <c r="V92" i="9" s="1"/>
  <c r="L131" i="12"/>
  <c r="L91" i="9"/>
  <c r="L92" i="9" s="1"/>
  <c r="P173" i="17"/>
  <c r="Q38" i="17"/>
  <c r="E183" i="17" s="1"/>
  <c r="P37" i="17"/>
  <c r="Q37" i="17" s="1"/>
  <c r="AR178" i="9" l="1"/>
  <c r="AR24" i="9"/>
  <c r="AR56" i="11"/>
  <c r="AR178" i="11" s="1"/>
  <c r="AR26" i="12" s="1"/>
  <c r="AR68" i="11"/>
  <c r="AR190" i="11" s="1"/>
  <c r="AR147" i="12" s="1"/>
  <c r="AR190" i="9"/>
  <c r="AR89" i="12"/>
  <c r="AR29" i="9"/>
  <c r="AS30" i="10"/>
  <c r="AS61" i="10"/>
  <c r="AF83" i="11"/>
  <c r="AF200" i="9"/>
  <c r="AF202" i="9" s="1"/>
  <c r="AF46" i="9"/>
  <c r="AF48" i="9" s="1"/>
  <c r="AF159" i="10"/>
  <c r="AI154" i="12"/>
  <c r="AK82" i="11"/>
  <c r="AK45" i="9"/>
  <c r="AK199" i="9"/>
  <c r="AG83" i="11"/>
  <c r="AG200" i="9"/>
  <c r="AG202" i="9" s="1"/>
  <c r="AG46" i="9"/>
  <c r="AG48" i="9" s="1"/>
  <c r="AG159" i="10"/>
  <c r="AP76" i="25"/>
  <c r="AE155" i="12"/>
  <c r="AE207" i="11"/>
  <c r="AE108" i="11" s="1"/>
  <c r="AD40" i="12"/>
  <c r="AD41" i="12" s="1"/>
  <c r="AE34" i="12"/>
  <c r="AJ204" i="11"/>
  <c r="AJ43" i="10"/>
  <c r="AJ44" i="10" s="1"/>
  <c r="AG148" i="10"/>
  <c r="AF33" i="9"/>
  <c r="AB65" i="25"/>
  <c r="AG179" i="9"/>
  <c r="AG80" i="10"/>
  <c r="AG81" i="10" s="1"/>
  <c r="AG82" i="10" s="1"/>
  <c r="AG83" i="10" s="1"/>
  <c r="AJ50" i="10"/>
  <c r="AJ65" i="10" s="1"/>
  <c r="AG174" i="11"/>
  <c r="AG57" i="11"/>
  <c r="AK32" i="10"/>
  <c r="AK39" i="10" s="1"/>
  <c r="AK24" i="10"/>
  <c r="AK25" i="10" s="1"/>
  <c r="AL33" i="10"/>
  <c r="AL40" i="10" s="1"/>
  <c r="AH78" i="10"/>
  <c r="AH133" i="10" s="1"/>
  <c r="AH146" i="10" s="1"/>
  <c r="AH157" i="10" s="1"/>
  <c r="AH53" i="11"/>
  <c r="AH175" i="11" s="1"/>
  <c r="AH23" i="12" s="1"/>
  <c r="AH175" i="9"/>
  <c r="AH21" i="9"/>
  <c r="AH174" i="9"/>
  <c r="AH20" i="9"/>
  <c r="AH52" i="11"/>
  <c r="AH107" i="10"/>
  <c r="AH102" i="10"/>
  <c r="AI74" i="10"/>
  <c r="AI94" i="10"/>
  <c r="AI101" i="10" s="1"/>
  <c r="AF191" i="11"/>
  <c r="AF148" i="12" s="1"/>
  <c r="AF70" i="11"/>
  <c r="AI73" i="10"/>
  <c r="AI70" i="10"/>
  <c r="AG30" i="9"/>
  <c r="AG31" i="9" s="1"/>
  <c r="AG69" i="11"/>
  <c r="AG90" i="12"/>
  <c r="AG108" i="10"/>
  <c r="AG110" i="10" s="1"/>
  <c r="AG111" i="10" s="1"/>
  <c r="AG112" i="10" s="1"/>
  <c r="AG113" i="10" s="1"/>
  <c r="AG191" i="9"/>
  <c r="AG192" i="9" s="1"/>
  <c r="AG71" i="25"/>
  <c r="AG73" i="25" s="1"/>
  <c r="AJ53" i="10"/>
  <c r="AJ66" i="10" s="1"/>
  <c r="AF148" i="10"/>
  <c r="AK37" i="10"/>
  <c r="AG25" i="9"/>
  <c r="AF22" i="12"/>
  <c r="AF179" i="11"/>
  <c r="AF104" i="11" s="1"/>
  <c r="AF131" i="11" s="1"/>
  <c r="AB76" i="13"/>
  <c r="AB77" i="13" s="1"/>
  <c r="AB79" i="13" s="1"/>
  <c r="M33" i="17"/>
  <c r="J33" i="17"/>
  <c r="G33" i="17"/>
  <c r="L33" i="17"/>
  <c r="AA80" i="13"/>
  <c r="AA81" i="13" s="1"/>
  <c r="AC231" i="9"/>
  <c r="AC233" i="9" s="1"/>
  <c r="AC48" i="13"/>
  <c r="AC50" i="13" s="1"/>
  <c r="AC126" i="9"/>
  <c r="AD63" i="13"/>
  <c r="AD70" i="13"/>
  <c r="AC72" i="13"/>
  <c r="AD43" i="13"/>
  <c r="AO101" i="12"/>
  <c r="AO121" i="12" s="1"/>
  <c r="AO73" i="11" s="1"/>
  <c r="AO74" i="11" s="1"/>
  <c r="Z67" i="14"/>
  <c r="Z72" i="14"/>
  <c r="AE190" i="12"/>
  <c r="AE191" i="12" s="1"/>
  <c r="AE169" i="12"/>
  <c r="AE170" i="12" s="1"/>
  <c r="Y58" i="14"/>
  <c r="Y71" i="14"/>
  <c r="Y73" i="14" s="1"/>
  <c r="X99" i="9"/>
  <c r="X101" i="9" s="1"/>
  <c r="X106" i="9" s="1"/>
  <c r="X85" i="14"/>
  <c r="X87" i="14" s="1"/>
  <c r="X88" i="14" s="1"/>
  <c r="X89" i="14" s="1"/>
  <c r="AE194" i="12"/>
  <c r="AE173" i="12"/>
  <c r="AK105" i="11"/>
  <c r="W91" i="9"/>
  <c r="W92" i="9" s="1"/>
  <c r="AB51" i="13"/>
  <c r="AB54" i="13" s="1"/>
  <c r="AP101" i="12"/>
  <c r="AP121" i="12" s="1"/>
  <c r="AP127" i="12" s="1"/>
  <c r="AM101" i="12"/>
  <c r="AM121" i="12" s="1"/>
  <c r="AM73" i="11" s="1"/>
  <c r="AM195" i="11" s="1"/>
  <c r="AE131" i="12"/>
  <c r="AI101" i="12"/>
  <c r="AI121" i="12" s="1"/>
  <c r="AI122" i="12" s="1"/>
  <c r="Z131" i="12"/>
  <c r="AR101" i="12"/>
  <c r="AR121" i="12" s="1"/>
  <c r="AR122" i="12" s="1"/>
  <c r="R101" i="12"/>
  <c r="R121" i="12" s="1"/>
  <c r="R122" i="12" s="1"/>
  <c r="AN118" i="12"/>
  <c r="AN119" i="12" s="1"/>
  <c r="P91" i="9"/>
  <c r="P92" i="9" s="1"/>
  <c r="P101" i="12"/>
  <c r="P121" i="12" s="1"/>
  <c r="P122" i="12" s="1"/>
  <c r="S101" i="12"/>
  <c r="S121" i="12" s="1"/>
  <c r="S73" i="11" s="1"/>
  <c r="AE101" i="12"/>
  <c r="AE121" i="12" s="1"/>
  <c r="AE73" i="11" s="1"/>
  <c r="AE195" i="11" s="1"/>
  <c r="AB101" i="12"/>
  <c r="AB121" i="12" s="1"/>
  <c r="AB127" i="12" s="1"/>
  <c r="AQ101" i="12"/>
  <c r="AQ121" i="12" s="1"/>
  <c r="AQ127" i="12" s="1"/>
  <c r="AQ128" i="12" s="1"/>
  <c r="AQ133" i="12" s="1"/>
  <c r="M101" i="12"/>
  <c r="M121" i="12" s="1"/>
  <c r="M122" i="12" s="1"/>
  <c r="Z101" i="12"/>
  <c r="Z121" i="12" s="1"/>
  <c r="Z73" i="11" s="1"/>
  <c r="W94" i="14"/>
  <c r="W101" i="12"/>
  <c r="W121" i="12" s="1"/>
  <c r="W122" i="12" s="1"/>
  <c r="T91" i="9"/>
  <c r="T92" i="9" s="1"/>
  <c r="AC131" i="12"/>
  <c r="AA73" i="11"/>
  <c r="AA74" i="11" s="1"/>
  <c r="N101" i="12"/>
  <c r="N121" i="12" s="1"/>
  <c r="N122" i="12" s="1"/>
  <c r="AA127" i="12"/>
  <c r="AA128" i="12" s="1"/>
  <c r="AA133" i="12" s="1"/>
  <c r="J131" i="12"/>
  <c r="J91" i="9"/>
  <c r="J92" i="9" s="1"/>
  <c r="K131" i="12"/>
  <c r="K91" i="9"/>
  <c r="K92" i="9" s="1"/>
  <c r="U131" i="12"/>
  <c r="U91" i="9"/>
  <c r="U92" i="9" s="1"/>
  <c r="J122" i="12"/>
  <c r="J73" i="11"/>
  <c r="J127" i="12"/>
  <c r="AF122" i="12"/>
  <c r="AF73" i="11"/>
  <c r="AF127" i="12"/>
  <c r="AE33" i="13"/>
  <c r="AR131" i="12"/>
  <c r="AR91" i="9"/>
  <c r="AR92" i="9" s="1"/>
  <c r="Q122" i="12"/>
  <c r="Q73" i="11"/>
  <c r="Q127" i="12"/>
  <c r="AF131" i="12"/>
  <c r="AF91" i="9"/>
  <c r="AF92" i="9" s="1"/>
  <c r="AD122" i="12"/>
  <c r="AD73" i="11"/>
  <c r="AD127" i="12"/>
  <c r="AD91" i="13"/>
  <c r="AE153" i="13"/>
  <c r="AD152" i="9"/>
  <c r="AD45" i="13"/>
  <c r="AF249" i="12"/>
  <c r="O118" i="12"/>
  <c r="O119" i="12" s="1"/>
  <c r="O101" i="12"/>
  <c r="O121" i="12" s="1"/>
  <c r="Y118" i="12"/>
  <c r="Y119" i="12" s="1"/>
  <c r="Y101" i="12"/>
  <c r="Y121" i="12" s="1"/>
  <c r="AN122" i="12"/>
  <c r="AN73" i="11"/>
  <c r="AN127" i="12"/>
  <c r="AL122" i="12"/>
  <c r="AL73" i="11"/>
  <c r="AL127" i="12"/>
  <c r="AE259" i="12"/>
  <c r="M131" i="12"/>
  <c r="M91" i="9"/>
  <c r="M92" i="9" s="1"/>
  <c r="AF127" i="11"/>
  <c r="X122" i="12"/>
  <c r="X73" i="11"/>
  <c r="X127" i="12"/>
  <c r="V118" i="12"/>
  <c r="V119" i="12" s="1"/>
  <c r="V101" i="12"/>
  <c r="V121" i="12" s="1"/>
  <c r="AJ131" i="12"/>
  <c r="AJ91" i="9"/>
  <c r="AJ92" i="9" s="1"/>
  <c r="U122" i="12"/>
  <c r="U73" i="11"/>
  <c r="U127" i="12"/>
  <c r="N131" i="12"/>
  <c r="N91" i="9"/>
  <c r="N92" i="9" s="1"/>
  <c r="AE134" i="11"/>
  <c r="AC118" i="12"/>
  <c r="AC119" i="12" s="1"/>
  <c r="AC101" i="12"/>
  <c r="AC121" i="12" s="1"/>
  <c r="X131" i="12"/>
  <c r="X91" i="9"/>
  <c r="X92" i="9" s="1"/>
  <c r="AH118" i="12"/>
  <c r="AH119" i="12" s="1"/>
  <c r="AH101" i="12"/>
  <c r="AH121" i="12" s="1"/>
  <c r="T118" i="12"/>
  <c r="T119" i="12" s="1"/>
  <c r="T101" i="12"/>
  <c r="T121" i="12" s="1"/>
  <c r="AG101" i="12"/>
  <c r="AG121" i="12" s="1"/>
  <c r="AI131" i="12"/>
  <c r="AI91" i="9"/>
  <c r="AI92" i="9" s="1"/>
  <c r="AE147" i="11"/>
  <c r="L118" i="12"/>
  <c r="L119" i="12" s="1"/>
  <c r="L101" i="12"/>
  <c r="L121" i="12" s="1"/>
  <c r="AK118" i="12"/>
  <c r="AK119" i="12" s="1"/>
  <c r="AK101" i="12"/>
  <c r="AK121" i="12" s="1"/>
  <c r="S131" i="12"/>
  <c r="S91" i="9"/>
  <c r="S92" i="9" s="1"/>
  <c r="AG131" i="12"/>
  <c r="AG91" i="9"/>
  <c r="AG92" i="9" s="1"/>
  <c r="AF163" i="12"/>
  <c r="AB131" i="12"/>
  <c r="AB91" i="9"/>
  <c r="AB92" i="9" s="1"/>
  <c r="K101" i="12"/>
  <c r="K121" i="12" s="1"/>
  <c r="AJ101" i="12"/>
  <c r="AJ121" i="12" s="1"/>
  <c r="AS118" i="12"/>
  <c r="AS119" i="12" s="1"/>
  <c r="AS101" i="12"/>
  <c r="AS121" i="12" s="1"/>
  <c r="L183" i="17"/>
  <c r="K183" i="17"/>
  <c r="AK43" i="10" l="1"/>
  <c r="AK44" i="10" s="1"/>
  <c r="AS91" i="10"/>
  <c r="AS100" i="10" s="1"/>
  <c r="AS106" i="10" s="1"/>
  <c r="AS69" i="10"/>
  <c r="AS77" i="10" s="1"/>
  <c r="AB69" i="25"/>
  <c r="AJ154" i="12"/>
  <c r="AE43" i="12"/>
  <c r="AE44" i="12" s="1"/>
  <c r="AE35" i="12"/>
  <c r="AG205" i="11"/>
  <c r="AG85" i="11"/>
  <c r="AK204" i="11"/>
  <c r="AH200" i="9"/>
  <c r="AH202" i="9" s="1"/>
  <c r="AH83" i="11"/>
  <c r="AH46" i="9"/>
  <c r="AH48" i="9" s="1"/>
  <c r="AH159" i="10"/>
  <c r="AF205" i="11"/>
  <c r="AF85" i="11"/>
  <c r="AH80" i="10"/>
  <c r="AH81" i="10" s="1"/>
  <c r="AH82" i="10" s="1"/>
  <c r="AH83" i="10" s="1"/>
  <c r="AG161" i="10"/>
  <c r="AG162" i="10" s="1"/>
  <c r="AG163" i="10" s="1"/>
  <c r="AG164" i="10" s="1"/>
  <c r="AH25" i="9"/>
  <c r="AG53" i="9"/>
  <c r="AH148" i="10"/>
  <c r="AF161" i="10"/>
  <c r="AF162" i="10" s="1"/>
  <c r="AF163" i="10" s="1"/>
  <c r="AF164" i="10" s="1"/>
  <c r="AH179" i="9"/>
  <c r="AG33" i="9"/>
  <c r="AH71" i="25"/>
  <c r="AH73" i="25" s="1"/>
  <c r="AK53" i="10"/>
  <c r="AK66" i="10" s="1"/>
  <c r="AI20" i="9"/>
  <c r="AI78" i="10"/>
  <c r="AI133" i="10" s="1"/>
  <c r="AI146" i="10" s="1"/>
  <c r="AI157" i="10" s="1"/>
  <c r="AI52" i="11"/>
  <c r="AI174" i="9"/>
  <c r="AF53" i="9"/>
  <c r="AF55" i="9" s="1"/>
  <c r="AK50" i="10"/>
  <c r="AK65" i="10" s="1"/>
  <c r="AG191" i="11"/>
  <c r="AG148" i="12" s="1"/>
  <c r="AG70" i="11"/>
  <c r="AI53" i="11"/>
  <c r="AI175" i="11" s="1"/>
  <c r="AI23" i="12" s="1"/>
  <c r="AI175" i="9"/>
  <c r="AI21" i="9"/>
  <c r="AH174" i="11"/>
  <c r="AH57" i="11"/>
  <c r="AL131" i="10"/>
  <c r="AL145" i="10" s="1"/>
  <c r="AL156" i="10" s="1"/>
  <c r="AI107" i="10"/>
  <c r="AI102" i="10"/>
  <c r="AG22" i="12"/>
  <c r="AG179" i="11"/>
  <c r="AG104" i="11" s="1"/>
  <c r="AG131" i="11" s="1"/>
  <c r="AF192" i="11"/>
  <c r="AF106" i="11" s="1"/>
  <c r="AJ94" i="10"/>
  <c r="AJ101" i="10" s="1"/>
  <c r="AJ74" i="10"/>
  <c r="AH191" i="9"/>
  <c r="AH192" i="9" s="1"/>
  <c r="AH108" i="10"/>
  <c r="AH110" i="10" s="1"/>
  <c r="AH111" i="10" s="1"/>
  <c r="AH112" i="10" s="1"/>
  <c r="AH113" i="10" s="1"/>
  <c r="AH69" i="11"/>
  <c r="AH90" i="12"/>
  <c r="AH30" i="9"/>
  <c r="AH31" i="9" s="1"/>
  <c r="AJ73" i="10"/>
  <c r="AJ70" i="10"/>
  <c r="E33" i="17"/>
  <c r="N33" i="17"/>
  <c r="H33" i="17"/>
  <c r="I33" i="17"/>
  <c r="P33" i="17"/>
  <c r="Q33" i="17" s="1"/>
  <c r="K33" i="17"/>
  <c r="F33" i="17"/>
  <c r="O33" i="17"/>
  <c r="AB80" i="13"/>
  <c r="AB81" i="13" s="1"/>
  <c r="AC49" i="13"/>
  <c r="AC51" i="13" s="1"/>
  <c r="AC53" i="13" s="1"/>
  <c r="AD69" i="9"/>
  <c r="AD70" i="9" s="1"/>
  <c r="AD71" i="13"/>
  <c r="AD230" i="9" s="1"/>
  <c r="AD140" i="9"/>
  <c r="AD141" i="9" s="1"/>
  <c r="AD146" i="9" s="1"/>
  <c r="AE59" i="13"/>
  <c r="AD229" i="9"/>
  <c r="AC127" i="9"/>
  <c r="AC128" i="9" s="1"/>
  <c r="AC130" i="9" s="1"/>
  <c r="AD69" i="13"/>
  <c r="AC74" i="13"/>
  <c r="AO122" i="12"/>
  <c r="AO195" i="11"/>
  <c r="AO196" i="11" s="1"/>
  <c r="AO107" i="11" s="1"/>
  <c r="AO127" i="12"/>
  <c r="AO128" i="12" s="1"/>
  <c r="AO133" i="12" s="1"/>
  <c r="AO134" i="12" s="1"/>
  <c r="AO135" i="12" s="1"/>
  <c r="AA61" i="14"/>
  <c r="Z84" i="14"/>
  <c r="Z100" i="9" s="1"/>
  <c r="X93" i="14"/>
  <c r="X92" i="14"/>
  <c r="X91" i="14"/>
  <c r="Y83" i="14"/>
  <c r="Z52" i="14"/>
  <c r="AL105" i="11"/>
  <c r="AF193" i="12"/>
  <c r="AF172" i="12"/>
  <c r="AN185" i="9"/>
  <c r="AO185" i="9"/>
  <c r="AM105" i="11"/>
  <c r="AB53" i="13"/>
  <c r="AB55" i="13" s="1"/>
  <c r="AP122" i="12"/>
  <c r="AP73" i="11"/>
  <c r="AP195" i="11" s="1"/>
  <c r="AR127" i="12"/>
  <c r="AR128" i="12" s="1"/>
  <c r="AR133" i="12" s="1"/>
  <c r="AI127" i="12"/>
  <c r="AI204" i="9" s="1"/>
  <c r="AI205" i="9" s="1"/>
  <c r="AR73" i="11"/>
  <c r="AR195" i="11" s="1"/>
  <c r="AB73" i="11"/>
  <c r="AB195" i="11" s="1"/>
  <c r="AM122" i="12"/>
  <c r="AI73" i="11"/>
  <c r="AI195" i="11" s="1"/>
  <c r="AM74" i="11"/>
  <c r="AM127" i="12"/>
  <c r="AM204" i="9" s="1"/>
  <c r="AM205" i="9" s="1"/>
  <c r="AD46" i="13"/>
  <c r="AB122" i="12"/>
  <c r="S127" i="12"/>
  <c r="S128" i="12" s="1"/>
  <c r="S133" i="12" s="1"/>
  <c r="P73" i="11"/>
  <c r="P195" i="11" s="1"/>
  <c r="P243" i="12" s="1"/>
  <c r="P127" i="12"/>
  <c r="P128" i="12" s="1"/>
  <c r="P133" i="12" s="1"/>
  <c r="P134" i="12" s="1"/>
  <c r="P135" i="12" s="1"/>
  <c r="R127" i="12"/>
  <c r="R128" i="12" s="1"/>
  <c r="R133" i="12" s="1"/>
  <c r="R73" i="11"/>
  <c r="R74" i="11" s="1"/>
  <c r="AQ204" i="9"/>
  <c r="AQ205" i="9" s="1"/>
  <c r="W73" i="11"/>
  <c r="W74" i="11" s="1"/>
  <c r="S122" i="12"/>
  <c r="AE122" i="12"/>
  <c r="AE127" i="12"/>
  <c r="AE74" i="11"/>
  <c r="AQ122" i="12"/>
  <c r="AQ73" i="11"/>
  <c r="Z127" i="12"/>
  <c r="Z204" i="9" s="1"/>
  <c r="Z205" i="9" s="1"/>
  <c r="Z122" i="12"/>
  <c r="M127" i="12"/>
  <c r="M128" i="12" s="1"/>
  <c r="M133" i="12" s="1"/>
  <c r="M73" i="11"/>
  <c r="M74" i="11" s="1"/>
  <c r="N73" i="11"/>
  <c r="N74" i="11" s="1"/>
  <c r="N127" i="12"/>
  <c r="N128" i="12" s="1"/>
  <c r="N133" i="12" s="1"/>
  <c r="W127" i="12"/>
  <c r="W128" i="12" s="1"/>
  <c r="W133" i="12" s="1"/>
  <c r="W134" i="12" s="1"/>
  <c r="W135" i="12" s="1"/>
  <c r="AA195" i="11"/>
  <c r="AA196" i="11" s="1"/>
  <c r="AA107" i="11" s="1"/>
  <c r="AA204" i="9"/>
  <c r="AA205" i="9" s="1"/>
  <c r="AE196" i="11"/>
  <c r="AE243" i="12"/>
  <c r="AF146" i="11"/>
  <c r="AF133" i="11"/>
  <c r="AF128" i="11"/>
  <c r="AA134" i="12"/>
  <c r="AA135" i="12" s="1"/>
  <c r="J195" i="11"/>
  <c r="J74" i="11"/>
  <c r="Z195" i="11"/>
  <c r="Z74" i="11"/>
  <c r="AC122" i="12"/>
  <c r="AC73" i="11"/>
  <c r="AC127" i="12"/>
  <c r="V122" i="12"/>
  <c r="V73" i="11"/>
  <c r="V127" i="12"/>
  <c r="AN128" i="12"/>
  <c r="AN133" i="12" s="1"/>
  <c r="AN204" i="9"/>
  <c r="AN205" i="9" s="1"/>
  <c r="AD128" i="12"/>
  <c r="AD133" i="12" s="1"/>
  <c r="AD204" i="9"/>
  <c r="AD205" i="9" s="1"/>
  <c r="S74" i="11"/>
  <c r="S195" i="11"/>
  <c r="AK122" i="12"/>
  <c r="AK73" i="11"/>
  <c r="AK127" i="12"/>
  <c r="AN195" i="11"/>
  <c r="AN74" i="11"/>
  <c r="AD74" i="11"/>
  <c r="AD195" i="11"/>
  <c r="AP128" i="12"/>
  <c r="AP133" i="12" s="1"/>
  <c r="AP204" i="9"/>
  <c r="AP205" i="9" s="1"/>
  <c r="AE37" i="13"/>
  <c r="AE139" i="9" s="1"/>
  <c r="AE44" i="13"/>
  <c r="AE68" i="9" s="1"/>
  <c r="AL74" i="11"/>
  <c r="AL195" i="11"/>
  <c r="AJ122" i="12"/>
  <c r="AJ73" i="11"/>
  <c r="AJ127" i="12"/>
  <c r="T122" i="12"/>
  <c r="T73" i="11"/>
  <c r="T127" i="12"/>
  <c r="AF258" i="12"/>
  <c r="AF250" i="12"/>
  <c r="Q128" i="12"/>
  <c r="Q133" i="12" s="1"/>
  <c r="Q204" i="9"/>
  <c r="Q205" i="9" s="1"/>
  <c r="K122" i="12"/>
  <c r="K73" i="11"/>
  <c r="K127" i="12"/>
  <c r="L122" i="12"/>
  <c r="L73" i="11"/>
  <c r="L127" i="12"/>
  <c r="U128" i="12"/>
  <c r="U133" i="12" s="1"/>
  <c r="U204" i="9"/>
  <c r="U205" i="9" s="1"/>
  <c r="Y122" i="12"/>
  <c r="Y73" i="11"/>
  <c r="Y127" i="12"/>
  <c r="Q195" i="11"/>
  <c r="Q74" i="11"/>
  <c r="AF128" i="12"/>
  <c r="AF133" i="12" s="1"/>
  <c r="AF204" i="9"/>
  <c r="AF205" i="9" s="1"/>
  <c r="AS122" i="12"/>
  <c r="AS73" i="11"/>
  <c r="AS127" i="12"/>
  <c r="AQ134" i="12"/>
  <c r="AQ135" i="12" s="1"/>
  <c r="AG122" i="12"/>
  <c r="AG73" i="11"/>
  <c r="AG127" i="12"/>
  <c r="AH122" i="12"/>
  <c r="AH73" i="11"/>
  <c r="AH127" i="12"/>
  <c r="U74" i="11"/>
  <c r="U195" i="11"/>
  <c r="X128" i="12"/>
  <c r="X133" i="12" s="1"/>
  <c r="X204" i="9"/>
  <c r="X205" i="9" s="1"/>
  <c r="O122" i="12"/>
  <c r="O73" i="11"/>
  <c r="O127" i="12"/>
  <c r="AF195" i="11"/>
  <c r="AF74" i="11"/>
  <c r="AF164" i="12"/>
  <c r="J128" i="12"/>
  <c r="J133" i="12" s="1"/>
  <c r="J204" i="9"/>
  <c r="J205" i="9" s="1"/>
  <c r="AB128" i="12"/>
  <c r="AB133" i="12" s="1"/>
  <c r="AB204" i="9"/>
  <c r="AB205" i="9" s="1"/>
  <c r="AM196" i="11"/>
  <c r="AM243" i="12"/>
  <c r="X195" i="11"/>
  <c r="X74" i="11"/>
  <c r="AL128" i="12"/>
  <c r="AL133" i="12" s="1"/>
  <c r="AL204" i="9"/>
  <c r="AL205" i="9" s="1"/>
  <c r="AE156" i="13"/>
  <c r="AE88" i="13"/>
  <c r="AS56" i="11" l="1"/>
  <c r="AS178" i="11" s="1"/>
  <c r="AS26" i="12" s="1"/>
  <c r="AS178" i="9"/>
  <c r="AS24" i="9"/>
  <c r="AS89" i="12"/>
  <c r="AS68" i="11"/>
  <c r="AS190" i="11" s="1"/>
  <c r="AS147" i="12" s="1"/>
  <c r="AS190" i="9"/>
  <c r="AS29" i="9"/>
  <c r="AE40" i="12"/>
  <c r="AE41" i="12" s="1"/>
  <c r="AF34" i="12"/>
  <c r="AH205" i="11"/>
  <c r="AH85" i="11"/>
  <c r="AL82" i="11"/>
  <c r="AL199" i="9"/>
  <c r="AL45" i="9"/>
  <c r="AI83" i="11"/>
  <c r="AI200" i="9"/>
  <c r="AI202" i="9" s="1"/>
  <c r="AI46" i="9"/>
  <c r="AI48" i="9" s="1"/>
  <c r="AI159" i="10"/>
  <c r="AF155" i="12"/>
  <c r="AF207" i="11"/>
  <c r="AK154" i="12"/>
  <c r="AG155" i="12"/>
  <c r="AG207" i="11"/>
  <c r="AH33" i="9"/>
  <c r="AH161" i="10"/>
  <c r="AH162" i="10" s="1"/>
  <c r="AH163" i="10" s="1"/>
  <c r="AH164" i="10" s="1"/>
  <c r="AI148" i="10"/>
  <c r="AH53" i="9"/>
  <c r="AG55" i="9"/>
  <c r="AD65" i="25" s="1"/>
  <c r="AI80" i="10"/>
  <c r="AI81" i="10" s="1"/>
  <c r="AI82" i="10" s="1"/>
  <c r="AI83" i="10" s="1"/>
  <c r="AF64" i="9"/>
  <c r="AC65" i="25"/>
  <c r="AI90" i="12"/>
  <c r="AI30" i="9"/>
  <c r="AI31" i="9" s="1"/>
  <c r="AI108" i="10"/>
  <c r="AI110" i="10" s="1"/>
  <c r="AI111" i="10" s="1"/>
  <c r="AI112" i="10" s="1"/>
  <c r="AI113" i="10" s="1"/>
  <c r="AI69" i="11"/>
  <c r="AI191" i="9"/>
  <c r="AI192" i="9" s="1"/>
  <c r="AG192" i="11"/>
  <c r="AG106" i="11" s="1"/>
  <c r="AI179" i="9"/>
  <c r="AM33" i="10"/>
  <c r="AM40" i="10" s="1"/>
  <c r="AL32" i="10"/>
  <c r="AL39" i="10" s="1"/>
  <c r="AL24" i="10"/>
  <c r="AL25" i="10" s="1"/>
  <c r="AI57" i="11"/>
  <c r="AI174" i="11"/>
  <c r="AJ78" i="10"/>
  <c r="AJ133" i="10" s="1"/>
  <c r="AJ146" i="10" s="1"/>
  <c r="AJ157" i="10" s="1"/>
  <c r="AJ53" i="11"/>
  <c r="AJ175" i="11" s="1"/>
  <c r="AJ23" i="12" s="1"/>
  <c r="AJ175" i="9"/>
  <c r="AJ21" i="9"/>
  <c r="AL37" i="10"/>
  <c r="AJ174" i="9"/>
  <c r="AJ52" i="11"/>
  <c r="AJ20" i="9"/>
  <c r="AJ107" i="10"/>
  <c r="AJ102" i="10"/>
  <c r="AH179" i="11"/>
  <c r="AH104" i="11" s="1"/>
  <c r="AH131" i="11" s="1"/>
  <c r="AH22" i="12"/>
  <c r="AK73" i="10"/>
  <c r="AK70" i="10"/>
  <c r="AI25" i="9"/>
  <c r="AK94" i="10"/>
  <c r="AK101" i="10" s="1"/>
  <c r="AK74" i="10"/>
  <c r="AH191" i="11"/>
  <c r="AH148" i="12" s="1"/>
  <c r="AH70" i="11"/>
  <c r="AC54" i="13"/>
  <c r="AC55" i="13" s="1"/>
  <c r="AD231" i="9"/>
  <c r="AD233" i="9" s="1"/>
  <c r="AD72" i="13"/>
  <c r="AD74" i="13" s="1"/>
  <c r="AD75" i="13" s="1"/>
  <c r="AE63" i="13"/>
  <c r="AE70" i="13"/>
  <c r="AC76" i="13"/>
  <c r="AC75" i="13"/>
  <c r="AE43" i="13"/>
  <c r="AD126" i="9"/>
  <c r="AO204" i="9"/>
  <c r="AO205" i="9" s="1"/>
  <c r="AO243" i="12"/>
  <c r="AA67" i="14"/>
  <c r="AA72" i="14"/>
  <c r="AF169" i="12"/>
  <c r="AF170" i="12" s="1"/>
  <c r="AF190" i="12"/>
  <c r="AF191" i="12" s="1"/>
  <c r="Y99" i="9"/>
  <c r="Y101" i="9" s="1"/>
  <c r="Y106" i="9" s="1"/>
  <c r="Y85" i="14"/>
  <c r="Y87" i="14" s="1"/>
  <c r="Y88" i="14" s="1"/>
  <c r="Y89" i="14" s="1"/>
  <c r="Z71" i="14"/>
  <c r="Z73" i="14" s="1"/>
  <c r="Z58" i="14"/>
  <c r="AF194" i="12"/>
  <c r="AF173" i="12"/>
  <c r="AP74" i="11"/>
  <c r="AM107" i="11"/>
  <c r="AI74" i="11"/>
  <c r="AR204" i="9"/>
  <c r="AR205" i="9" s="1"/>
  <c r="AR74" i="11"/>
  <c r="AI128" i="12"/>
  <c r="AI133" i="12" s="1"/>
  <c r="AI134" i="12" s="1"/>
  <c r="AI135" i="12" s="1"/>
  <c r="AB74" i="11"/>
  <c r="AM128" i="12"/>
  <c r="AM133" i="12" s="1"/>
  <c r="AM134" i="12" s="1"/>
  <c r="AM135" i="12" s="1"/>
  <c r="AM138" i="12" s="1"/>
  <c r="R195" i="11"/>
  <c r="R196" i="11" s="1"/>
  <c r="R107" i="11" s="1"/>
  <c r="N204" i="9"/>
  <c r="N205" i="9" s="1"/>
  <c r="AD48" i="13"/>
  <c r="AD49" i="13" s="1"/>
  <c r="P204" i="9"/>
  <c r="P205" i="9" s="1"/>
  <c r="S204" i="9"/>
  <c r="S205" i="9" s="1"/>
  <c r="P74" i="11"/>
  <c r="P196" i="11"/>
  <c r="W195" i="11"/>
  <c r="W196" i="11" s="1"/>
  <c r="W107" i="11" s="1"/>
  <c r="W144" i="11" s="1"/>
  <c r="M195" i="11"/>
  <c r="M196" i="11" s="1"/>
  <c r="M107" i="11" s="1"/>
  <c r="R204" i="9"/>
  <c r="R205" i="9" s="1"/>
  <c r="AE107" i="11"/>
  <c r="AE111" i="11" s="1"/>
  <c r="N195" i="11"/>
  <c r="N196" i="11" s="1"/>
  <c r="N107" i="11" s="1"/>
  <c r="Z128" i="12"/>
  <c r="Z133" i="12" s="1"/>
  <c r="Z134" i="12" s="1"/>
  <c r="Z135" i="12" s="1"/>
  <c r="AE204" i="9"/>
  <c r="AE205" i="9" s="1"/>
  <c r="AE128" i="12"/>
  <c r="AE133" i="12" s="1"/>
  <c r="AE134" i="12" s="1"/>
  <c r="AE135" i="12" s="1"/>
  <c r="AE138" i="12" s="1"/>
  <c r="M204" i="9"/>
  <c r="M205" i="9" s="1"/>
  <c r="AQ74" i="11"/>
  <c r="AQ195" i="11"/>
  <c r="X94" i="14"/>
  <c r="W204" i="9"/>
  <c r="W205" i="9" s="1"/>
  <c r="AA243" i="12"/>
  <c r="P137" i="12"/>
  <c r="P138" i="12"/>
  <c r="AQ138" i="12"/>
  <c r="AQ137" i="12"/>
  <c r="AA137" i="12"/>
  <c r="AA138" i="12"/>
  <c r="AO138" i="12"/>
  <c r="AO137" i="12"/>
  <c r="AF147" i="11"/>
  <c r="X196" i="11"/>
  <c r="X107" i="11" s="1"/>
  <c r="X243" i="12"/>
  <c r="J134" i="12"/>
  <c r="J135" i="12" s="1"/>
  <c r="AF196" i="11"/>
  <c r="AF107" i="11" s="1"/>
  <c r="AF243" i="12"/>
  <c r="AG195" i="11"/>
  <c r="AG74" i="11"/>
  <c r="Y128" i="12"/>
  <c r="Y133" i="12" s="1"/>
  <c r="Y204" i="9"/>
  <c r="Y205" i="9" s="1"/>
  <c r="U134" i="12"/>
  <c r="U135" i="12" s="1"/>
  <c r="K74" i="11"/>
  <c r="K195" i="11"/>
  <c r="AA111" i="11"/>
  <c r="AA144" i="11"/>
  <c r="AC128" i="12"/>
  <c r="AC133" i="12" s="1"/>
  <c r="AC204" i="9"/>
  <c r="AC205" i="9" s="1"/>
  <c r="J196" i="11"/>
  <c r="J107" i="11" s="1"/>
  <c r="J243" i="12"/>
  <c r="AR134" i="12"/>
  <c r="AR135" i="12" s="1"/>
  <c r="X134" i="12"/>
  <c r="X135" i="12" s="1"/>
  <c r="R134" i="12"/>
  <c r="R135" i="12" s="1"/>
  <c r="Y195" i="11"/>
  <c r="Y74" i="11"/>
  <c r="AP196" i="11"/>
  <c r="AP243" i="12"/>
  <c r="AE45" i="13"/>
  <c r="AC74" i="11"/>
  <c r="AC195" i="11"/>
  <c r="S134" i="12"/>
  <c r="S135" i="12" s="1"/>
  <c r="AB196" i="11"/>
  <c r="AB243" i="12"/>
  <c r="U196" i="11"/>
  <c r="U107" i="11" s="1"/>
  <c r="U243" i="12"/>
  <c r="W138" i="12"/>
  <c r="W137" i="12"/>
  <c r="L66" i="17"/>
  <c r="T128" i="12"/>
  <c r="T133" i="12" s="1"/>
  <c r="T204" i="9"/>
  <c r="T205" i="9" s="1"/>
  <c r="AF33" i="13"/>
  <c r="S196" i="11"/>
  <c r="S107" i="11" s="1"/>
  <c r="S243" i="12"/>
  <c r="AN134" i="12"/>
  <c r="AN135" i="12" s="1"/>
  <c r="E66" i="17"/>
  <c r="P66" i="17"/>
  <c r="AJ74" i="11"/>
  <c r="AJ195" i="11"/>
  <c r="M134" i="12"/>
  <c r="M135" i="12" s="1"/>
  <c r="AG163" i="12"/>
  <c r="O195" i="11"/>
  <c r="O74" i="11"/>
  <c r="AF134" i="12"/>
  <c r="AF135" i="12" s="1"/>
  <c r="AR196" i="11"/>
  <c r="AR243" i="12"/>
  <c r="Q134" i="12"/>
  <c r="Q135" i="12" s="1"/>
  <c r="T74" i="11"/>
  <c r="T195" i="11"/>
  <c r="V128" i="12"/>
  <c r="V133" i="12" s="1"/>
  <c r="V204" i="9"/>
  <c r="V205" i="9" s="1"/>
  <c r="AD196" i="11"/>
  <c r="AD107" i="11" s="1"/>
  <c r="AD243" i="12"/>
  <c r="O128" i="12"/>
  <c r="O133" i="12" s="1"/>
  <c r="O204" i="9"/>
  <c r="O205" i="9" s="1"/>
  <c r="AL134" i="12"/>
  <c r="AL135" i="12" s="1"/>
  <c r="AH128" i="12"/>
  <c r="AH133" i="12" s="1"/>
  <c r="AH204" i="9"/>
  <c r="AH205" i="9" s="1"/>
  <c r="L128" i="12"/>
  <c r="L133" i="12" s="1"/>
  <c r="L204" i="9"/>
  <c r="L205" i="9" s="1"/>
  <c r="AG249" i="12"/>
  <c r="AP134" i="12"/>
  <c r="AP135" i="12" s="1"/>
  <c r="AN196" i="11"/>
  <c r="AN107" i="11" s="1"/>
  <c r="AN243" i="12"/>
  <c r="V74" i="11"/>
  <c r="V195" i="11"/>
  <c r="N134" i="12"/>
  <c r="N135" i="12" s="1"/>
  <c r="K128" i="12"/>
  <c r="K133" i="12" s="1"/>
  <c r="K204" i="9"/>
  <c r="K205" i="9" s="1"/>
  <c r="AE91" i="13"/>
  <c r="AF153" i="13"/>
  <c r="AE152" i="9"/>
  <c r="AB134" i="12"/>
  <c r="AB135" i="12" s="1"/>
  <c r="AH195" i="11"/>
  <c r="AH74" i="11"/>
  <c r="AS128" i="12"/>
  <c r="AS133" i="12" s="1"/>
  <c r="AS204" i="9"/>
  <c r="AS205" i="9" s="1"/>
  <c r="Q196" i="11"/>
  <c r="Q107" i="11" s="1"/>
  <c r="Q243" i="12"/>
  <c r="L74" i="11"/>
  <c r="L195" i="11"/>
  <c r="AF259" i="12"/>
  <c r="AL196" i="11"/>
  <c r="AL107" i="11" s="1"/>
  <c r="AL243" i="12"/>
  <c r="AK128" i="12"/>
  <c r="AK133" i="12" s="1"/>
  <c r="AK204" i="9"/>
  <c r="AK205" i="9" s="1"/>
  <c r="AG127" i="11"/>
  <c r="AG128" i="12"/>
  <c r="AG133" i="12" s="1"/>
  <c r="AG204" i="9"/>
  <c r="AG205" i="9" s="1"/>
  <c r="AS74" i="11"/>
  <c r="AS195" i="11"/>
  <c r="AJ128" i="12"/>
  <c r="AJ133" i="12" s="1"/>
  <c r="AJ204" i="9"/>
  <c r="AJ205" i="9" s="1"/>
  <c r="AI196" i="11"/>
  <c r="AI243" i="12"/>
  <c r="AK74" i="11"/>
  <c r="AK195" i="11"/>
  <c r="AD134" i="12"/>
  <c r="AD135" i="12" s="1"/>
  <c r="Z196" i="11"/>
  <c r="Z107" i="11" s="1"/>
  <c r="Z243" i="12"/>
  <c r="AF134" i="11"/>
  <c r="AD69" i="25" l="1"/>
  <c r="AC69" i="25"/>
  <c r="AL204" i="11"/>
  <c r="AJ83" i="11"/>
  <c r="AJ200" i="9"/>
  <c r="AJ202" i="9" s="1"/>
  <c r="AJ46" i="9"/>
  <c r="AJ48" i="9" s="1"/>
  <c r="AJ159" i="10"/>
  <c r="AI205" i="11"/>
  <c r="AI85" i="11"/>
  <c r="AH155" i="12"/>
  <c r="AH207" i="11"/>
  <c r="AF43" i="12"/>
  <c r="AF44" i="12" s="1"/>
  <c r="AF35" i="12"/>
  <c r="AL43" i="10"/>
  <c r="AL44" i="10" s="1"/>
  <c r="AH55" i="9"/>
  <c r="AH64" i="9" s="1"/>
  <c r="AI53" i="9"/>
  <c r="AG64" i="9"/>
  <c r="AF108" i="11"/>
  <c r="AF144" i="11" s="1"/>
  <c r="AG108" i="11"/>
  <c r="AI161" i="10"/>
  <c r="AI162" i="10" s="1"/>
  <c r="AI163" i="10" s="1"/>
  <c r="AI164" i="10" s="1"/>
  <c r="AJ148" i="10"/>
  <c r="AJ179" i="9"/>
  <c r="AI33" i="9"/>
  <c r="AJ80" i="10"/>
  <c r="AJ81" i="10" s="1"/>
  <c r="AJ82" i="10" s="1"/>
  <c r="AJ83" i="10" s="1"/>
  <c r="AK107" i="10"/>
  <c r="AK102" i="10"/>
  <c r="AJ174" i="11"/>
  <c r="AJ57" i="11"/>
  <c r="AL50" i="10"/>
  <c r="AL65" i="10" s="1"/>
  <c r="AI191" i="11"/>
  <c r="AI148" i="12" s="1"/>
  <c r="AI70" i="11"/>
  <c r="AK20" i="9"/>
  <c r="AK52" i="11"/>
  <c r="AK174" i="9"/>
  <c r="AI22" i="12"/>
  <c r="AI179" i="11"/>
  <c r="AI104" i="11" s="1"/>
  <c r="AI131" i="11" s="1"/>
  <c r="AH192" i="11"/>
  <c r="AH106" i="11" s="1"/>
  <c r="AI71" i="25"/>
  <c r="AI73" i="25" s="1"/>
  <c r="AL53" i="10"/>
  <c r="AL66" i="10" s="1"/>
  <c r="AK78" i="10"/>
  <c r="AK133" i="10" s="1"/>
  <c r="AK146" i="10" s="1"/>
  <c r="AK157" i="10" s="1"/>
  <c r="AK21" i="9"/>
  <c r="AK53" i="11"/>
  <c r="AK175" i="11" s="1"/>
  <c r="AK23" i="12" s="1"/>
  <c r="AK175" i="9"/>
  <c r="AJ90" i="12"/>
  <c r="AJ30" i="9"/>
  <c r="AJ31" i="9" s="1"/>
  <c r="AJ69" i="11"/>
  <c r="AJ108" i="10"/>
  <c r="AJ110" i="10" s="1"/>
  <c r="AJ111" i="10" s="1"/>
  <c r="AJ112" i="10" s="1"/>
  <c r="AJ113" i="10" s="1"/>
  <c r="AJ191" i="9"/>
  <c r="AJ192" i="9" s="1"/>
  <c r="AJ25" i="9"/>
  <c r="N66" i="17"/>
  <c r="K66" i="17"/>
  <c r="I66" i="17"/>
  <c r="M66" i="17"/>
  <c r="H66" i="17"/>
  <c r="AE69" i="13"/>
  <c r="AD127" i="9"/>
  <c r="AD128" i="9" s="1"/>
  <c r="AD130" i="9" s="1"/>
  <c r="AC77" i="13"/>
  <c r="AC80" i="13" s="1"/>
  <c r="AD76" i="13"/>
  <c r="AD77" i="13" s="1"/>
  <c r="AD80" i="13" s="1"/>
  <c r="AE69" i="9"/>
  <c r="AE70" i="9" s="1"/>
  <c r="AE71" i="13"/>
  <c r="AE230" i="9" s="1"/>
  <c r="AE140" i="9"/>
  <c r="AE141" i="9" s="1"/>
  <c r="AE146" i="9" s="1"/>
  <c r="AF59" i="13"/>
  <c r="AE229" i="9"/>
  <c r="AA84" i="14"/>
  <c r="AA100" i="9" s="1"/>
  <c r="AB61" i="14"/>
  <c r="Y93" i="14"/>
  <c r="Y92" i="14"/>
  <c r="Y91" i="14"/>
  <c r="Z83" i="14"/>
  <c r="AA52" i="14"/>
  <c r="AN105" i="11"/>
  <c r="AO105" i="11"/>
  <c r="AG172" i="12"/>
  <c r="AG193" i="12"/>
  <c r="AP185" i="9"/>
  <c r="AP107" i="11"/>
  <c r="AR107" i="11"/>
  <c r="AI107" i="11"/>
  <c r="R243" i="12"/>
  <c r="AB107" i="11"/>
  <c r="AB111" i="11" s="1"/>
  <c r="AM137" i="12"/>
  <c r="AM139" i="12" s="1"/>
  <c r="AD50" i="13"/>
  <c r="AD51" i="13" s="1"/>
  <c r="AD53" i="13" s="1"/>
  <c r="P107" i="11"/>
  <c r="P144" i="11" s="1"/>
  <c r="W111" i="11"/>
  <c r="W161" i="11" s="1"/>
  <c r="W221" i="11" s="1"/>
  <c r="W222" i="9" s="1"/>
  <c r="W224" i="9" s="1"/>
  <c r="M243" i="12"/>
  <c r="W243" i="12"/>
  <c r="N243" i="12"/>
  <c r="AE144" i="11"/>
  <c r="AE137" i="12"/>
  <c r="AE139" i="12" s="1"/>
  <c r="AQ243" i="12"/>
  <c r="AQ196" i="11"/>
  <c r="AQ107" i="11" s="1"/>
  <c r="AO139" i="12"/>
  <c r="AQ139" i="12"/>
  <c r="X137" i="12"/>
  <c r="X138" i="12"/>
  <c r="AB137" i="12"/>
  <c r="AB138" i="12"/>
  <c r="N137" i="12"/>
  <c r="N138" i="12"/>
  <c r="M138" i="12"/>
  <c r="M137" i="12"/>
  <c r="Q137" i="12"/>
  <c r="Q138" i="12"/>
  <c r="R137" i="12"/>
  <c r="R138" i="12"/>
  <c r="AR137" i="12"/>
  <c r="AR138" i="12"/>
  <c r="AN137" i="12"/>
  <c r="AN138" i="12"/>
  <c r="Z137" i="12"/>
  <c r="Z138" i="12"/>
  <c r="U138" i="12"/>
  <c r="U137" i="12"/>
  <c r="J138" i="12"/>
  <c r="J137" i="12"/>
  <c r="AL137" i="12"/>
  <c r="AL138" i="12"/>
  <c r="AI137" i="12"/>
  <c r="AI138" i="12"/>
  <c r="AF137" i="12"/>
  <c r="AF138" i="12"/>
  <c r="S138" i="12"/>
  <c r="S137" i="12"/>
  <c r="O134" i="12"/>
  <c r="O135" i="12" s="1"/>
  <c r="R144" i="11"/>
  <c r="R111" i="11"/>
  <c r="AG134" i="12"/>
  <c r="AG135" i="12" s="1"/>
  <c r="AH196" i="11"/>
  <c r="AH107" i="11" s="1"/>
  <c r="AH243" i="12"/>
  <c r="V196" i="11"/>
  <c r="V107" i="11" s="1"/>
  <c r="V243" i="12"/>
  <c r="AH134" i="12"/>
  <c r="AH135" i="12" s="1"/>
  <c r="S144" i="11"/>
  <c r="S111" i="11"/>
  <c r="J111" i="11"/>
  <c r="J144" i="11"/>
  <c r="AA139" i="12"/>
  <c r="AJ134" i="12"/>
  <c r="AJ135" i="12" s="1"/>
  <c r="AD138" i="12"/>
  <c r="AD137" i="12"/>
  <c r="AG146" i="11"/>
  <c r="AG128" i="11"/>
  <c r="AG133" i="11"/>
  <c r="L196" i="11"/>
  <c r="L107" i="11" s="1"/>
  <c r="L243" i="12"/>
  <c r="AD111" i="11"/>
  <c r="AD144" i="11"/>
  <c r="AK196" i="11"/>
  <c r="AK107" i="11" s="1"/>
  <c r="AK243" i="12"/>
  <c r="F66" i="17"/>
  <c r="O66" i="17"/>
  <c r="U144" i="11"/>
  <c r="U111" i="11"/>
  <c r="M144" i="11"/>
  <c r="M111" i="11"/>
  <c r="AC134" i="12"/>
  <c r="AC135" i="12" s="1"/>
  <c r="Y134" i="12"/>
  <c r="Y135" i="12" s="1"/>
  <c r="AS196" i="11"/>
  <c r="AS107" i="11" s="1"/>
  <c r="AS243" i="12"/>
  <c r="K134" i="12"/>
  <c r="K135" i="12" s="1"/>
  <c r="AE161" i="11"/>
  <c r="AE221" i="11" s="1"/>
  <c r="AE222" i="9" s="1"/>
  <c r="AE224" i="9" s="1"/>
  <c r="AE116" i="11"/>
  <c r="AG164" i="12"/>
  <c r="T134" i="12"/>
  <c r="T135" i="12" s="1"/>
  <c r="AE46" i="13"/>
  <c r="AE126" i="9" s="1"/>
  <c r="AK134" i="12"/>
  <c r="AK135" i="12" s="1"/>
  <c r="Q144" i="11"/>
  <c r="Q111" i="11"/>
  <c r="N144" i="11"/>
  <c r="N111" i="11"/>
  <c r="AG258" i="12"/>
  <c r="AG250" i="12"/>
  <c r="AC196" i="11"/>
  <c r="AC107" i="11" s="1"/>
  <c r="AC243" i="12"/>
  <c r="Y196" i="11"/>
  <c r="Y107" i="11" s="1"/>
  <c r="Y243" i="12"/>
  <c r="AA161" i="11"/>
  <c r="AA221" i="11" s="1"/>
  <c r="AA222" i="9" s="1"/>
  <c r="AA116" i="11"/>
  <c r="P139" i="12"/>
  <c r="AP138" i="12"/>
  <c r="AP137" i="12"/>
  <c r="G66" i="17"/>
  <c r="T196" i="11"/>
  <c r="T107" i="11" s="1"/>
  <c r="T243" i="12"/>
  <c r="K196" i="11"/>
  <c r="K107" i="11" s="1"/>
  <c r="K243" i="12"/>
  <c r="X144" i="11"/>
  <c r="X111" i="11"/>
  <c r="AJ196" i="11"/>
  <c r="AJ107" i="11" s="1"/>
  <c r="AJ243" i="12"/>
  <c r="Z111" i="11"/>
  <c r="Z144" i="11"/>
  <c r="AS134" i="12"/>
  <c r="AS135" i="12" s="1"/>
  <c r="AF156" i="13"/>
  <c r="AF88" i="13"/>
  <c r="L134" i="12"/>
  <c r="L135" i="12" s="1"/>
  <c r="J66" i="17"/>
  <c r="V134" i="12"/>
  <c r="V135" i="12" s="1"/>
  <c r="O196" i="11"/>
  <c r="O107" i="11" s="1"/>
  <c r="O243" i="12"/>
  <c r="AF44" i="13"/>
  <c r="AF68" i="9" s="1"/>
  <c r="AF37" i="13"/>
  <c r="AF139" i="9" s="1"/>
  <c r="W139" i="12"/>
  <c r="AG196" i="11"/>
  <c r="AG107" i="11" s="1"/>
  <c r="AG243" i="12"/>
  <c r="AK83" i="11" l="1"/>
  <c r="AK46" i="9"/>
  <c r="AK48" i="9" s="1"/>
  <c r="AK200" i="9"/>
  <c r="AK202" i="9" s="1"/>
  <c r="AK159" i="10"/>
  <c r="AJ205" i="11"/>
  <c r="AJ85" i="11"/>
  <c r="AI155" i="12"/>
  <c r="AI207" i="11"/>
  <c r="AI108" i="11" s="1"/>
  <c r="AL154" i="12"/>
  <c r="AF40" i="12"/>
  <c r="AF41" i="12" s="1"/>
  <c r="AG34" i="12"/>
  <c r="AE65" i="25"/>
  <c r="AF111" i="11"/>
  <c r="AF116" i="11" s="1"/>
  <c r="AI55" i="9"/>
  <c r="AF65" i="25" s="1"/>
  <c r="AH108" i="11"/>
  <c r="AH144" i="11" s="1"/>
  <c r="AM37" i="10"/>
  <c r="AM131" i="10"/>
  <c r="AM145" i="10" s="1"/>
  <c r="AM156" i="10" s="1"/>
  <c r="AJ161" i="10"/>
  <c r="AJ162" i="10" s="1"/>
  <c r="AJ163" i="10" s="1"/>
  <c r="AJ164" i="10" s="1"/>
  <c r="AJ53" i="9"/>
  <c r="AK179" i="9"/>
  <c r="AK174" i="11"/>
  <c r="AK57" i="11"/>
  <c r="AK80" i="10"/>
  <c r="AK81" i="10" s="1"/>
  <c r="AK82" i="10" s="1"/>
  <c r="AK83" i="10" s="1"/>
  <c r="AJ33" i="9"/>
  <c r="AK25" i="9"/>
  <c r="AM24" i="10"/>
  <c r="AM32" i="10"/>
  <c r="AM39" i="10" s="1"/>
  <c r="AN33" i="10"/>
  <c r="AN40" i="10" s="1"/>
  <c r="AK148" i="10"/>
  <c r="AI192" i="11"/>
  <c r="AI106" i="11" s="1"/>
  <c r="AJ22" i="12"/>
  <c r="AJ179" i="11"/>
  <c r="AJ104" i="11" s="1"/>
  <c r="AJ131" i="11" s="1"/>
  <c r="AL74" i="10"/>
  <c r="AL94" i="10"/>
  <c r="AL101" i="10" s="1"/>
  <c r="AL73" i="10"/>
  <c r="AL70" i="10"/>
  <c r="AJ191" i="11"/>
  <c r="AJ148" i="12" s="1"/>
  <c r="AJ70" i="11"/>
  <c r="AK69" i="11"/>
  <c r="AK90" i="12"/>
  <c r="AK30" i="9"/>
  <c r="AK31" i="9" s="1"/>
  <c r="AK108" i="10"/>
  <c r="AK110" i="10" s="1"/>
  <c r="AK111" i="10" s="1"/>
  <c r="AK112" i="10" s="1"/>
  <c r="AK113" i="10" s="1"/>
  <c r="AK191" i="9"/>
  <c r="AK192" i="9" s="1"/>
  <c r="AC79" i="13"/>
  <c r="AC81" i="13" s="1"/>
  <c r="AD79" i="13"/>
  <c r="AD81" i="13" s="1"/>
  <c r="AE72" i="13"/>
  <c r="AE74" i="13" s="1"/>
  <c r="AE231" i="9"/>
  <c r="AE233" i="9" s="1"/>
  <c r="AF63" i="13"/>
  <c r="AF70" i="13"/>
  <c r="AB72" i="14"/>
  <c r="AB67" i="14"/>
  <c r="AG190" i="12"/>
  <c r="AG191" i="12" s="1"/>
  <c r="AG169" i="12"/>
  <c r="AG170" i="12" s="1"/>
  <c r="Z99" i="9"/>
  <c r="Z101" i="9" s="1"/>
  <c r="Z106" i="9" s="1"/>
  <c r="Z85" i="14"/>
  <c r="Z87" i="14" s="1"/>
  <c r="Z88" i="14" s="1"/>
  <c r="Z89" i="14" s="1"/>
  <c r="AA71" i="14"/>
  <c r="AA73" i="14" s="1"/>
  <c r="AA58" i="14"/>
  <c r="AR185" i="9"/>
  <c r="AQ185" i="9"/>
  <c r="AG194" i="12"/>
  <c r="AG173" i="12"/>
  <c r="W116" i="11"/>
  <c r="AB144" i="11"/>
  <c r="P111" i="11"/>
  <c r="P161" i="11" s="1"/>
  <c r="P221" i="11" s="1"/>
  <c r="P222" i="9" s="1"/>
  <c r="P224" i="9" s="1"/>
  <c r="AD54" i="13"/>
  <c r="AD55" i="13" s="1"/>
  <c r="Y94" i="14"/>
  <c r="M139" i="12"/>
  <c r="S139" i="12"/>
  <c r="J139" i="12"/>
  <c r="AF139" i="12"/>
  <c r="Q66" i="17"/>
  <c r="E204" i="17" s="1"/>
  <c r="K204" i="17" s="1"/>
  <c r="AD139" i="12"/>
  <c r="AP139" i="12"/>
  <c r="AG138" i="12"/>
  <c r="AG137" i="12"/>
  <c r="K138" i="12"/>
  <c r="K137" i="12"/>
  <c r="I135" i="12"/>
  <c r="K21" i="2" s="1"/>
  <c r="M21" i="2" s="1"/>
  <c r="L137" i="12"/>
  <c r="L138" i="12"/>
  <c r="AH138" i="12"/>
  <c r="AH137" i="12"/>
  <c r="AJ137" i="12"/>
  <c r="AJ138" i="12"/>
  <c r="O137" i="12"/>
  <c r="O138" i="12"/>
  <c r="V138" i="12"/>
  <c r="V137" i="12"/>
  <c r="AC137" i="12"/>
  <c r="AC138" i="12"/>
  <c r="T137" i="12"/>
  <c r="T138" i="12"/>
  <c r="AK137" i="12"/>
  <c r="AK138" i="12"/>
  <c r="T144" i="11"/>
  <c r="T111" i="11"/>
  <c r="AF45" i="13"/>
  <c r="U116" i="11"/>
  <c r="U161" i="11"/>
  <c r="U221" i="11" s="1"/>
  <c r="U222" i="9" s="1"/>
  <c r="AI139" i="12"/>
  <c r="N139" i="12"/>
  <c r="Y111" i="11"/>
  <c r="Y144" i="11"/>
  <c r="AH249" i="12"/>
  <c r="Y137" i="12"/>
  <c r="Y138" i="12"/>
  <c r="AD116" i="11"/>
  <c r="AD161" i="11"/>
  <c r="AD221" i="11" s="1"/>
  <c r="AD222" i="9" s="1"/>
  <c r="Z139" i="12"/>
  <c r="O144" i="11"/>
  <c r="O111" i="11"/>
  <c r="AG259" i="12"/>
  <c r="V144" i="11"/>
  <c r="V111" i="11"/>
  <c r="AL139" i="12"/>
  <c r="R139" i="12"/>
  <c r="R161" i="11"/>
  <c r="R221" i="11" s="1"/>
  <c r="R222" i="9" s="1"/>
  <c r="R116" i="11"/>
  <c r="AG144" i="11"/>
  <c r="AG111" i="11"/>
  <c r="Z161" i="11"/>
  <c r="Z221" i="11" s="1"/>
  <c r="Z222" i="9" s="1"/>
  <c r="Z224" i="9" s="1"/>
  <c r="Z116" i="11"/>
  <c r="AC144" i="11"/>
  <c r="AC111" i="11"/>
  <c r="N116" i="11"/>
  <c r="N161" i="11"/>
  <c r="N221" i="11" s="1"/>
  <c r="N222" i="9" s="1"/>
  <c r="N224" i="9" s="1"/>
  <c r="L144" i="11"/>
  <c r="L111" i="11"/>
  <c r="AN139" i="12"/>
  <c r="J161" i="11"/>
  <c r="J116" i="11"/>
  <c r="AF91" i="13"/>
  <c r="AG153" i="13"/>
  <c r="AF152" i="9"/>
  <c r="AF43" i="13"/>
  <c r="AE48" i="13"/>
  <c r="M116" i="11"/>
  <c r="M161" i="11"/>
  <c r="M221" i="11" s="1"/>
  <c r="M222" i="9" s="1"/>
  <c r="M224" i="9" s="1"/>
  <c r="AG134" i="11"/>
  <c r="Q139" i="12"/>
  <c r="AB139" i="12"/>
  <c r="AB161" i="11"/>
  <c r="AB221" i="11" s="1"/>
  <c r="AB222" i="9" s="1"/>
  <c r="AB224" i="9" s="1"/>
  <c r="AB116" i="11"/>
  <c r="K111" i="11"/>
  <c r="K144" i="11"/>
  <c r="Q161" i="11"/>
  <c r="Q221" i="11" s="1"/>
  <c r="Q222" i="9" s="1"/>
  <c r="Q224" i="9" s="1"/>
  <c r="Q116" i="11"/>
  <c r="AH163" i="12"/>
  <c r="AH127" i="11"/>
  <c r="S161" i="11"/>
  <c r="S221" i="11" s="1"/>
  <c r="S222" i="9" s="1"/>
  <c r="S224" i="9" s="1"/>
  <c r="S116" i="11"/>
  <c r="AR139" i="12"/>
  <c r="AG33" i="13"/>
  <c r="X116" i="11"/>
  <c r="X161" i="11"/>
  <c r="X221" i="11" s="1"/>
  <c r="X222" i="9" s="1"/>
  <c r="AS138" i="12"/>
  <c r="AS137" i="12"/>
  <c r="AG147" i="11"/>
  <c r="U139" i="12"/>
  <c r="X139" i="12"/>
  <c r="AF69" i="25" l="1"/>
  <c r="AE69" i="25"/>
  <c r="AG43" i="12"/>
  <c r="AG44" i="12" s="1"/>
  <c r="AG35" i="12"/>
  <c r="AJ155" i="12"/>
  <c r="AJ207" i="11"/>
  <c r="AM82" i="11"/>
  <c r="AM199" i="9"/>
  <c r="AM45" i="9"/>
  <c r="AK205" i="11"/>
  <c r="AK85" i="11"/>
  <c r="AM43" i="10"/>
  <c r="AM44" i="10" s="1"/>
  <c r="AF161" i="11"/>
  <c r="AF221" i="11" s="1"/>
  <c r="AF222" i="9" s="1"/>
  <c r="AF224" i="9" s="1"/>
  <c r="AH111" i="11"/>
  <c r="AH161" i="11" s="1"/>
  <c r="AH221" i="11" s="1"/>
  <c r="AH222" i="9" s="1"/>
  <c r="AH224" i="9" s="1"/>
  <c r="AI64" i="9"/>
  <c r="AJ55" i="9"/>
  <c r="AG65" i="25" s="1"/>
  <c r="AG69" i="25" s="1"/>
  <c r="AI111" i="11"/>
  <c r="AI116" i="11" s="1"/>
  <c r="AM53" i="10"/>
  <c r="AM66" i="10" s="1"/>
  <c r="AM74" i="10" s="1"/>
  <c r="AJ71" i="25"/>
  <c r="AJ73" i="25" s="1"/>
  <c r="AI144" i="11"/>
  <c r="AK161" i="10"/>
  <c r="AK162" i="10" s="1"/>
  <c r="AK163" i="10" s="1"/>
  <c r="AK164" i="10" s="1"/>
  <c r="AK191" i="11"/>
  <c r="AK148" i="12" s="1"/>
  <c r="AK70" i="11"/>
  <c r="AL107" i="10"/>
  <c r="AL102" i="10"/>
  <c r="AL78" i="10"/>
  <c r="AL133" i="10" s="1"/>
  <c r="AL146" i="10" s="1"/>
  <c r="AL157" i="10" s="1"/>
  <c r="AL53" i="11"/>
  <c r="AL175" i="11" s="1"/>
  <c r="AL23" i="12" s="1"/>
  <c r="AL21" i="9"/>
  <c r="AL175" i="9"/>
  <c r="AM50" i="10"/>
  <c r="AM65" i="10" s="1"/>
  <c r="AK22" i="12"/>
  <c r="AK179" i="11"/>
  <c r="AK104" i="11" s="1"/>
  <c r="AJ192" i="11"/>
  <c r="AJ106" i="11" s="1"/>
  <c r="AM25" i="10"/>
  <c r="AK53" i="9"/>
  <c r="AK33" i="9"/>
  <c r="AL20" i="9"/>
  <c r="AL52" i="11"/>
  <c r="AL174" i="9"/>
  <c r="AE127" i="9"/>
  <c r="AE128" i="9" s="1"/>
  <c r="AE130" i="9" s="1"/>
  <c r="AF69" i="13"/>
  <c r="N72" i="17"/>
  <c r="K72" i="17"/>
  <c r="I72" i="17"/>
  <c r="L72" i="17"/>
  <c r="H72" i="17"/>
  <c r="AF69" i="9"/>
  <c r="AF70" i="9" s="1"/>
  <c r="AF71" i="13"/>
  <c r="AF230" i="9" s="1"/>
  <c r="AF140" i="9"/>
  <c r="AF141" i="9" s="1"/>
  <c r="AF146" i="9" s="1"/>
  <c r="AG59" i="13"/>
  <c r="AF229" i="9"/>
  <c r="AE75" i="13"/>
  <c r="AE76" i="13"/>
  <c r="AF46" i="13"/>
  <c r="AB84" i="14"/>
  <c r="AB100" i="9" s="1"/>
  <c r="AC61" i="14"/>
  <c r="Z91" i="14"/>
  <c r="Z92" i="14"/>
  <c r="Z93" i="14"/>
  <c r="AA83" i="14"/>
  <c r="AB52" i="14"/>
  <c r="AH193" i="12"/>
  <c r="AH172" i="12"/>
  <c r="AP105" i="11"/>
  <c r="AS185" i="9"/>
  <c r="P116" i="11"/>
  <c r="L204" i="17"/>
  <c r="W70" i="17"/>
  <c r="AC139" i="12"/>
  <c r="V139" i="12"/>
  <c r="K139" i="12"/>
  <c r="AG139" i="12"/>
  <c r="K116" i="11"/>
  <c r="K161" i="11"/>
  <c r="K221" i="11" s="1"/>
  <c r="K222" i="9" s="1"/>
  <c r="K224" i="9" s="1"/>
  <c r="AG156" i="13"/>
  <c r="AG88" i="13"/>
  <c r="Y161" i="11"/>
  <c r="Y221" i="11" s="1"/>
  <c r="Y222" i="9" s="1"/>
  <c r="Y224" i="9" s="1"/>
  <c r="Y116" i="11"/>
  <c r="T139" i="12"/>
  <c r="AJ139" i="12"/>
  <c r="AH146" i="11"/>
  <c r="AH133" i="11"/>
  <c r="AH128" i="11"/>
  <c r="AC161" i="11"/>
  <c r="AC221" i="11" s="1"/>
  <c r="AC222" i="9" s="1"/>
  <c r="AC224" i="9" s="1"/>
  <c r="AC116" i="11"/>
  <c r="O161" i="11"/>
  <c r="O221" i="11" s="1"/>
  <c r="O222" i="9" s="1"/>
  <c r="O116" i="11"/>
  <c r="Y139" i="12"/>
  <c r="L139" i="12"/>
  <c r="J221" i="11"/>
  <c r="J222" i="9" s="1"/>
  <c r="J224" i="9" s="1"/>
  <c r="J165" i="11"/>
  <c r="L116" i="11"/>
  <c r="L161" i="11"/>
  <c r="L221" i="11" s="1"/>
  <c r="L222" i="9" s="1"/>
  <c r="AG116" i="11"/>
  <c r="AG161" i="11"/>
  <c r="AG221" i="11" s="1"/>
  <c r="AG222" i="9" s="1"/>
  <c r="V116" i="11"/>
  <c r="V161" i="11"/>
  <c r="V221" i="11" s="1"/>
  <c r="V222" i="9" s="1"/>
  <c r="V224" i="9" s="1"/>
  <c r="T161" i="11"/>
  <c r="T221" i="11" s="1"/>
  <c r="T222" i="9" s="1"/>
  <c r="T224" i="9" s="1"/>
  <c r="T116" i="11"/>
  <c r="AS139" i="12"/>
  <c r="AG37" i="13"/>
  <c r="AG139" i="9" s="1"/>
  <c r="AG44" i="13"/>
  <c r="AG68" i="9" s="1"/>
  <c r="AH164" i="12"/>
  <c r="AE50" i="13"/>
  <c r="AE49" i="13"/>
  <c r="AH258" i="12"/>
  <c r="AH250" i="12"/>
  <c r="AK139" i="12"/>
  <c r="O139" i="12"/>
  <c r="AH139" i="12"/>
  <c r="AM204" i="11" l="1"/>
  <c r="AK155" i="12"/>
  <c r="AK207" i="11"/>
  <c r="AG40" i="12"/>
  <c r="AG41" i="12" s="1"/>
  <c r="AH34" i="12"/>
  <c r="AL83" i="11"/>
  <c r="AL200" i="9"/>
  <c r="AL202" i="9" s="1"/>
  <c r="AL46" i="9"/>
  <c r="AL48" i="9" s="1"/>
  <c r="AL159" i="10"/>
  <c r="AH116" i="11"/>
  <c r="AJ64" i="9"/>
  <c r="AI161" i="11"/>
  <c r="AI221" i="11" s="1"/>
  <c r="AI222" i="9" s="1"/>
  <c r="AI224" i="9" s="1"/>
  <c r="AM94" i="10"/>
  <c r="AM101" i="10" s="1"/>
  <c r="AM102" i="10" s="1"/>
  <c r="AJ108" i="11"/>
  <c r="AJ111" i="11" s="1"/>
  <c r="AN131" i="10"/>
  <c r="AN145" i="10" s="1"/>
  <c r="AN156" i="10" s="1"/>
  <c r="AL148" i="10"/>
  <c r="AL80" i="10"/>
  <c r="AL81" i="10" s="1"/>
  <c r="AL82" i="10" s="1"/>
  <c r="AL83" i="10" s="1"/>
  <c r="AL25" i="9"/>
  <c r="AL179" i="9"/>
  <c r="AK131" i="11"/>
  <c r="AL174" i="11"/>
  <c r="AL57" i="11"/>
  <c r="AM175" i="9"/>
  <c r="AM53" i="11"/>
  <c r="AM175" i="11" s="1"/>
  <c r="AM23" i="12" s="1"/>
  <c r="AM21" i="9"/>
  <c r="AO131" i="10"/>
  <c r="AO145" i="10" s="1"/>
  <c r="AO156" i="10" s="1"/>
  <c r="AN32" i="10"/>
  <c r="AN39" i="10" s="1"/>
  <c r="AO33" i="10"/>
  <c r="AO40" i="10" s="1"/>
  <c r="AN24" i="10"/>
  <c r="AM73" i="10"/>
  <c r="AM70" i="10"/>
  <c r="AL108" i="10"/>
  <c r="AL110" i="10" s="1"/>
  <c r="AL111" i="10" s="1"/>
  <c r="AL112" i="10" s="1"/>
  <c r="AL113" i="10" s="1"/>
  <c r="AL69" i="11"/>
  <c r="AL191" i="9"/>
  <c r="AL192" i="9" s="1"/>
  <c r="AL90" i="12"/>
  <c r="AL30" i="9"/>
  <c r="AL31" i="9" s="1"/>
  <c r="AK55" i="9"/>
  <c r="AK192" i="11"/>
  <c r="AK106" i="11" s="1"/>
  <c r="E72" i="17"/>
  <c r="F72" i="17"/>
  <c r="O72" i="17"/>
  <c r="AE77" i="13"/>
  <c r="AE79" i="13" s="1"/>
  <c r="AF72" i="13"/>
  <c r="AF127" i="9" s="1"/>
  <c r="AF231" i="9"/>
  <c r="AF233" i="9" s="1"/>
  <c r="AG70" i="13"/>
  <c r="AG63" i="13"/>
  <c r="AF48" i="13"/>
  <c r="AF49" i="13" s="1"/>
  <c r="AF126" i="9"/>
  <c r="AG43" i="13"/>
  <c r="AC72" i="14"/>
  <c r="AC67" i="14"/>
  <c r="AH169" i="12"/>
  <c r="AH170" i="12" s="1"/>
  <c r="AH190" i="12"/>
  <c r="AH191" i="12" s="1"/>
  <c r="AA99" i="9"/>
  <c r="AA101" i="9" s="1"/>
  <c r="AA106" i="9" s="1"/>
  <c r="AA85" i="14"/>
  <c r="AA87" i="14" s="1"/>
  <c r="AA88" i="14" s="1"/>
  <c r="AA89" i="14" s="1"/>
  <c r="AB58" i="14"/>
  <c r="AB71" i="14"/>
  <c r="AB73" i="14" s="1"/>
  <c r="AE51" i="13"/>
  <c r="AE54" i="13" s="1"/>
  <c r="AR105" i="11"/>
  <c r="AQ105" i="11"/>
  <c r="AH173" i="12"/>
  <c r="AH194" i="12"/>
  <c r="Z94" i="14"/>
  <c r="I139" i="12"/>
  <c r="K75" i="2" s="1"/>
  <c r="M75" i="2" s="1"/>
  <c r="AH259" i="12"/>
  <c r="AI163" i="12"/>
  <c r="J223" i="11"/>
  <c r="K160" i="11"/>
  <c r="AI249" i="12"/>
  <c r="AG45" i="13"/>
  <c r="AH147" i="11"/>
  <c r="AH33" i="13"/>
  <c r="AI127" i="11"/>
  <c r="AG91" i="13"/>
  <c r="AH153" i="13"/>
  <c r="AG152" i="9"/>
  <c r="AH134" i="11"/>
  <c r="AO82" i="11" l="1"/>
  <c r="AO199" i="9"/>
  <c r="AO45" i="9"/>
  <c r="AL205" i="11"/>
  <c r="AL85" i="11"/>
  <c r="AN199" i="9"/>
  <c r="AN82" i="11"/>
  <c r="AN45" i="9"/>
  <c r="AH43" i="12"/>
  <c r="AH44" i="12" s="1"/>
  <c r="AH35" i="12"/>
  <c r="AM154" i="12"/>
  <c r="AN53" i="10"/>
  <c r="AN66" i="10" s="1"/>
  <c r="AN94" i="10" s="1"/>
  <c r="AN101" i="10" s="1"/>
  <c r="AN37" i="10"/>
  <c r="AN43" i="10" s="1"/>
  <c r="AN44" i="10" s="1"/>
  <c r="AK71" i="25"/>
  <c r="AK73" i="25" s="1"/>
  <c r="AJ144" i="11"/>
  <c r="AM107" i="10"/>
  <c r="AM191" i="9" s="1"/>
  <c r="AM192" i="9" s="1"/>
  <c r="AL33" i="9"/>
  <c r="AL161" i="10"/>
  <c r="AL162" i="10" s="1"/>
  <c r="AL163" i="10" s="1"/>
  <c r="AL164" i="10" s="1"/>
  <c r="AL53" i="9"/>
  <c r="AK108" i="11"/>
  <c r="AK111" i="11" s="1"/>
  <c r="AN50" i="10"/>
  <c r="AN65" i="10" s="1"/>
  <c r="AL191" i="11"/>
  <c r="AL148" i="12" s="1"/>
  <c r="AL70" i="11"/>
  <c r="AO37" i="10"/>
  <c r="AO43" i="10" s="1"/>
  <c r="AO44" i="10" s="1"/>
  <c r="AO32" i="10"/>
  <c r="AO39" i="10" s="1"/>
  <c r="AO24" i="10"/>
  <c r="AO25" i="10" s="1"/>
  <c r="AP33" i="10"/>
  <c r="AP40" i="10" s="1"/>
  <c r="AJ161" i="11"/>
  <c r="AJ221" i="11" s="1"/>
  <c r="AJ222" i="9" s="1"/>
  <c r="AJ116" i="11"/>
  <c r="AK64" i="9"/>
  <c r="AH65" i="25"/>
  <c r="AM20" i="9"/>
  <c r="AM25" i="9" s="1"/>
  <c r="AM174" i="9"/>
  <c r="AM179" i="9" s="1"/>
  <c r="AM52" i="11"/>
  <c r="AM78" i="10"/>
  <c r="AM133" i="10" s="1"/>
  <c r="AM146" i="10" s="1"/>
  <c r="AM157" i="10" s="1"/>
  <c r="AN25" i="10"/>
  <c r="AL22" i="12"/>
  <c r="AL179" i="11"/>
  <c r="AL104" i="11" s="1"/>
  <c r="AF74" i="13"/>
  <c r="AF76" i="13" s="1"/>
  <c r="AE53" i="13"/>
  <c r="AE55" i="13" s="1"/>
  <c r="AE80" i="13"/>
  <c r="AE81" i="13" s="1"/>
  <c r="AG69" i="13"/>
  <c r="AF128" i="9"/>
  <c r="AF130" i="9" s="1"/>
  <c r="AG140" i="9"/>
  <c r="AG141" i="9" s="1"/>
  <c r="AG146" i="9" s="1"/>
  <c r="AH59" i="13"/>
  <c r="AF50" i="13"/>
  <c r="AF51" i="13" s="1"/>
  <c r="AF54" i="13" s="1"/>
  <c r="AG69" i="9"/>
  <c r="AG70" i="9" s="1"/>
  <c r="AG71" i="13"/>
  <c r="AG230" i="9" s="1"/>
  <c r="AG229" i="9"/>
  <c r="AC84" i="14"/>
  <c r="AC100" i="9" s="1"/>
  <c r="AD61" i="14"/>
  <c r="AB83" i="14"/>
  <c r="AC52" i="14"/>
  <c r="AA93" i="14"/>
  <c r="AA91" i="14"/>
  <c r="AA92" i="14"/>
  <c r="AI193" i="12"/>
  <c r="AI172" i="12"/>
  <c r="AS105" i="11"/>
  <c r="AI164" i="12"/>
  <c r="AH37" i="13"/>
  <c r="AH139" i="9" s="1"/>
  <c r="AH44" i="13"/>
  <c r="AH68" i="9" s="1"/>
  <c r="K165" i="11"/>
  <c r="K220" i="11"/>
  <c r="J227" i="11"/>
  <c r="J119" i="9"/>
  <c r="AH88" i="13"/>
  <c r="AH156" i="13"/>
  <c r="AG46" i="13"/>
  <c r="AG126" i="9" s="1"/>
  <c r="AI146" i="11"/>
  <c r="AI133" i="11"/>
  <c r="AI128" i="11"/>
  <c r="AI258" i="12"/>
  <c r="AI250" i="12"/>
  <c r="E110" i="17"/>
  <c r="E24" i="17"/>
  <c r="E42" i="17"/>
  <c r="AH69" i="25" l="1"/>
  <c r="AN74" i="10"/>
  <c r="AL155" i="12"/>
  <c r="AL207" i="11"/>
  <c r="AM83" i="11"/>
  <c r="AM200" i="9"/>
  <c r="AM202" i="9" s="1"/>
  <c r="AM46" i="9"/>
  <c r="AM48" i="9" s="1"/>
  <c r="AM159" i="10"/>
  <c r="AN204" i="11"/>
  <c r="AH40" i="12"/>
  <c r="AH41" i="12" s="1"/>
  <c r="AI34" i="12"/>
  <c r="AO204" i="11"/>
  <c r="AM69" i="11"/>
  <c r="AM191" i="11" s="1"/>
  <c r="AM148" i="12" s="1"/>
  <c r="AM108" i="10"/>
  <c r="AM110" i="10" s="1"/>
  <c r="AM111" i="10" s="1"/>
  <c r="AM112" i="10" s="1"/>
  <c r="AM113" i="10" s="1"/>
  <c r="AM90" i="12"/>
  <c r="AM30" i="9"/>
  <c r="AM31" i="9" s="1"/>
  <c r="AM33" i="9" s="1"/>
  <c r="AL55" i="9"/>
  <c r="AI65" i="25" s="1"/>
  <c r="AI69" i="25" s="1"/>
  <c r="AM148" i="10"/>
  <c r="AK144" i="11"/>
  <c r="AK161" i="11"/>
  <c r="AK221" i="11" s="1"/>
  <c r="AK222" i="9" s="1"/>
  <c r="AK224" i="9" s="1"/>
  <c r="AK116" i="11"/>
  <c r="AM174" i="11"/>
  <c r="AM57" i="11"/>
  <c r="AL71" i="25"/>
  <c r="AL73" i="25" s="1"/>
  <c r="AO53" i="10"/>
  <c r="AO66" i="10" s="1"/>
  <c r="AL131" i="11"/>
  <c r="AL192" i="11"/>
  <c r="AL106" i="11" s="1"/>
  <c r="AN73" i="10"/>
  <c r="AN70" i="10"/>
  <c r="AN107" i="10"/>
  <c r="AN102" i="10"/>
  <c r="AM80" i="10"/>
  <c r="AM81" i="10" s="1"/>
  <c r="AM82" i="10" s="1"/>
  <c r="AO50" i="10"/>
  <c r="AO65" i="10" s="1"/>
  <c r="AN21" i="9"/>
  <c r="AN175" i="9"/>
  <c r="AN53" i="11"/>
  <c r="AN175" i="11" s="1"/>
  <c r="AN23" i="12" s="1"/>
  <c r="AP131" i="10"/>
  <c r="AP145" i="10" s="1"/>
  <c r="AP156" i="10" s="1"/>
  <c r="AF75" i="13"/>
  <c r="AF77" i="13" s="1"/>
  <c r="AF80" i="13" s="1"/>
  <c r="E41" i="17"/>
  <c r="AG231" i="9"/>
  <c r="AG233" i="9" s="1"/>
  <c r="AG72" i="13"/>
  <c r="AG74" i="13" s="1"/>
  <c r="AG75" i="13" s="1"/>
  <c r="AH70" i="13"/>
  <c r="AH63" i="13"/>
  <c r="AF53" i="13"/>
  <c r="AF55" i="13" s="1"/>
  <c r="AD72" i="14"/>
  <c r="AD67" i="14"/>
  <c r="AI169" i="12"/>
  <c r="AI170" i="12" s="1"/>
  <c r="AI190" i="12"/>
  <c r="AI191" i="12" s="1"/>
  <c r="AC58" i="14"/>
  <c r="AC71" i="14"/>
  <c r="AC73" i="14" s="1"/>
  <c r="AB99" i="9"/>
  <c r="AB101" i="9" s="1"/>
  <c r="AB106" i="9" s="1"/>
  <c r="AB85" i="14"/>
  <c r="AB87" i="14" s="1"/>
  <c r="AB88" i="14" s="1"/>
  <c r="AB89" i="14" s="1"/>
  <c r="AI173" i="12"/>
  <c r="AI194" i="12"/>
  <c r="AA94" i="14"/>
  <c r="AI134" i="11"/>
  <c r="AI147" i="11"/>
  <c r="AH45" i="13"/>
  <c r="AI33" i="13"/>
  <c r="J228" i="11"/>
  <c r="J229" i="11" s="1"/>
  <c r="AH43" i="13"/>
  <c r="AG48" i="13"/>
  <c r="AJ163" i="12"/>
  <c r="AJ249" i="12"/>
  <c r="AI259" i="12"/>
  <c r="AH91" i="13"/>
  <c r="AI153" i="13"/>
  <c r="AH152" i="9"/>
  <c r="K223" i="11"/>
  <c r="L160" i="11"/>
  <c r="AJ127" i="11"/>
  <c r="E25" i="17"/>
  <c r="E26" i="17" s="1"/>
  <c r="AN78" i="10" l="1"/>
  <c r="AN133" i="10" s="1"/>
  <c r="AN146" i="10" s="1"/>
  <c r="AN157" i="10" s="1"/>
  <c r="AN46" i="9" s="1"/>
  <c r="AN48" i="9" s="1"/>
  <c r="AP82" i="11"/>
  <c r="AP45" i="9"/>
  <c r="AP199" i="9"/>
  <c r="AO154" i="12"/>
  <c r="AN154" i="12"/>
  <c r="AM205" i="11"/>
  <c r="AM85" i="11"/>
  <c r="AN200" i="9"/>
  <c r="AN202" i="9" s="1"/>
  <c r="AN83" i="11"/>
  <c r="AI35" i="12"/>
  <c r="AI43" i="12"/>
  <c r="AI44" i="12" s="1"/>
  <c r="AL64" i="9"/>
  <c r="AM70" i="11"/>
  <c r="AM53" i="9"/>
  <c r="AM55" i="9" s="1"/>
  <c r="AM64" i="9" s="1"/>
  <c r="AM161" i="10"/>
  <c r="AM162" i="10" s="1"/>
  <c r="AM163" i="10" s="1"/>
  <c r="AM164" i="10" s="1"/>
  <c r="AL108" i="11"/>
  <c r="AL144" i="11" s="1"/>
  <c r="AN191" i="9"/>
  <c r="AN192" i="9" s="1"/>
  <c r="AN90" i="12"/>
  <c r="AN108" i="10"/>
  <c r="AN110" i="10" s="1"/>
  <c r="AN111" i="10" s="1"/>
  <c r="AN112" i="10" s="1"/>
  <c r="AN30" i="9"/>
  <c r="AN31" i="9" s="1"/>
  <c r="AN69" i="11"/>
  <c r="AO94" i="10"/>
  <c r="AO101" i="10" s="1"/>
  <c r="AO74" i="10"/>
  <c r="AM192" i="11"/>
  <c r="AO73" i="10"/>
  <c r="AO70" i="10"/>
  <c r="AN20" i="9"/>
  <c r="AN25" i="9" s="1"/>
  <c r="AN52" i="11"/>
  <c r="AN174" i="9"/>
  <c r="AN179" i="9" s="1"/>
  <c r="AQ131" i="10"/>
  <c r="AQ145" i="10" s="1"/>
  <c r="AQ156" i="10" s="1"/>
  <c r="AQ33" i="10"/>
  <c r="AQ40" i="10" s="1"/>
  <c r="AP32" i="10"/>
  <c r="AP39" i="10" s="1"/>
  <c r="AP24" i="10"/>
  <c r="AP37" i="10"/>
  <c r="AM83" i="10"/>
  <c r="AM179" i="11"/>
  <c r="AM104" i="11" s="1"/>
  <c r="AM22" i="12"/>
  <c r="AH69" i="13"/>
  <c r="AF79" i="13"/>
  <c r="AF81" i="13" s="1"/>
  <c r="AG127" i="9"/>
  <c r="AG128" i="9" s="1"/>
  <c r="AG130" i="9" s="1"/>
  <c r="AG76" i="13"/>
  <c r="AG77" i="13" s="1"/>
  <c r="AH229" i="9"/>
  <c r="AH140" i="9"/>
  <c r="AH141" i="9" s="1"/>
  <c r="AH146" i="9" s="1"/>
  <c r="AI59" i="13"/>
  <c r="AH69" i="9"/>
  <c r="AH70" i="9" s="1"/>
  <c r="AH71" i="13"/>
  <c r="AH230" i="9" s="1"/>
  <c r="AD84" i="14"/>
  <c r="AD100" i="9" s="1"/>
  <c r="AE61" i="14"/>
  <c r="AB93" i="14"/>
  <c r="AB92" i="14"/>
  <c r="AB91" i="14"/>
  <c r="AC83" i="14"/>
  <c r="AD52" i="14"/>
  <c r="AJ172" i="12"/>
  <c r="AJ193" i="12"/>
  <c r="AH46" i="13"/>
  <c r="AJ146" i="11"/>
  <c r="AJ133" i="11"/>
  <c r="AJ128" i="11"/>
  <c r="L220" i="11"/>
  <c r="K227" i="11"/>
  <c r="K119" i="9"/>
  <c r="AJ164" i="12"/>
  <c r="AJ258" i="12"/>
  <c r="AJ250" i="12"/>
  <c r="AG49" i="13"/>
  <c r="AG50" i="13"/>
  <c r="AI44" i="13"/>
  <c r="AI68" i="9" s="1"/>
  <c r="AI37" i="13"/>
  <c r="AI139" i="9" s="1"/>
  <c r="AI156" i="13"/>
  <c r="AI88" i="13"/>
  <c r="AN80" i="10" l="1"/>
  <c r="AN81" i="10" s="1"/>
  <c r="AN82" i="10" s="1"/>
  <c r="AN83" i="10" s="1"/>
  <c r="AN148" i="10"/>
  <c r="AN159" i="10"/>
  <c r="AP43" i="10"/>
  <c r="AP44" i="10" s="1"/>
  <c r="AN205" i="11"/>
  <c r="AN85" i="11"/>
  <c r="AI40" i="12"/>
  <c r="AI41" i="12" s="1"/>
  <c r="AJ34" i="12"/>
  <c r="AM155" i="12"/>
  <c r="AM207" i="11"/>
  <c r="AQ199" i="9"/>
  <c r="AQ45" i="9"/>
  <c r="AQ82" i="11"/>
  <c r="AP204" i="11"/>
  <c r="AM106" i="11"/>
  <c r="AN53" i="9"/>
  <c r="AJ65" i="25"/>
  <c r="AL111" i="11"/>
  <c r="AL116" i="11" s="1"/>
  <c r="AN33" i="9"/>
  <c r="AO53" i="11"/>
  <c r="AO175" i="11" s="1"/>
  <c r="AO23" i="12" s="1"/>
  <c r="AO175" i="9"/>
  <c r="AO21" i="9"/>
  <c r="AN191" i="11"/>
  <c r="AN148" i="12" s="1"/>
  <c r="AN70" i="11"/>
  <c r="AM131" i="11"/>
  <c r="AM71" i="25"/>
  <c r="AM73" i="25" s="1"/>
  <c r="AP53" i="10"/>
  <c r="AP66" i="10" s="1"/>
  <c r="AO107" i="10"/>
  <c r="AO102" i="10"/>
  <c r="AR33" i="10"/>
  <c r="AR40" i="10" s="1"/>
  <c r="AQ24" i="10"/>
  <c r="AQ25" i="10" s="1"/>
  <c r="AR131" i="10"/>
  <c r="AR145" i="10" s="1"/>
  <c r="AR156" i="10" s="1"/>
  <c r="AQ32" i="10"/>
  <c r="AQ39" i="10" s="1"/>
  <c r="AP25" i="10"/>
  <c r="AN174" i="11"/>
  <c r="AN57" i="11"/>
  <c r="AN113" i="10"/>
  <c r="AP50" i="10"/>
  <c r="AP65" i="10" s="1"/>
  <c r="AQ37" i="10"/>
  <c r="AO52" i="11"/>
  <c r="AO174" i="9"/>
  <c r="AO20" i="9"/>
  <c r="AO78" i="10"/>
  <c r="AO133" i="10" s="1"/>
  <c r="AO146" i="10" s="1"/>
  <c r="AO157" i="10" s="1"/>
  <c r="AG79" i="13"/>
  <c r="AG80" i="13"/>
  <c r="F41" i="17"/>
  <c r="AH231" i="9"/>
  <c r="AH233" i="9" s="1"/>
  <c r="AH72" i="13"/>
  <c r="AI70" i="13"/>
  <c r="AI63" i="13"/>
  <c r="AI43" i="13"/>
  <c r="AH126" i="9"/>
  <c r="AE67" i="14"/>
  <c r="AE72" i="14"/>
  <c r="AJ190" i="12"/>
  <c r="AJ191" i="12" s="1"/>
  <c r="AJ169" i="12"/>
  <c r="AJ170" i="12" s="1"/>
  <c r="AD71" i="14"/>
  <c r="AD73" i="14" s="1"/>
  <c r="AD58" i="14"/>
  <c r="AC85" i="14"/>
  <c r="AC87" i="14" s="1"/>
  <c r="AC88" i="14" s="1"/>
  <c r="AC89" i="14" s="1"/>
  <c r="AC99" i="9"/>
  <c r="AC101" i="9" s="1"/>
  <c r="AC106" i="9" s="1"/>
  <c r="AJ194" i="12"/>
  <c r="AJ173" i="12"/>
  <c r="AH48" i="13"/>
  <c r="AH50" i="13" s="1"/>
  <c r="AB94" i="14"/>
  <c r="AG51" i="13"/>
  <c r="AG53" i="13" s="1"/>
  <c r="AK163" i="12"/>
  <c r="AK127" i="11"/>
  <c r="K228" i="11"/>
  <c r="K229" i="11" s="1"/>
  <c r="AJ134" i="11"/>
  <c r="AJ147" i="11"/>
  <c r="AI91" i="13"/>
  <c r="AJ153" i="13"/>
  <c r="AI152" i="9"/>
  <c r="AJ33" i="13"/>
  <c r="AK249" i="12"/>
  <c r="AI45" i="13"/>
  <c r="AJ259" i="12"/>
  <c r="AN161" i="10" l="1"/>
  <c r="AN162" i="10" s="1"/>
  <c r="AN163" i="10" s="1"/>
  <c r="AN164" i="10" s="1"/>
  <c r="AJ69" i="25"/>
  <c r="AQ43" i="10"/>
  <c r="AQ44" i="10" s="1"/>
  <c r="AQ204" i="11"/>
  <c r="AJ43" i="12"/>
  <c r="AJ44" i="12" s="1"/>
  <c r="AJ35" i="12"/>
  <c r="AR82" i="11"/>
  <c r="AR199" i="9"/>
  <c r="AR45" i="9"/>
  <c r="AP154" i="12"/>
  <c r="AN155" i="12"/>
  <c r="AN207" i="11"/>
  <c r="AO83" i="11"/>
  <c r="AO200" i="9"/>
  <c r="AO202" i="9" s="1"/>
  <c r="AO46" i="9"/>
  <c r="AO48" i="9" s="1"/>
  <c r="AO159" i="10"/>
  <c r="AM108" i="11"/>
  <c r="AM144" i="11" s="1"/>
  <c r="AN55" i="9"/>
  <c r="AK65" i="25" s="1"/>
  <c r="AL161" i="11"/>
  <c r="AL221" i="11" s="1"/>
  <c r="AL222" i="9" s="1"/>
  <c r="AL224" i="9" s="1"/>
  <c r="AO148" i="10"/>
  <c r="AO80" i="10"/>
  <c r="AO81" i="10" s="1"/>
  <c r="AO82" i="10" s="1"/>
  <c r="AO83" i="10" s="1"/>
  <c r="AS33" i="10"/>
  <c r="AS40" i="10" s="1"/>
  <c r="AR24" i="10"/>
  <c r="AR32" i="10"/>
  <c r="AR39" i="10" s="1"/>
  <c r="AN22" i="12"/>
  <c r="AN179" i="11"/>
  <c r="AN104" i="11" s="1"/>
  <c r="AN192" i="11"/>
  <c r="AN106" i="11" s="1"/>
  <c r="AN71" i="25"/>
  <c r="AN73" i="25" s="1"/>
  <c r="AQ53" i="10"/>
  <c r="AQ66" i="10" s="1"/>
  <c r="AO69" i="11"/>
  <c r="AO191" i="9"/>
  <c r="AO192" i="9" s="1"/>
  <c r="AO108" i="10"/>
  <c r="AO110" i="10" s="1"/>
  <c r="AO111" i="10" s="1"/>
  <c r="AO112" i="10" s="1"/>
  <c r="AO30" i="9"/>
  <c r="AO31" i="9" s="1"/>
  <c r="AO90" i="12"/>
  <c r="AO25" i="9"/>
  <c r="AP74" i="10"/>
  <c r="AP94" i="10"/>
  <c r="AP101" i="10" s="1"/>
  <c r="AO179" i="9"/>
  <c r="AP73" i="10"/>
  <c r="AP70" i="10"/>
  <c r="AQ50" i="10"/>
  <c r="AQ65" i="10" s="1"/>
  <c r="AO174" i="11"/>
  <c r="AO57" i="11"/>
  <c r="AR37" i="10"/>
  <c r="AG81" i="13"/>
  <c r="AI140" i="9"/>
  <c r="AI141" i="9" s="1"/>
  <c r="AI146" i="9" s="1"/>
  <c r="AJ59" i="13"/>
  <c r="AI229" i="9"/>
  <c r="AI69" i="9"/>
  <c r="AI70" i="9" s="1"/>
  <c r="AI71" i="13"/>
  <c r="AI230" i="9" s="1"/>
  <c r="AH127" i="9"/>
  <c r="AH128" i="9" s="1"/>
  <c r="AH130" i="9" s="1"/>
  <c r="AI69" i="13"/>
  <c r="AH74" i="13"/>
  <c r="AE84" i="14"/>
  <c r="AE100" i="9" s="1"/>
  <c r="AF61" i="14"/>
  <c r="AC93" i="14"/>
  <c r="AC92" i="14"/>
  <c r="AC91" i="14"/>
  <c r="AD83" i="14"/>
  <c r="AE52" i="14"/>
  <c r="AK193" i="12"/>
  <c r="AK172" i="12"/>
  <c r="AH49" i="13"/>
  <c r="AH51" i="13" s="1"/>
  <c r="AH54" i="13" s="1"/>
  <c r="AG54" i="13"/>
  <c r="AG55" i="13" s="1"/>
  <c r="AK250" i="12"/>
  <c r="AK258" i="12"/>
  <c r="AK164" i="12"/>
  <c r="AJ88" i="13"/>
  <c r="AJ156" i="13"/>
  <c r="AJ37" i="13"/>
  <c r="AJ139" i="9" s="1"/>
  <c r="AJ44" i="13"/>
  <c r="AJ68" i="9" s="1"/>
  <c r="AK146" i="11"/>
  <c r="AK133" i="11"/>
  <c r="AK128" i="11"/>
  <c r="AI46" i="13"/>
  <c r="AI126" i="9" s="1"/>
  <c r="AK69" i="25" l="1"/>
  <c r="AR43" i="10"/>
  <c r="AR44" i="10" s="1"/>
  <c r="AJ40" i="12"/>
  <c r="AJ41" i="12" s="1"/>
  <c r="AK34" i="12"/>
  <c r="AO205" i="11"/>
  <c r="AO85" i="11"/>
  <c r="AR204" i="11"/>
  <c r="AQ154" i="12"/>
  <c r="AN108" i="11"/>
  <c r="AN144" i="11" s="1"/>
  <c r="AM111" i="11"/>
  <c r="AM161" i="11" s="1"/>
  <c r="AM221" i="11" s="1"/>
  <c r="AM222" i="9" s="1"/>
  <c r="AN64" i="9"/>
  <c r="AO53" i="9"/>
  <c r="AO161" i="10"/>
  <c r="AO162" i="10" s="1"/>
  <c r="AO163" i="10" s="1"/>
  <c r="AO164" i="10" s="1"/>
  <c r="AO33" i="9"/>
  <c r="AO113" i="10"/>
  <c r="AO22" i="12"/>
  <c r="AO179" i="11"/>
  <c r="AO104" i="11" s="1"/>
  <c r="AP107" i="10"/>
  <c r="AP102" i="10"/>
  <c r="AN131" i="11"/>
  <c r="AP78" i="10"/>
  <c r="AP133" i="10" s="1"/>
  <c r="AP146" i="10" s="1"/>
  <c r="AP157" i="10" s="1"/>
  <c r="AP53" i="11"/>
  <c r="AP175" i="11" s="1"/>
  <c r="AP23" i="12" s="1"/>
  <c r="AP175" i="9"/>
  <c r="AP21" i="9"/>
  <c r="AO191" i="11"/>
  <c r="AO148" i="12" s="1"/>
  <c r="AO70" i="11"/>
  <c r="AQ94" i="10"/>
  <c r="AQ101" i="10" s="1"/>
  <c r="AQ74" i="10"/>
  <c r="AR50" i="10"/>
  <c r="AR65" i="10" s="1"/>
  <c r="AQ73" i="10"/>
  <c r="AQ70" i="10"/>
  <c r="AR25" i="10"/>
  <c r="AO71" i="25"/>
  <c r="AO73" i="25" s="1"/>
  <c r="AR53" i="10"/>
  <c r="AR66" i="10" s="1"/>
  <c r="AP52" i="11"/>
  <c r="AP20" i="9"/>
  <c r="AP174" i="9"/>
  <c r="AS131" i="10"/>
  <c r="AS145" i="10" s="1"/>
  <c r="AS156" i="10" s="1"/>
  <c r="AI231" i="9"/>
  <c r="AI233" i="9" s="1"/>
  <c r="AH76" i="13"/>
  <c r="AH75" i="13"/>
  <c r="AJ63" i="13"/>
  <c r="AJ70" i="13"/>
  <c r="AI72" i="13"/>
  <c r="AF67" i="14"/>
  <c r="AF72" i="14"/>
  <c r="AK190" i="12"/>
  <c r="AK191" i="12" s="1"/>
  <c r="AK169" i="12"/>
  <c r="AK170" i="12" s="1"/>
  <c r="AE71" i="14"/>
  <c r="AE73" i="14" s="1"/>
  <c r="AE58" i="14"/>
  <c r="AD99" i="9"/>
  <c r="AD101" i="9" s="1"/>
  <c r="AD106" i="9" s="1"/>
  <c r="AD85" i="14"/>
  <c r="AD87" i="14" s="1"/>
  <c r="AD88" i="14" s="1"/>
  <c r="AD89" i="14" s="1"/>
  <c r="AK173" i="12"/>
  <c r="AK194" i="12"/>
  <c r="AH53" i="13"/>
  <c r="AH55" i="13" s="1"/>
  <c r="AC94" i="14"/>
  <c r="AL163" i="12"/>
  <c r="AL127" i="11"/>
  <c r="AK134" i="11"/>
  <c r="AK147" i="11"/>
  <c r="AJ45" i="13"/>
  <c r="AK33" i="13"/>
  <c r="AK259" i="12"/>
  <c r="AJ43" i="13"/>
  <c r="AI48" i="13"/>
  <c r="AJ91" i="13"/>
  <c r="AK153" i="13"/>
  <c r="AJ152" i="9"/>
  <c r="AL249" i="12"/>
  <c r="AP83" i="11" l="1"/>
  <c r="AP200" i="9"/>
  <c r="AP202" i="9" s="1"/>
  <c r="AP46" i="9"/>
  <c r="AP48" i="9" s="1"/>
  <c r="AP159" i="10"/>
  <c r="AR154" i="12"/>
  <c r="AS82" i="11"/>
  <c r="AS199" i="9"/>
  <c r="AS45" i="9"/>
  <c r="AO155" i="12"/>
  <c r="AO207" i="11"/>
  <c r="AK35" i="12"/>
  <c r="AK43" i="12"/>
  <c r="AK44" i="12" s="1"/>
  <c r="AN111" i="11"/>
  <c r="AN161" i="11" s="1"/>
  <c r="AN221" i="11" s="1"/>
  <c r="AN222" i="9" s="1"/>
  <c r="AN224" i="9" s="1"/>
  <c r="AM116" i="11"/>
  <c r="AO55" i="9"/>
  <c r="AL65" i="25" s="1"/>
  <c r="AP148" i="10"/>
  <c r="AP80" i="10"/>
  <c r="AP81" i="10" s="1"/>
  <c r="AP82" i="10" s="1"/>
  <c r="AP83" i="10" s="1"/>
  <c r="AP25" i="9"/>
  <c r="AP174" i="11"/>
  <c r="AP57" i="11"/>
  <c r="AQ107" i="10"/>
  <c r="AQ102" i="10"/>
  <c r="AQ174" i="9"/>
  <c r="AQ20" i="9"/>
  <c r="AQ52" i="11"/>
  <c r="AO192" i="11"/>
  <c r="AO106" i="11" s="1"/>
  <c r="AP191" i="9"/>
  <c r="AP192" i="9" s="1"/>
  <c r="AP30" i="9"/>
  <c r="AP31" i="9" s="1"/>
  <c r="AP108" i="10"/>
  <c r="AP110" i="10" s="1"/>
  <c r="AP111" i="10" s="1"/>
  <c r="AP112" i="10" s="1"/>
  <c r="AP90" i="12"/>
  <c r="AP69" i="11"/>
  <c r="AO131" i="11"/>
  <c r="AS32" i="10"/>
  <c r="AS24" i="10"/>
  <c r="AR73" i="10"/>
  <c r="AR70" i="10"/>
  <c r="AP179" i="9"/>
  <c r="AR94" i="10"/>
  <c r="AR101" i="10" s="1"/>
  <c r="AR74" i="10"/>
  <c r="AS37" i="10"/>
  <c r="AQ78" i="10"/>
  <c r="AQ133" i="10" s="1"/>
  <c r="AQ146" i="10" s="1"/>
  <c r="AQ157" i="10" s="1"/>
  <c r="AQ175" i="9"/>
  <c r="AQ53" i="11"/>
  <c r="AQ175" i="11" s="1"/>
  <c r="AQ23" i="12" s="1"/>
  <c r="AQ21" i="9"/>
  <c r="AH77" i="13"/>
  <c r="AH79" i="13" s="1"/>
  <c r="AJ69" i="9"/>
  <c r="AJ70" i="9" s="1"/>
  <c r="AJ71" i="13"/>
  <c r="AJ230" i="9" s="1"/>
  <c r="AJ229" i="9"/>
  <c r="AJ140" i="9"/>
  <c r="AJ141" i="9" s="1"/>
  <c r="AJ146" i="9" s="1"/>
  <c r="AK59" i="13"/>
  <c r="AI127" i="9"/>
  <c r="AI128" i="9" s="1"/>
  <c r="AI130" i="9" s="1"/>
  <c r="AJ69" i="13"/>
  <c r="AI74" i="13"/>
  <c r="AF84" i="14"/>
  <c r="AF100" i="9" s="1"/>
  <c r="AG61" i="14"/>
  <c r="AD93" i="14"/>
  <c r="AD92" i="14"/>
  <c r="AD91" i="14"/>
  <c r="AE83" i="14"/>
  <c r="AF52" i="14"/>
  <c r="AL172" i="12"/>
  <c r="AL193" i="12"/>
  <c r="AJ46" i="13"/>
  <c r="AK44" i="13"/>
  <c r="AK68" i="9" s="1"/>
  <c r="AK37" i="13"/>
  <c r="AK139" i="9" s="1"/>
  <c r="AK88" i="13"/>
  <c r="AK156" i="13"/>
  <c r="AI50" i="13"/>
  <c r="AI49" i="13"/>
  <c r="AL128" i="11"/>
  <c r="AL146" i="11"/>
  <c r="AL133" i="11"/>
  <c r="AL164" i="12"/>
  <c r="AL258" i="12"/>
  <c r="AL250" i="12"/>
  <c r="AL69" i="25" l="1"/>
  <c r="AQ200" i="9"/>
  <c r="AQ202" i="9" s="1"/>
  <c r="AQ46" i="9"/>
  <c r="AQ48" i="9" s="1"/>
  <c r="AQ83" i="11"/>
  <c r="AQ159" i="10"/>
  <c r="AK40" i="12"/>
  <c r="AK41" i="12" s="1"/>
  <c r="AL34" i="12"/>
  <c r="AS204" i="11"/>
  <c r="AP205" i="11"/>
  <c r="AP85" i="11"/>
  <c r="L6" i="25"/>
  <c r="AS39" i="10"/>
  <c r="AS43" i="10" s="1"/>
  <c r="AS44" i="10" s="1"/>
  <c r="AJ72" i="13"/>
  <c r="AJ74" i="13" s="1"/>
  <c r="AJ76" i="13" s="1"/>
  <c r="AN116" i="11"/>
  <c r="AO64" i="9"/>
  <c r="AP33" i="9"/>
  <c r="AO108" i="11"/>
  <c r="AO111" i="11" s="1"/>
  <c r="AO161" i="11" s="1"/>
  <c r="AO221" i="11" s="1"/>
  <c r="AO222" i="9" s="1"/>
  <c r="AO224" i="9" s="1"/>
  <c r="AP53" i="9"/>
  <c r="AQ25" i="9"/>
  <c r="AQ179" i="9"/>
  <c r="AP161" i="10"/>
  <c r="AP162" i="10" s="1"/>
  <c r="AP163" i="10" s="1"/>
  <c r="AP164" i="10" s="1"/>
  <c r="AQ148" i="10"/>
  <c r="AP113" i="10"/>
  <c r="AR78" i="10"/>
  <c r="AR133" i="10" s="1"/>
  <c r="AR146" i="10" s="1"/>
  <c r="AR157" i="10" s="1"/>
  <c r="AR21" i="9"/>
  <c r="AR53" i="11"/>
  <c r="AR175" i="11" s="1"/>
  <c r="AR23" i="12" s="1"/>
  <c r="AR175" i="9"/>
  <c r="AR107" i="10"/>
  <c r="AR102" i="10"/>
  <c r="AQ30" i="9"/>
  <c r="AQ31" i="9" s="1"/>
  <c r="AQ108" i="10"/>
  <c r="AQ110" i="10" s="1"/>
  <c r="AQ111" i="10" s="1"/>
  <c r="AQ112" i="10" s="1"/>
  <c r="AQ90" i="12"/>
  <c r="AQ69" i="11"/>
  <c r="AQ191" i="9"/>
  <c r="AQ192" i="9" s="1"/>
  <c r="AQ174" i="11"/>
  <c r="AQ57" i="11"/>
  <c r="AP191" i="11"/>
  <c r="AP148" i="12" s="1"/>
  <c r="AP70" i="11"/>
  <c r="AR174" i="9"/>
  <c r="AR52" i="11"/>
  <c r="AR20" i="9"/>
  <c r="AS50" i="10"/>
  <c r="AS65" i="10" s="1"/>
  <c r="AS25" i="10"/>
  <c r="I25" i="10" s="1"/>
  <c r="K67" i="2" s="1"/>
  <c r="M67" i="2" s="1"/>
  <c r="I24" i="10"/>
  <c r="K13" i="2" s="1"/>
  <c r="M13" i="2" s="1"/>
  <c r="AP71" i="25"/>
  <c r="AP73" i="25" s="1"/>
  <c r="AS53" i="10"/>
  <c r="AS66" i="10" s="1"/>
  <c r="AQ80" i="10"/>
  <c r="AQ81" i="10" s="1"/>
  <c r="AQ82" i="10" s="1"/>
  <c r="AP179" i="11"/>
  <c r="AP104" i="11" s="1"/>
  <c r="AP22" i="12"/>
  <c r="AJ231" i="9"/>
  <c r="AJ233" i="9" s="1"/>
  <c r="AH80" i="13"/>
  <c r="AH81" i="13" s="1"/>
  <c r="AK70" i="13"/>
  <c r="AK63" i="13"/>
  <c r="AJ48" i="13"/>
  <c r="AJ50" i="13" s="1"/>
  <c r="AJ126" i="9"/>
  <c r="AI76" i="13"/>
  <c r="AI75" i="13"/>
  <c r="AG67" i="14"/>
  <c r="AG72" i="14"/>
  <c r="AL190" i="12"/>
  <c r="AL191" i="12" s="1"/>
  <c r="AL169" i="12"/>
  <c r="AL170" i="12" s="1"/>
  <c r="AF71" i="14"/>
  <c r="AF73" i="14" s="1"/>
  <c r="AF58" i="14"/>
  <c r="AE99" i="9"/>
  <c r="AE101" i="9" s="1"/>
  <c r="AE106" i="9" s="1"/>
  <c r="AE85" i="14"/>
  <c r="AE87" i="14" s="1"/>
  <c r="AE88" i="14" s="1"/>
  <c r="AE89" i="14" s="1"/>
  <c r="AL194" i="12"/>
  <c r="AL173" i="12"/>
  <c r="AK43" i="13"/>
  <c r="AI51" i="13"/>
  <c r="AI54" i="13" s="1"/>
  <c r="AD94" i="14"/>
  <c r="AL33" i="13"/>
  <c r="AK45" i="13"/>
  <c r="AM249" i="12"/>
  <c r="AL134" i="11"/>
  <c r="AK91" i="13"/>
  <c r="AL153" i="13"/>
  <c r="AK152" i="9"/>
  <c r="AL259" i="12"/>
  <c r="AL147" i="11"/>
  <c r="AM163" i="12"/>
  <c r="AM127" i="11"/>
  <c r="AK69" i="13" l="1"/>
  <c r="AJ127" i="9"/>
  <c r="AJ75" i="13"/>
  <c r="AP155" i="12"/>
  <c r="AP207" i="11"/>
  <c r="AQ205" i="11"/>
  <c r="AQ85" i="11"/>
  <c r="AS154" i="12"/>
  <c r="AR83" i="11"/>
  <c r="AR200" i="9"/>
  <c r="AR202" i="9" s="1"/>
  <c r="AR46" i="9"/>
  <c r="AR48" i="9" s="1"/>
  <c r="AR159" i="10"/>
  <c r="AL43" i="12"/>
  <c r="AL44" i="12" s="1"/>
  <c r="AL35" i="12"/>
  <c r="AP55" i="9"/>
  <c r="AP64" i="9" s="1"/>
  <c r="AQ33" i="9"/>
  <c r="AO144" i="11"/>
  <c r="AR80" i="10"/>
  <c r="AR81" i="10" s="1"/>
  <c r="AR82" i="10" s="1"/>
  <c r="AR83" i="10" s="1"/>
  <c r="AO116" i="11"/>
  <c r="AQ53" i="9"/>
  <c r="AQ161" i="10"/>
  <c r="AQ162" i="10" s="1"/>
  <c r="AQ163" i="10" s="1"/>
  <c r="AQ164" i="10" s="1"/>
  <c r="AR148" i="10"/>
  <c r="I44" i="10"/>
  <c r="K68" i="2" s="1"/>
  <c r="M68" i="2" s="1"/>
  <c r="AR25" i="9"/>
  <c r="AQ113" i="10"/>
  <c r="AR179" i="9"/>
  <c r="AP131" i="11"/>
  <c r="AQ83" i="10"/>
  <c r="AS94" i="10"/>
  <c r="AS101" i="10" s="1"/>
  <c r="AS74" i="10"/>
  <c r="AS73" i="10"/>
  <c r="AS70" i="10"/>
  <c r="AR90" i="12"/>
  <c r="AR69" i="11"/>
  <c r="AR191" i="9"/>
  <c r="AR192" i="9" s="1"/>
  <c r="AR30" i="9"/>
  <c r="AR31" i="9" s="1"/>
  <c r="AR108" i="10"/>
  <c r="AR110" i="10" s="1"/>
  <c r="AR111" i="10" s="1"/>
  <c r="AR112" i="10" s="1"/>
  <c r="AR113" i="10" s="1"/>
  <c r="AP192" i="11"/>
  <c r="AP106" i="11" s="1"/>
  <c r="AQ22" i="12"/>
  <c r="AQ179" i="11"/>
  <c r="AQ104" i="11" s="1"/>
  <c r="AR174" i="11"/>
  <c r="AR57" i="11"/>
  <c r="AQ191" i="11"/>
  <c r="AQ148" i="12" s="1"/>
  <c r="AQ70" i="11"/>
  <c r="AI77" i="13"/>
  <c r="AI80" i="13" s="1"/>
  <c r="AJ128" i="9"/>
  <c r="AJ130" i="9" s="1"/>
  <c r="AJ77" i="13"/>
  <c r="AJ79" i="13" s="1"/>
  <c r="AK229" i="9"/>
  <c r="AK140" i="9"/>
  <c r="AK141" i="9" s="1"/>
  <c r="AK146" i="9" s="1"/>
  <c r="AL59" i="13"/>
  <c r="AJ49" i="13"/>
  <c r="AJ51" i="13" s="1"/>
  <c r="AJ53" i="13" s="1"/>
  <c r="AK69" i="9"/>
  <c r="AK70" i="9" s="1"/>
  <c r="AK71" i="13"/>
  <c r="AK230" i="9" s="1"/>
  <c r="AG84" i="14"/>
  <c r="AG100" i="9" s="1"/>
  <c r="AH61" i="14"/>
  <c r="AE91" i="14"/>
  <c r="AE93" i="14"/>
  <c r="AE92" i="14"/>
  <c r="AF83" i="14"/>
  <c r="AG52" i="14"/>
  <c r="AM172" i="12"/>
  <c r="AM193" i="12"/>
  <c r="AI53" i="13"/>
  <c r="AI55" i="13" s="1"/>
  <c r="AM250" i="12"/>
  <c r="AM258" i="12"/>
  <c r="AM146" i="11"/>
  <c r="AM133" i="11"/>
  <c r="AM128" i="11"/>
  <c r="AK46" i="13"/>
  <c r="AK126" i="9" s="1"/>
  <c r="AM164" i="12"/>
  <c r="AL44" i="13"/>
  <c r="AL68" i="9" s="1"/>
  <c r="AL37" i="13"/>
  <c r="AL139" i="9" s="1"/>
  <c r="AL156" i="13"/>
  <c r="AL88" i="13"/>
  <c r="AQ155" i="12" l="1"/>
  <c r="AQ207" i="11"/>
  <c r="AL40" i="12"/>
  <c r="AL41" i="12" s="1"/>
  <c r="AM34" i="12"/>
  <c r="AR205" i="11"/>
  <c r="AR85" i="11"/>
  <c r="I43" i="10"/>
  <c r="K14" i="2" s="1"/>
  <c r="M14" i="2" s="1"/>
  <c r="AQ55" i="9"/>
  <c r="AQ64" i="9" s="1"/>
  <c r="AM65" i="25"/>
  <c r="AR33" i="9"/>
  <c r="AR53" i="9"/>
  <c r="AP108" i="11"/>
  <c r="AP144" i="11" s="1"/>
  <c r="AR161" i="10"/>
  <c r="AR162" i="10" s="1"/>
  <c r="AR163" i="10" s="1"/>
  <c r="AR164" i="10" s="1"/>
  <c r="AQ192" i="11"/>
  <c r="AQ106" i="11" s="1"/>
  <c r="AS52" i="11"/>
  <c r="AS174" i="9"/>
  <c r="AS20" i="9"/>
  <c r="AR22" i="12"/>
  <c r="AR179" i="11"/>
  <c r="AR104" i="11" s="1"/>
  <c r="AS78" i="10"/>
  <c r="AS133" i="10" s="1"/>
  <c r="AS146" i="10" s="1"/>
  <c r="AS157" i="10" s="1"/>
  <c r="AS53" i="11"/>
  <c r="AS175" i="11" s="1"/>
  <c r="AS23" i="12" s="1"/>
  <c r="AS21" i="9"/>
  <c r="AS175" i="9"/>
  <c r="AS102" i="10"/>
  <c r="AS107" i="10"/>
  <c r="AQ131" i="11"/>
  <c r="AR191" i="11"/>
  <c r="AR148" i="12" s="1"/>
  <c r="AR70" i="11"/>
  <c r="AI79" i="13"/>
  <c r="AI81" i="13" s="1"/>
  <c r="AJ80" i="13"/>
  <c r="AJ81" i="13" s="1"/>
  <c r="AJ54" i="13"/>
  <c r="AJ55" i="13" s="1"/>
  <c r="AL70" i="13"/>
  <c r="AL63" i="13"/>
  <c r="AK231" i="9"/>
  <c r="AK233" i="9" s="1"/>
  <c r="AK72" i="13"/>
  <c r="AH67" i="14"/>
  <c r="AH72" i="14"/>
  <c r="AM190" i="12"/>
  <c r="AM191" i="12" s="1"/>
  <c r="AM169" i="12"/>
  <c r="AM170" i="12" s="1"/>
  <c r="AG71" i="14"/>
  <c r="AG73" i="14" s="1"/>
  <c r="AG58" i="14"/>
  <c r="AF99" i="9"/>
  <c r="AF101" i="9" s="1"/>
  <c r="AF106" i="9" s="1"/>
  <c r="AF85" i="14"/>
  <c r="AF87" i="14" s="1"/>
  <c r="AF88" i="14" s="1"/>
  <c r="AF89" i="14" s="1"/>
  <c r="AM194" i="12"/>
  <c r="AM173" i="12"/>
  <c r="AE94" i="14"/>
  <c r="AL43" i="13"/>
  <c r="AK48" i="13"/>
  <c r="AN127" i="11"/>
  <c r="AL91" i="13"/>
  <c r="AM153" i="13"/>
  <c r="AL152" i="9"/>
  <c r="AM134" i="11"/>
  <c r="AM33" i="13"/>
  <c r="AM147" i="11"/>
  <c r="AL45" i="13"/>
  <c r="AN163" i="12"/>
  <c r="AM259" i="12"/>
  <c r="AN249" i="12"/>
  <c r="AM69" i="25" l="1"/>
  <c r="AR155" i="12"/>
  <c r="AR207" i="11"/>
  <c r="AM35" i="12"/>
  <c r="AM43" i="12"/>
  <c r="AM44" i="12" s="1"/>
  <c r="AS83" i="11"/>
  <c r="AS200" i="9"/>
  <c r="AS202" i="9" s="1"/>
  <c r="AS46" i="9"/>
  <c r="AS48" i="9" s="1"/>
  <c r="AS159" i="10"/>
  <c r="AN65" i="25"/>
  <c r="AR55" i="9"/>
  <c r="AR64" i="9" s="1"/>
  <c r="AS179" i="9"/>
  <c r="AS148" i="10"/>
  <c r="AQ108" i="11"/>
  <c r="AQ111" i="11" s="1"/>
  <c r="AQ116" i="11" s="1"/>
  <c r="AP111" i="11"/>
  <c r="AP116" i="11" s="1"/>
  <c r="AS191" i="9"/>
  <c r="AS192" i="9" s="1"/>
  <c r="AS30" i="9"/>
  <c r="AS31" i="9" s="1"/>
  <c r="AS90" i="12"/>
  <c r="AS108" i="10"/>
  <c r="AS110" i="10" s="1"/>
  <c r="AS111" i="10" s="1"/>
  <c r="AS112" i="10" s="1"/>
  <c r="AS69" i="11"/>
  <c r="AS25" i="9"/>
  <c r="AS174" i="11"/>
  <c r="AS57" i="11"/>
  <c r="AR192" i="11"/>
  <c r="AR106" i="11" s="1"/>
  <c r="AR131" i="11"/>
  <c r="AS80" i="10"/>
  <c r="AS81" i="10" s="1"/>
  <c r="AS82" i="10" s="1"/>
  <c r="AK127" i="9"/>
  <c r="AK128" i="9" s="1"/>
  <c r="AK130" i="9" s="1"/>
  <c r="AL69" i="13"/>
  <c r="AK74" i="13"/>
  <c r="AL229" i="9"/>
  <c r="AL140" i="9"/>
  <c r="AL141" i="9" s="1"/>
  <c r="AL146" i="9" s="1"/>
  <c r="AM59" i="13"/>
  <c r="AL69" i="9"/>
  <c r="AL70" i="9" s="1"/>
  <c r="AL71" i="13"/>
  <c r="AL230" i="9" s="1"/>
  <c r="AH84" i="14"/>
  <c r="AH100" i="9" s="1"/>
  <c r="AI61" i="14"/>
  <c r="AF93" i="14"/>
  <c r="AF92" i="14"/>
  <c r="AF91" i="14"/>
  <c r="AG83" i="14"/>
  <c r="AH52" i="14"/>
  <c r="AN193" i="12"/>
  <c r="AN172" i="12"/>
  <c r="AL46" i="13"/>
  <c r="AN250" i="12"/>
  <c r="AN258" i="12"/>
  <c r="AM88" i="13"/>
  <c r="AM156" i="13"/>
  <c r="AN146" i="11"/>
  <c r="AN133" i="11"/>
  <c r="AN128" i="11"/>
  <c r="AN164" i="12"/>
  <c r="AK50" i="13"/>
  <c r="AK49" i="13"/>
  <c r="AM37" i="13"/>
  <c r="AM139" i="9" s="1"/>
  <c r="AM44" i="13"/>
  <c r="AM68" i="9" s="1"/>
  <c r="AN69" i="25" l="1"/>
  <c r="AS205" i="11"/>
  <c r="AS85" i="11"/>
  <c r="AM40" i="12"/>
  <c r="AM41" i="12" s="1"/>
  <c r="AN34" i="12"/>
  <c r="AO65" i="25"/>
  <c r="AS53" i="9"/>
  <c r="AR108" i="11"/>
  <c r="AR144" i="11" s="1"/>
  <c r="AP161" i="11"/>
  <c r="AP221" i="11" s="1"/>
  <c r="AP222" i="9" s="1"/>
  <c r="AS161" i="10"/>
  <c r="AS162" i="10" s="1"/>
  <c r="AS163" i="10" s="1"/>
  <c r="AS164" i="10" s="1"/>
  <c r="AQ144" i="11"/>
  <c r="AQ161" i="11"/>
  <c r="AQ221" i="11" s="1"/>
  <c r="AQ222" i="9" s="1"/>
  <c r="AQ224" i="9" s="1"/>
  <c r="AS191" i="11"/>
  <c r="AS148" i="12" s="1"/>
  <c r="AS70" i="11"/>
  <c r="AS113" i="10"/>
  <c r="I113" i="10" s="1"/>
  <c r="K70" i="2" s="1"/>
  <c r="M70" i="2" s="1"/>
  <c r="I112" i="10"/>
  <c r="K16" i="2" s="1"/>
  <c r="M16" i="2" s="1"/>
  <c r="AS33" i="9"/>
  <c r="AS83" i="10"/>
  <c r="I83" i="10" s="1"/>
  <c r="K69" i="2" s="1"/>
  <c r="M69" i="2" s="1"/>
  <c r="I82" i="10"/>
  <c r="K15" i="2" s="1"/>
  <c r="M15" i="2" s="1"/>
  <c r="AS179" i="11"/>
  <c r="AS104" i="11" s="1"/>
  <c r="AS22" i="12"/>
  <c r="AL231" i="9"/>
  <c r="AL233" i="9" s="1"/>
  <c r="AL48" i="13"/>
  <c r="AL50" i="13" s="1"/>
  <c r="AL126" i="9"/>
  <c r="AM63" i="13"/>
  <c r="AM70" i="13"/>
  <c r="AK75" i="13"/>
  <c r="AK76" i="13"/>
  <c r="AL72" i="13"/>
  <c r="AI72" i="14"/>
  <c r="AI67" i="14"/>
  <c r="AN169" i="12"/>
  <c r="AN170" i="12" s="1"/>
  <c r="AN190" i="12"/>
  <c r="AN191" i="12" s="1"/>
  <c r="AH71" i="14"/>
  <c r="AH73" i="14" s="1"/>
  <c r="AH58" i="14"/>
  <c r="AG99" i="9"/>
  <c r="AG101" i="9" s="1"/>
  <c r="AG106" i="9" s="1"/>
  <c r="AG85" i="14"/>
  <c r="AG87" i="14" s="1"/>
  <c r="AG88" i="14" s="1"/>
  <c r="AG89" i="14" s="1"/>
  <c r="AN173" i="12"/>
  <c r="AN194" i="12"/>
  <c r="AM43" i="13"/>
  <c r="AK51" i="13"/>
  <c r="AK54" i="13" s="1"/>
  <c r="AF94" i="14"/>
  <c r="AO127" i="11"/>
  <c r="AN134" i="11"/>
  <c r="AN259" i="12"/>
  <c r="AO163" i="12"/>
  <c r="AN147" i="11"/>
  <c r="AO249" i="12"/>
  <c r="AM45" i="13"/>
  <c r="AN33" i="13"/>
  <c r="AM91" i="13"/>
  <c r="AN153" i="13"/>
  <c r="AM152" i="9"/>
  <c r="AO69" i="25" l="1"/>
  <c r="AN35" i="12"/>
  <c r="AN43" i="12"/>
  <c r="AN44" i="12" s="1"/>
  <c r="AS155" i="12"/>
  <c r="AS207" i="11"/>
  <c r="AS108" i="11" s="1"/>
  <c r="AS55" i="9"/>
  <c r="AP65" i="25" s="1"/>
  <c r="AP69" i="25" s="1"/>
  <c r="P6" i="25" s="1"/>
  <c r="AR111" i="11"/>
  <c r="AR116" i="11" s="1"/>
  <c r="I164" i="10"/>
  <c r="K71" i="2" s="1"/>
  <c r="M71" i="2" s="1"/>
  <c r="I163" i="10"/>
  <c r="K17" i="2" s="1"/>
  <c r="M17" i="2" s="1"/>
  <c r="AS192" i="11"/>
  <c r="AS106" i="11" s="1"/>
  <c r="AS131" i="11"/>
  <c r="AL49" i="13"/>
  <c r="AL51" i="13" s="1"/>
  <c r="AL53" i="13" s="1"/>
  <c r="AK77" i="13"/>
  <c r="AK80" i="13" s="1"/>
  <c r="AM69" i="9"/>
  <c r="AM70" i="9" s="1"/>
  <c r="AM71" i="13"/>
  <c r="AM230" i="9" s="1"/>
  <c r="AM140" i="9"/>
  <c r="AM141" i="9" s="1"/>
  <c r="AM146" i="9" s="1"/>
  <c r="AN59" i="13"/>
  <c r="AM229" i="9"/>
  <c r="AL127" i="9"/>
  <c r="AL128" i="9" s="1"/>
  <c r="AL130" i="9" s="1"/>
  <c r="AM69" i="13"/>
  <c r="AL74" i="13"/>
  <c r="AI84" i="14"/>
  <c r="AI100" i="9" s="1"/>
  <c r="AJ61" i="14"/>
  <c r="AG93" i="14"/>
  <c r="AG92" i="14"/>
  <c r="AG91" i="14"/>
  <c r="AH83" i="14"/>
  <c r="AI52" i="14"/>
  <c r="AO172" i="12"/>
  <c r="AO193" i="12"/>
  <c r="AK53" i="13"/>
  <c r="AK55" i="13" s="1"/>
  <c r="AM46" i="13"/>
  <c r="AO164" i="12"/>
  <c r="AO258" i="12"/>
  <c r="AO250" i="12"/>
  <c r="AN156" i="13"/>
  <c r="AN88" i="13"/>
  <c r="AN44" i="13"/>
  <c r="AN68" i="9" s="1"/>
  <c r="AN37" i="13"/>
  <c r="AN139" i="9" s="1"/>
  <c r="AO146" i="11"/>
  <c r="AO133" i="11"/>
  <c r="AO128" i="11"/>
  <c r="AN40" i="12" l="1"/>
  <c r="AN41" i="12" s="1"/>
  <c r="AO34" i="12"/>
  <c r="AM231" i="9"/>
  <c r="AM233" i="9" s="1"/>
  <c r="AS64" i="9"/>
  <c r="AR161" i="11"/>
  <c r="AR221" i="11" s="1"/>
  <c r="AR222" i="9" s="1"/>
  <c r="AR224" i="9" s="1"/>
  <c r="AS144" i="11"/>
  <c r="AS111" i="11"/>
  <c r="AS161" i="11" s="1"/>
  <c r="AS221" i="11" s="1"/>
  <c r="AS222" i="9" s="1"/>
  <c r="AM72" i="13"/>
  <c r="AM74" i="13" s="1"/>
  <c r="AM75" i="13" s="1"/>
  <c r="AK79" i="13"/>
  <c r="AK81" i="13" s="1"/>
  <c r="AM48" i="13"/>
  <c r="AM49" i="13" s="1"/>
  <c r="AM126" i="9"/>
  <c r="AL76" i="13"/>
  <c r="AL75" i="13"/>
  <c r="AN63" i="13"/>
  <c r="AN70" i="13"/>
  <c r="AJ67" i="14"/>
  <c r="AJ72" i="14"/>
  <c r="AO190" i="12"/>
  <c r="AO191" i="12" s="1"/>
  <c r="AO169" i="12"/>
  <c r="AO170" i="12" s="1"/>
  <c r="AI58" i="14"/>
  <c r="AI71" i="14"/>
  <c r="AI73" i="14" s="1"/>
  <c r="AH99" i="9"/>
  <c r="AH101" i="9" s="1"/>
  <c r="AH106" i="9" s="1"/>
  <c r="AH85" i="14"/>
  <c r="AH87" i="14" s="1"/>
  <c r="AH88" i="14" s="1"/>
  <c r="AH89" i="14" s="1"/>
  <c r="AO194" i="12"/>
  <c r="AO173" i="12"/>
  <c r="AL54" i="13"/>
  <c r="AL55" i="13" s="1"/>
  <c r="AN43" i="13"/>
  <c r="AG94" i="14"/>
  <c r="AO134" i="11"/>
  <c r="AO147" i="11"/>
  <c r="AP127" i="11"/>
  <c r="AP163" i="12"/>
  <c r="AN45" i="13"/>
  <c r="AP249" i="12"/>
  <c r="AO33" i="13"/>
  <c r="AO259" i="12"/>
  <c r="AN91" i="13"/>
  <c r="AO153" i="13"/>
  <c r="AN152" i="9"/>
  <c r="AO35" i="12" l="1"/>
  <c r="AO43" i="12"/>
  <c r="AO44" i="12" s="1"/>
  <c r="AS116" i="11"/>
  <c r="AN69" i="13"/>
  <c r="AM50" i="13"/>
  <c r="AM51" i="13" s="1"/>
  <c r="AM53" i="13" s="1"/>
  <c r="AM127" i="9"/>
  <c r="AM128" i="9" s="1"/>
  <c r="AM130" i="9" s="1"/>
  <c r="AL77" i="13"/>
  <c r="AL80" i="13" s="1"/>
  <c r="AM76" i="13"/>
  <c r="AM77" i="13" s="1"/>
  <c r="AM80" i="13" s="1"/>
  <c r="AN229" i="9"/>
  <c r="AN140" i="9"/>
  <c r="AN141" i="9" s="1"/>
  <c r="AN146" i="9" s="1"/>
  <c r="AO59" i="13"/>
  <c r="AN69" i="9"/>
  <c r="AN70" i="9" s="1"/>
  <c r="AN71" i="13"/>
  <c r="AN230" i="9" s="1"/>
  <c r="AJ84" i="14"/>
  <c r="AJ100" i="9" s="1"/>
  <c r="AK61" i="14"/>
  <c r="AH93" i="14"/>
  <c r="AH92" i="14"/>
  <c r="AH91" i="14"/>
  <c r="AI83" i="14"/>
  <c r="AJ52" i="14"/>
  <c r="AP193" i="12"/>
  <c r="AP172" i="12"/>
  <c r="AP164" i="12"/>
  <c r="AP258" i="12"/>
  <c r="AP250" i="12"/>
  <c r="AP146" i="11"/>
  <c r="AP133" i="11"/>
  <c r="AP128" i="11"/>
  <c r="AO44" i="13"/>
  <c r="AO68" i="9" s="1"/>
  <c r="AO37" i="13"/>
  <c r="AO139" i="9" s="1"/>
  <c r="AO156" i="13"/>
  <c r="AO88" i="13"/>
  <c r="AN46" i="13"/>
  <c r="AN126" i="9" s="1"/>
  <c r="AO40" i="12" l="1"/>
  <c r="AO41" i="12" s="1"/>
  <c r="AP34" i="12"/>
  <c r="AL79" i="13"/>
  <c r="AL81" i="13" s="1"/>
  <c r="AM54" i="13"/>
  <c r="AM55" i="13" s="1"/>
  <c r="AM79" i="13"/>
  <c r="AM81" i="13" s="1"/>
  <c r="AN231" i="9"/>
  <c r="AN233" i="9" s="1"/>
  <c r="AN72" i="13"/>
  <c r="AO70" i="13"/>
  <c r="AO63" i="13"/>
  <c r="AK67" i="14"/>
  <c r="AK72" i="14"/>
  <c r="AP169" i="12"/>
  <c r="AP170" i="12" s="1"/>
  <c r="AP190" i="12"/>
  <c r="AP191" i="12" s="1"/>
  <c r="AJ58" i="14"/>
  <c r="AJ71" i="14"/>
  <c r="AJ73" i="14" s="1"/>
  <c r="AI99" i="9"/>
  <c r="AI101" i="9" s="1"/>
  <c r="AI106" i="9" s="1"/>
  <c r="AI85" i="14"/>
  <c r="AI87" i="14" s="1"/>
  <c r="AI88" i="14" s="1"/>
  <c r="AI89" i="14" s="1"/>
  <c r="AP173" i="12"/>
  <c r="AP194" i="12"/>
  <c r="AH94" i="14"/>
  <c r="AP147" i="11"/>
  <c r="AQ249" i="12"/>
  <c r="AO43" i="13"/>
  <c r="AN48" i="13"/>
  <c r="AP33" i="13"/>
  <c r="AP259" i="12"/>
  <c r="AO45" i="13"/>
  <c r="AQ163" i="12"/>
  <c r="AO91" i="13"/>
  <c r="AP153" i="13"/>
  <c r="AO152" i="9"/>
  <c r="AQ127" i="11"/>
  <c r="AP134" i="11"/>
  <c r="AP43" i="12" l="1"/>
  <c r="AP44" i="12" s="1"/>
  <c r="AP35" i="12"/>
  <c r="AO69" i="9"/>
  <c r="AO70" i="9" s="1"/>
  <c r="AO71" i="13"/>
  <c r="AO230" i="9" s="1"/>
  <c r="AN127" i="9"/>
  <c r="AN128" i="9" s="1"/>
  <c r="AN130" i="9" s="1"/>
  <c r="AO69" i="13"/>
  <c r="AN74" i="13"/>
  <c r="AO140" i="9"/>
  <c r="AO141" i="9" s="1"/>
  <c r="AO146" i="9" s="1"/>
  <c r="AP59" i="13"/>
  <c r="AO229" i="9"/>
  <c r="AL61" i="14"/>
  <c r="AK84" i="14"/>
  <c r="AK100" i="9" s="1"/>
  <c r="AI92" i="14"/>
  <c r="AI91" i="14"/>
  <c r="AI93" i="14"/>
  <c r="AJ83" i="14"/>
  <c r="AK52" i="14"/>
  <c r="AQ193" i="12"/>
  <c r="AQ172" i="12"/>
  <c r="AO46" i="13"/>
  <c r="AQ164" i="12"/>
  <c r="AP44" i="13"/>
  <c r="AP68" i="9" s="1"/>
  <c r="AP37" i="13"/>
  <c r="AP139" i="9" s="1"/>
  <c r="AP88" i="13"/>
  <c r="AP156" i="13"/>
  <c r="AQ258" i="12"/>
  <c r="AQ250" i="12"/>
  <c r="AQ146" i="11"/>
  <c r="AQ133" i="11"/>
  <c r="AQ128" i="11"/>
  <c r="AN50" i="13"/>
  <c r="AN49" i="13"/>
  <c r="AP40" i="12" l="1"/>
  <c r="AP41" i="12" s="1"/>
  <c r="AQ34" i="12"/>
  <c r="AO72" i="13"/>
  <c r="AO74" i="13" s="1"/>
  <c r="AO75" i="13" s="1"/>
  <c r="AO231" i="9"/>
  <c r="AO233" i="9" s="1"/>
  <c r="AP70" i="13"/>
  <c r="AP63" i="13"/>
  <c r="AN76" i="13"/>
  <c r="AN75" i="13"/>
  <c r="AP43" i="13"/>
  <c r="AO126" i="9"/>
  <c r="AL67" i="14"/>
  <c r="AL72" i="14"/>
  <c r="AQ169" i="12"/>
  <c r="AQ170" i="12" s="1"/>
  <c r="AQ190" i="12"/>
  <c r="AQ191" i="12" s="1"/>
  <c r="AJ99" i="9"/>
  <c r="AJ101" i="9" s="1"/>
  <c r="AJ106" i="9" s="1"/>
  <c r="AJ85" i="14"/>
  <c r="AJ87" i="14" s="1"/>
  <c r="AJ88" i="14" s="1"/>
  <c r="AJ89" i="14" s="1"/>
  <c r="AK71" i="14"/>
  <c r="AK73" i="14" s="1"/>
  <c r="AK58" i="14"/>
  <c r="AQ173" i="12"/>
  <c r="AQ194" i="12"/>
  <c r="AO48" i="13"/>
  <c r="AO50" i="13" s="1"/>
  <c r="AI94" i="14"/>
  <c r="AN51" i="13"/>
  <c r="AN54" i="13" s="1"/>
  <c r="AR127" i="11"/>
  <c r="AP45" i="13"/>
  <c r="AP91" i="13"/>
  <c r="AQ153" i="13"/>
  <c r="AP152" i="9"/>
  <c r="AQ134" i="11"/>
  <c r="AQ147" i="11"/>
  <c r="AR163" i="12"/>
  <c r="AR249" i="12"/>
  <c r="AQ33" i="13"/>
  <c r="AQ259" i="12"/>
  <c r="H74" i="17"/>
  <c r="AQ35" i="12" l="1"/>
  <c r="AQ43" i="12"/>
  <c r="AQ44" i="12" s="1"/>
  <c r="AO127" i="9"/>
  <c r="AO128" i="9" s="1"/>
  <c r="AO130" i="9" s="1"/>
  <c r="AO76" i="13"/>
  <c r="AO77" i="13" s="1"/>
  <c r="AP69" i="13"/>
  <c r="AN77" i="13"/>
  <c r="AN79" i="13" s="1"/>
  <c r="AP229" i="9"/>
  <c r="AP140" i="9"/>
  <c r="AP141" i="9" s="1"/>
  <c r="AP146" i="9" s="1"/>
  <c r="AQ59" i="13"/>
  <c r="AP69" i="9"/>
  <c r="AP70" i="9" s="1"/>
  <c r="AP71" i="13"/>
  <c r="AP230" i="9" s="1"/>
  <c r="AO49" i="13"/>
  <c r="AO51" i="13" s="1"/>
  <c r="AO54" i="13" s="1"/>
  <c r="AN53" i="13"/>
  <c r="AN55" i="13" s="1"/>
  <c r="AM61" i="14"/>
  <c r="AL84" i="14"/>
  <c r="AL100" i="9" s="1"/>
  <c r="AK83" i="14"/>
  <c r="AL52" i="14"/>
  <c r="AJ93" i="14"/>
  <c r="AJ92" i="14"/>
  <c r="AJ91" i="14"/>
  <c r="AR172" i="12"/>
  <c r="AR193" i="12"/>
  <c r="AP46" i="13"/>
  <c r="AR146" i="11"/>
  <c r="AR133" i="11"/>
  <c r="AR128" i="11"/>
  <c r="AQ44" i="13"/>
  <c r="AQ68" i="9" s="1"/>
  <c r="AQ37" i="13"/>
  <c r="AQ139" i="9" s="1"/>
  <c r="AR258" i="12"/>
  <c r="AR250" i="12"/>
  <c r="AQ156" i="13"/>
  <c r="AQ88" i="13"/>
  <c r="AR164" i="12"/>
  <c r="AQ40" i="12" l="1"/>
  <c r="AQ41" i="12" s="1"/>
  <c r="AR34" i="12"/>
  <c r="AP231" i="9"/>
  <c r="AP233" i="9" s="1"/>
  <c r="AO79" i="13"/>
  <c r="AO80" i="13"/>
  <c r="AN80" i="13"/>
  <c r="AN81" i="13" s="1"/>
  <c r="AP48" i="13"/>
  <c r="AP49" i="13" s="1"/>
  <c r="AP126" i="9"/>
  <c r="AP72" i="13"/>
  <c r="AQ63" i="13"/>
  <c r="AQ70" i="13"/>
  <c r="AQ43" i="13"/>
  <c r="AM72" i="14"/>
  <c r="AM67" i="14"/>
  <c r="AR190" i="12"/>
  <c r="AR191" i="12" s="1"/>
  <c r="AR169" i="12"/>
  <c r="AR170" i="12" s="1"/>
  <c r="AL58" i="14"/>
  <c r="AL71" i="14"/>
  <c r="AL73" i="14" s="1"/>
  <c r="AK85" i="14"/>
  <c r="AK87" i="14" s="1"/>
  <c r="AK88" i="14" s="1"/>
  <c r="AK89" i="14" s="1"/>
  <c r="AK99" i="9"/>
  <c r="AK101" i="9" s="1"/>
  <c r="AK106" i="9" s="1"/>
  <c r="AR194" i="12"/>
  <c r="AR173" i="12"/>
  <c r="AO53" i="13"/>
  <c r="AO55" i="13" s="1"/>
  <c r="AJ94" i="14"/>
  <c r="AS249" i="12"/>
  <c r="AR259" i="12"/>
  <c r="AR33" i="13"/>
  <c r="AQ45" i="13"/>
  <c r="AS163" i="12"/>
  <c r="AS127" i="11"/>
  <c r="AR134" i="11"/>
  <c r="AR147" i="11"/>
  <c r="AQ91" i="13"/>
  <c r="AR153" i="13"/>
  <c r="AQ152" i="9"/>
  <c r="AR43" i="12" l="1"/>
  <c r="AR44" i="12" s="1"/>
  <c r="AR35" i="12"/>
  <c r="AO81" i="13"/>
  <c r="AQ69" i="9"/>
  <c r="AQ70" i="9" s="1"/>
  <c r="AQ71" i="13"/>
  <c r="AQ230" i="9" s="1"/>
  <c r="AP127" i="9"/>
  <c r="AP128" i="9" s="1"/>
  <c r="AP130" i="9" s="1"/>
  <c r="AQ69" i="13"/>
  <c r="AP74" i="13"/>
  <c r="AQ140" i="9"/>
  <c r="AQ141" i="9" s="1"/>
  <c r="AQ146" i="9" s="1"/>
  <c r="AR59" i="13"/>
  <c r="AQ229" i="9"/>
  <c r="AP50" i="13"/>
  <c r="AP51" i="13" s="1"/>
  <c r="AP53" i="13" s="1"/>
  <c r="AM84" i="14"/>
  <c r="AM100" i="9" s="1"/>
  <c r="AN61" i="14"/>
  <c r="AK93" i="14"/>
  <c r="AK92" i="14"/>
  <c r="AK91" i="14"/>
  <c r="AL83" i="14"/>
  <c r="AM52" i="14"/>
  <c r="AS193" i="12"/>
  <c r="AS172" i="12"/>
  <c r="AQ46" i="13"/>
  <c r="AS164" i="12"/>
  <c r="AS128" i="11"/>
  <c r="AS146" i="11"/>
  <c r="AS133" i="11"/>
  <c r="AR37" i="13"/>
  <c r="AR139" i="9" s="1"/>
  <c r="AR44" i="13"/>
  <c r="AR68" i="9" s="1"/>
  <c r="AS258" i="12"/>
  <c r="AS250" i="12"/>
  <c r="AR156" i="13"/>
  <c r="AR88" i="13"/>
  <c r="AR40" i="12" l="1"/>
  <c r="AR41" i="12" s="1"/>
  <c r="AS34" i="12"/>
  <c r="AQ231" i="9"/>
  <c r="AQ233" i="9" s="1"/>
  <c r="AQ72" i="13"/>
  <c r="AQ74" i="13" s="1"/>
  <c r="AQ76" i="13" s="1"/>
  <c r="AP54" i="13"/>
  <c r="AP55" i="13" s="1"/>
  <c r="AP75" i="13"/>
  <c r="AP76" i="13"/>
  <c r="AQ126" i="9"/>
  <c r="AR63" i="13"/>
  <c r="AR70" i="13"/>
  <c r="AN67" i="14"/>
  <c r="AN72" i="14"/>
  <c r="AS169" i="12"/>
  <c r="AS170" i="12" s="1"/>
  <c r="AS190" i="12"/>
  <c r="AS191" i="12" s="1"/>
  <c r="AL99" i="9"/>
  <c r="AL101" i="9" s="1"/>
  <c r="AL106" i="9" s="1"/>
  <c r="AL85" i="14"/>
  <c r="AL87" i="14" s="1"/>
  <c r="AL88" i="14" s="1"/>
  <c r="AL89" i="14" s="1"/>
  <c r="AM71" i="14"/>
  <c r="AM73" i="14" s="1"/>
  <c r="AM58" i="14"/>
  <c r="L195" i="12"/>
  <c r="J195" i="12"/>
  <c r="J174" i="12"/>
  <c r="K174" i="12"/>
  <c r="K195" i="12"/>
  <c r="M195" i="12"/>
  <c r="L174" i="12"/>
  <c r="M174" i="12"/>
  <c r="N174" i="12"/>
  <c r="N195" i="12"/>
  <c r="O195" i="12"/>
  <c r="O174" i="12"/>
  <c r="P174" i="12"/>
  <c r="P195" i="12"/>
  <c r="Q174" i="12"/>
  <c r="Q195" i="12"/>
  <c r="R174" i="12"/>
  <c r="R195" i="12"/>
  <c r="S195" i="12"/>
  <c r="S174" i="12"/>
  <c r="T174" i="12"/>
  <c r="T195" i="12"/>
  <c r="U195" i="12"/>
  <c r="U174" i="12"/>
  <c r="V195" i="12"/>
  <c r="V174" i="12"/>
  <c r="W195" i="12"/>
  <c r="W174" i="12"/>
  <c r="X195" i="12"/>
  <c r="X174" i="12"/>
  <c r="Y174" i="12"/>
  <c r="Y195" i="12"/>
  <c r="Z174" i="12"/>
  <c r="Z195" i="12"/>
  <c r="AA174" i="12"/>
  <c r="AA195" i="12"/>
  <c r="AB174" i="12"/>
  <c r="AB195" i="12"/>
  <c r="AC174" i="12"/>
  <c r="AC195" i="12"/>
  <c r="AD195" i="12"/>
  <c r="AD174" i="12"/>
  <c r="AE174" i="12"/>
  <c r="AE195" i="12"/>
  <c r="AF195" i="12"/>
  <c r="AF174" i="12"/>
  <c r="AG195" i="12"/>
  <c r="AG174" i="12"/>
  <c r="AH195" i="12"/>
  <c r="AH174" i="12"/>
  <c r="AI195" i="12"/>
  <c r="AI174" i="12"/>
  <c r="AJ174" i="12"/>
  <c r="AJ195" i="12"/>
  <c r="AK174" i="12"/>
  <c r="AK195" i="12"/>
  <c r="AL195" i="12"/>
  <c r="AL174" i="12"/>
  <c r="AM195" i="12"/>
  <c r="AM174" i="12"/>
  <c r="AQ174" i="12"/>
  <c r="AR195" i="12"/>
  <c r="AP174" i="12"/>
  <c r="AO195" i="12"/>
  <c r="AR174" i="12"/>
  <c r="AN174" i="12"/>
  <c r="AQ195" i="12"/>
  <c r="AP195" i="12"/>
  <c r="AO174" i="12"/>
  <c r="AN195" i="12"/>
  <c r="AS174" i="12"/>
  <c r="AS173" i="12"/>
  <c r="AS195" i="12"/>
  <c r="AS194" i="12"/>
  <c r="AQ48" i="13"/>
  <c r="AQ50" i="13" s="1"/>
  <c r="AR43" i="13"/>
  <c r="AK94" i="14"/>
  <c r="AS260" i="12"/>
  <c r="AS259" i="12"/>
  <c r="AR45" i="13"/>
  <c r="AS33" i="13"/>
  <c r="J260" i="12"/>
  <c r="K260" i="12"/>
  <c r="L260" i="12"/>
  <c r="M260" i="12"/>
  <c r="N260" i="12"/>
  <c r="O260" i="12"/>
  <c r="P260" i="12"/>
  <c r="Q260" i="12"/>
  <c r="R260" i="12"/>
  <c r="S260" i="12"/>
  <c r="T260" i="12"/>
  <c r="U260" i="12"/>
  <c r="V260" i="12"/>
  <c r="W260" i="12"/>
  <c r="X260" i="12"/>
  <c r="Y260" i="12"/>
  <c r="Z260" i="12"/>
  <c r="AA260" i="12"/>
  <c r="AB260" i="12"/>
  <c r="AC260" i="12"/>
  <c r="AD260" i="12"/>
  <c r="AE260" i="12"/>
  <c r="AF260" i="12"/>
  <c r="AG260" i="12"/>
  <c r="AH260" i="12"/>
  <c r="AI260" i="12"/>
  <c r="AJ260" i="12"/>
  <c r="AK260" i="12"/>
  <c r="AL260" i="12"/>
  <c r="AM260" i="12"/>
  <c r="AN260" i="12"/>
  <c r="AR260" i="12"/>
  <c r="AP260" i="12"/>
  <c r="AO260" i="12"/>
  <c r="AQ260" i="12"/>
  <c r="K148" i="11"/>
  <c r="J135" i="11"/>
  <c r="J148" i="11"/>
  <c r="L135" i="11"/>
  <c r="L148" i="11"/>
  <c r="K135" i="11"/>
  <c r="M148" i="11"/>
  <c r="M135" i="11"/>
  <c r="N135" i="11"/>
  <c r="N148" i="11"/>
  <c r="O148" i="11"/>
  <c r="O135" i="11"/>
  <c r="P135" i="11"/>
  <c r="P148" i="11"/>
  <c r="Q148" i="11"/>
  <c r="Q135" i="11"/>
  <c r="R148" i="11"/>
  <c r="R135" i="11"/>
  <c r="S135" i="11"/>
  <c r="S148" i="11"/>
  <c r="T135" i="11"/>
  <c r="T148" i="11"/>
  <c r="U135" i="11"/>
  <c r="U148" i="11"/>
  <c r="V148" i="11"/>
  <c r="V135" i="11"/>
  <c r="W135" i="11"/>
  <c r="W148" i="11"/>
  <c r="X135" i="11"/>
  <c r="X148" i="11"/>
  <c r="Y148" i="11"/>
  <c r="Y135" i="11"/>
  <c r="Z135" i="11"/>
  <c r="Z148" i="11"/>
  <c r="AA135" i="11"/>
  <c r="AA148" i="11"/>
  <c r="AB148" i="11"/>
  <c r="AB135" i="11"/>
  <c r="AC148" i="11"/>
  <c r="AC135" i="11"/>
  <c r="AD148" i="11"/>
  <c r="AD135" i="11"/>
  <c r="AE135" i="11"/>
  <c r="AE148" i="11"/>
  <c r="AF148" i="11"/>
  <c r="AF135" i="11"/>
  <c r="AG148" i="11"/>
  <c r="AG135" i="11"/>
  <c r="AH135" i="11"/>
  <c r="AH148" i="11"/>
  <c r="AI148" i="11"/>
  <c r="AI135" i="11"/>
  <c r="AJ148" i="11"/>
  <c r="AJ135" i="11"/>
  <c r="AK148" i="11"/>
  <c r="AK135" i="11"/>
  <c r="AL135" i="11"/>
  <c r="AL148" i="11"/>
  <c r="AM148" i="11"/>
  <c r="AM135" i="11"/>
  <c r="AQ148" i="11"/>
  <c r="AP135" i="11"/>
  <c r="AN135" i="11"/>
  <c r="AR135" i="11"/>
  <c r="AO148" i="11"/>
  <c r="AN148" i="11"/>
  <c r="AR148" i="11"/>
  <c r="AO135" i="11"/>
  <c r="AQ135" i="11"/>
  <c r="AP148" i="11"/>
  <c r="AR91" i="13"/>
  <c r="AS153" i="13"/>
  <c r="AR152" i="9"/>
  <c r="AS134" i="11"/>
  <c r="AS135" i="11"/>
  <c r="AS147" i="11"/>
  <c r="AS148" i="11"/>
  <c r="AS43" i="12" l="1"/>
  <c r="AS35" i="12"/>
  <c r="AQ127" i="9"/>
  <c r="AQ128" i="9" s="1"/>
  <c r="AQ130" i="9" s="1"/>
  <c r="AR69" i="13"/>
  <c r="AP77" i="13"/>
  <c r="AP79" i="13" s="1"/>
  <c r="AQ75" i="13"/>
  <c r="AQ77" i="13" s="1"/>
  <c r="AQ79" i="13" s="1"/>
  <c r="AR69" i="9"/>
  <c r="AR70" i="9" s="1"/>
  <c r="AR71" i="13"/>
  <c r="AR230" i="9" s="1"/>
  <c r="AR140" i="9"/>
  <c r="AR141" i="9" s="1"/>
  <c r="AR146" i="9" s="1"/>
  <c r="AS59" i="13"/>
  <c r="AR229" i="9"/>
  <c r="AN84" i="14"/>
  <c r="AN100" i="9" s="1"/>
  <c r="AO61" i="14"/>
  <c r="AR46" i="13"/>
  <c r="AS43" i="13" s="1"/>
  <c r="AM83" i="14"/>
  <c r="AN52" i="14"/>
  <c r="AL91" i="14"/>
  <c r="AL93" i="14"/>
  <c r="AL92" i="14"/>
  <c r="AO196" i="12"/>
  <c r="AO198" i="12"/>
  <c r="AK196" i="12"/>
  <c r="AK198" i="12"/>
  <c r="AG175" i="12"/>
  <c r="AG177" i="12"/>
  <c r="AC196" i="12"/>
  <c r="AC198" i="12"/>
  <c r="Y196" i="12"/>
  <c r="Y198" i="12"/>
  <c r="U175" i="12"/>
  <c r="U177" i="12"/>
  <c r="Q196" i="12"/>
  <c r="Q198" i="12"/>
  <c r="M175" i="12"/>
  <c r="M177" i="12"/>
  <c r="AS175" i="12"/>
  <c r="AS177" i="12"/>
  <c r="AP175" i="12"/>
  <c r="AP177" i="12"/>
  <c r="AK175" i="12"/>
  <c r="AK177" i="12"/>
  <c r="AG196" i="12"/>
  <c r="AG198" i="12"/>
  <c r="AC175" i="12"/>
  <c r="AC177" i="12"/>
  <c r="Y175" i="12"/>
  <c r="Y177" i="12"/>
  <c r="U196" i="12"/>
  <c r="U198" i="12"/>
  <c r="Q175" i="12"/>
  <c r="Q177" i="12"/>
  <c r="L175" i="12"/>
  <c r="L177" i="12"/>
  <c r="AN196" i="12"/>
  <c r="AN198" i="12"/>
  <c r="AR196" i="12"/>
  <c r="AR198" i="12"/>
  <c r="AJ196" i="12"/>
  <c r="AJ198" i="12"/>
  <c r="AF175" i="12"/>
  <c r="AF177" i="12"/>
  <c r="AB196" i="12"/>
  <c r="AB198" i="12"/>
  <c r="X175" i="12"/>
  <c r="X177" i="12"/>
  <c r="T196" i="12"/>
  <c r="T198" i="12"/>
  <c r="P196" i="12"/>
  <c r="P198" i="12"/>
  <c r="M196" i="12"/>
  <c r="M198" i="12"/>
  <c r="AO175" i="12"/>
  <c r="AO177" i="12"/>
  <c r="AQ175" i="12"/>
  <c r="AQ177" i="12"/>
  <c r="AJ175" i="12"/>
  <c r="AJ177" i="12"/>
  <c r="AF196" i="12"/>
  <c r="AF198" i="12"/>
  <c r="AB175" i="12"/>
  <c r="AB177" i="12"/>
  <c r="X196" i="12"/>
  <c r="X198" i="12"/>
  <c r="T175" i="12"/>
  <c r="T177" i="12"/>
  <c r="P175" i="12"/>
  <c r="P177" i="12"/>
  <c r="K196" i="12"/>
  <c r="K198" i="12"/>
  <c r="AP196" i="12"/>
  <c r="AP198" i="12"/>
  <c r="AM175" i="12"/>
  <c r="AM177" i="12"/>
  <c r="AI175" i="12"/>
  <c r="AI177" i="12"/>
  <c r="AE196" i="12"/>
  <c r="AE198" i="12"/>
  <c r="AA196" i="12"/>
  <c r="AA198" i="12"/>
  <c r="W175" i="12"/>
  <c r="W177" i="12"/>
  <c r="S175" i="12"/>
  <c r="S177" i="12"/>
  <c r="O175" i="12"/>
  <c r="O177" i="12"/>
  <c r="K175" i="12"/>
  <c r="K177" i="12"/>
  <c r="AQ196" i="12"/>
  <c r="AQ198" i="12"/>
  <c r="AM196" i="12"/>
  <c r="AM198" i="12"/>
  <c r="AI196" i="12"/>
  <c r="AI198" i="12"/>
  <c r="AE175" i="12"/>
  <c r="AE177" i="12"/>
  <c r="AA175" i="12"/>
  <c r="AA177" i="12"/>
  <c r="W196" i="12"/>
  <c r="W198" i="12"/>
  <c r="S196" i="12"/>
  <c r="S198" i="12"/>
  <c r="O196" i="12"/>
  <c r="O198" i="12"/>
  <c r="J175" i="12"/>
  <c r="J177" i="12"/>
  <c r="AN175" i="12"/>
  <c r="AN177" i="12"/>
  <c r="AL175" i="12"/>
  <c r="AL177" i="12"/>
  <c r="AH175" i="12"/>
  <c r="AH177" i="12"/>
  <c r="AD175" i="12"/>
  <c r="AD177" i="12"/>
  <c r="Z196" i="12"/>
  <c r="Z198" i="12"/>
  <c r="V175" i="12"/>
  <c r="V177" i="12"/>
  <c r="R196" i="12"/>
  <c r="R198" i="12"/>
  <c r="N196" i="12"/>
  <c r="N198" i="12"/>
  <c r="J196" i="12"/>
  <c r="J198" i="12"/>
  <c r="AS196" i="12"/>
  <c r="AS198" i="12"/>
  <c r="AR175" i="12"/>
  <c r="AR177" i="12"/>
  <c r="AL196" i="12"/>
  <c r="AL198" i="12"/>
  <c r="AH196" i="12"/>
  <c r="AH198" i="12"/>
  <c r="AD196" i="12"/>
  <c r="AD198" i="12"/>
  <c r="Z175" i="12"/>
  <c r="Z177" i="12"/>
  <c r="V196" i="12"/>
  <c r="V198" i="12"/>
  <c r="R175" i="12"/>
  <c r="R177" i="12"/>
  <c r="N175" i="12"/>
  <c r="N177" i="12"/>
  <c r="L196" i="12"/>
  <c r="L198" i="12"/>
  <c r="AQ49" i="13"/>
  <c r="AQ51" i="13" s="1"/>
  <c r="AQ53" i="13" s="1"/>
  <c r="AO136" i="11"/>
  <c r="AO138" i="11"/>
  <c r="AM136" i="11"/>
  <c r="AM138" i="11"/>
  <c r="AI136" i="11"/>
  <c r="AI138" i="11"/>
  <c r="AE149" i="11"/>
  <c r="AE151" i="11"/>
  <c r="AA149" i="11"/>
  <c r="AA151" i="11"/>
  <c r="W149" i="11"/>
  <c r="W151" i="11"/>
  <c r="S149" i="11"/>
  <c r="S151" i="11"/>
  <c r="O136" i="11"/>
  <c r="O138" i="11"/>
  <c r="L136" i="11"/>
  <c r="L138" i="11"/>
  <c r="AP261" i="12"/>
  <c r="AP263" i="12"/>
  <c r="AH261" i="12"/>
  <c r="AH263" i="12"/>
  <c r="Z261" i="12"/>
  <c r="Z263" i="12"/>
  <c r="R261" i="12"/>
  <c r="R263" i="12"/>
  <c r="J261" i="12"/>
  <c r="J263" i="12"/>
  <c r="AR149" i="11"/>
  <c r="AR151" i="11"/>
  <c r="AM149" i="11"/>
  <c r="AM151" i="11"/>
  <c r="AI149" i="11"/>
  <c r="AI151" i="11"/>
  <c r="AE136" i="11"/>
  <c r="AE138" i="11"/>
  <c r="AA136" i="11"/>
  <c r="AA138" i="11"/>
  <c r="W136" i="11"/>
  <c r="W138" i="11"/>
  <c r="S136" i="11"/>
  <c r="S138" i="11"/>
  <c r="O149" i="11"/>
  <c r="O151" i="11"/>
  <c r="J149" i="11"/>
  <c r="J151" i="11"/>
  <c r="AR261" i="12"/>
  <c r="AR263" i="12"/>
  <c r="AG261" i="12"/>
  <c r="AG263" i="12"/>
  <c r="Y261" i="12"/>
  <c r="Y263" i="12"/>
  <c r="Q261" i="12"/>
  <c r="Q263" i="12"/>
  <c r="AN149" i="11"/>
  <c r="AN151" i="11"/>
  <c r="AL149" i="11"/>
  <c r="AL151" i="11"/>
  <c r="AH149" i="11"/>
  <c r="AH151" i="11"/>
  <c r="AD136" i="11"/>
  <c r="AD138" i="11"/>
  <c r="Z149" i="11"/>
  <c r="Z151" i="11"/>
  <c r="V136" i="11"/>
  <c r="V138" i="11"/>
  <c r="R136" i="11"/>
  <c r="R138" i="11"/>
  <c r="N149" i="11"/>
  <c r="N151" i="11"/>
  <c r="J136" i="11"/>
  <c r="J138" i="11"/>
  <c r="AN261" i="12"/>
  <c r="AN263" i="12"/>
  <c r="AF261" i="12"/>
  <c r="AF263" i="12"/>
  <c r="X261" i="12"/>
  <c r="X263" i="12"/>
  <c r="P261" i="12"/>
  <c r="P263" i="12"/>
  <c r="AS156" i="13"/>
  <c r="AS88" i="13"/>
  <c r="AO149" i="11"/>
  <c r="AO151" i="11"/>
  <c r="AL136" i="11"/>
  <c r="AL138" i="11"/>
  <c r="AH136" i="11"/>
  <c r="AH138" i="11"/>
  <c r="AD149" i="11"/>
  <c r="AD151" i="11"/>
  <c r="Z136" i="11"/>
  <c r="Z138" i="11"/>
  <c r="V149" i="11"/>
  <c r="V151" i="11"/>
  <c r="R149" i="11"/>
  <c r="R151" i="11"/>
  <c r="N136" i="11"/>
  <c r="N138" i="11"/>
  <c r="K149" i="11"/>
  <c r="K151" i="11"/>
  <c r="AM261" i="12"/>
  <c r="AM263" i="12"/>
  <c r="AE261" i="12"/>
  <c r="AE263" i="12"/>
  <c r="W261" i="12"/>
  <c r="W263" i="12"/>
  <c r="O261" i="12"/>
  <c r="O263" i="12"/>
  <c r="AK136" i="11"/>
  <c r="AK138" i="11"/>
  <c r="AG136" i="11"/>
  <c r="AG138" i="11"/>
  <c r="AC136" i="11"/>
  <c r="AC138" i="11"/>
  <c r="Y136" i="11"/>
  <c r="Y138" i="11"/>
  <c r="U149" i="11"/>
  <c r="U151" i="11"/>
  <c r="Q136" i="11"/>
  <c r="Q138" i="11"/>
  <c r="M136" i="11"/>
  <c r="M138" i="11"/>
  <c r="AL261" i="12"/>
  <c r="AL263" i="12"/>
  <c r="AD261" i="12"/>
  <c r="AD263" i="12"/>
  <c r="V261" i="12"/>
  <c r="V263" i="12"/>
  <c r="N261" i="12"/>
  <c r="N263" i="12"/>
  <c r="AS44" i="13"/>
  <c r="AS68" i="9" s="1"/>
  <c r="AS37" i="13"/>
  <c r="AS139" i="9" s="1"/>
  <c r="AS136" i="11"/>
  <c r="AS138" i="11"/>
  <c r="AR136" i="11"/>
  <c r="AR138" i="11"/>
  <c r="AS149" i="11"/>
  <c r="AS151" i="11"/>
  <c r="AN136" i="11"/>
  <c r="AN138" i="11"/>
  <c r="AK149" i="11"/>
  <c r="AK151" i="11"/>
  <c r="AG149" i="11"/>
  <c r="AG151" i="11"/>
  <c r="AC149" i="11"/>
  <c r="AC151" i="11"/>
  <c r="Y149" i="11"/>
  <c r="Y151" i="11"/>
  <c r="U136" i="11"/>
  <c r="U138" i="11"/>
  <c r="Q149" i="11"/>
  <c r="Q151" i="11"/>
  <c r="M149" i="11"/>
  <c r="M151" i="11"/>
  <c r="AK261" i="12"/>
  <c r="AK263" i="12"/>
  <c r="AC261" i="12"/>
  <c r="AC263" i="12"/>
  <c r="U261" i="12"/>
  <c r="U263" i="12"/>
  <c r="M261" i="12"/>
  <c r="M263" i="12"/>
  <c r="AP149" i="11"/>
  <c r="AP151" i="11"/>
  <c r="AP136" i="11"/>
  <c r="AP138" i="11"/>
  <c r="AJ136" i="11"/>
  <c r="AJ138" i="11"/>
  <c r="AF136" i="11"/>
  <c r="AF138" i="11"/>
  <c r="AB136" i="11"/>
  <c r="AB138" i="11"/>
  <c r="X149" i="11"/>
  <c r="X151" i="11"/>
  <c r="T149" i="11"/>
  <c r="T151" i="11"/>
  <c r="P149" i="11"/>
  <c r="P151" i="11"/>
  <c r="K136" i="11"/>
  <c r="K138" i="11"/>
  <c r="AQ261" i="12"/>
  <c r="AQ263" i="12"/>
  <c r="AJ261" i="12"/>
  <c r="AJ263" i="12"/>
  <c r="AB261" i="12"/>
  <c r="AB263" i="12"/>
  <c r="T261" i="12"/>
  <c r="T263" i="12"/>
  <c r="L261" i="12"/>
  <c r="L263" i="12"/>
  <c r="AQ136" i="11"/>
  <c r="AQ138" i="11"/>
  <c r="AQ149" i="11"/>
  <c r="AQ151" i="11"/>
  <c r="AJ149" i="11"/>
  <c r="AJ151" i="11"/>
  <c r="AF149" i="11"/>
  <c r="AF151" i="11"/>
  <c r="AB149" i="11"/>
  <c r="AB151" i="11"/>
  <c r="X136" i="11"/>
  <c r="X138" i="11"/>
  <c r="T136" i="11"/>
  <c r="T138" i="11"/>
  <c r="P136" i="11"/>
  <c r="P138" i="11"/>
  <c r="L149" i="11"/>
  <c r="L151" i="11"/>
  <c r="AO261" i="12"/>
  <c r="AO263" i="12"/>
  <c r="AI261" i="12"/>
  <c r="AI263" i="12"/>
  <c r="AA261" i="12"/>
  <c r="AA263" i="12"/>
  <c r="S261" i="12"/>
  <c r="S263" i="12"/>
  <c r="K261" i="12"/>
  <c r="K263" i="12"/>
  <c r="AS261" i="12"/>
  <c r="AS263" i="12"/>
  <c r="AS40" i="12" l="1"/>
  <c r="AS41" i="12" s="1"/>
  <c r="N45" i="12"/>
  <c r="T45" i="12"/>
  <c r="Z45" i="12"/>
  <c r="AF45" i="12"/>
  <c r="AL45" i="12"/>
  <c r="AR45" i="12"/>
  <c r="Y45" i="12"/>
  <c r="O45" i="12"/>
  <c r="U45" i="12"/>
  <c r="AA45" i="12"/>
  <c r="AG45" i="12"/>
  <c r="AM45" i="12"/>
  <c r="J45" i="12"/>
  <c r="P45" i="12"/>
  <c r="V45" i="12"/>
  <c r="AB45" i="12"/>
  <c r="AH45" i="12"/>
  <c r="AO45" i="12"/>
  <c r="AE45" i="12"/>
  <c r="K45" i="12"/>
  <c r="Q45" i="12"/>
  <c r="W45" i="12"/>
  <c r="AC45" i="12"/>
  <c r="AI45" i="12"/>
  <c r="AN45" i="12"/>
  <c r="M45" i="12"/>
  <c r="AK45" i="12"/>
  <c r="L45" i="12"/>
  <c r="R45" i="12"/>
  <c r="X45" i="12"/>
  <c r="AD45" i="12"/>
  <c r="AJ45" i="12"/>
  <c r="AP45" i="12"/>
  <c r="S45" i="12"/>
  <c r="AQ45" i="12"/>
  <c r="AS45" i="12"/>
  <c r="AS44" i="12"/>
  <c r="AP80" i="13"/>
  <c r="AP81" i="13" s="1"/>
  <c r="AQ80" i="13"/>
  <c r="AQ81" i="13" s="1"/>
  <c r="AR231" i="9"/>
  <c r="AR233" i="9" s="1"/>
  <c r="AR48" i="13"/>
  <c r="AR50" i="13" s="1"/>
  <c r="AR126" i="9"/>
  <c r="AR72" i="13"/>
  <c r="AS70" i="13"/>
  <c r="AS63" i="13"/>
  <c r="AO67" i="14"/>
  <c r="AO72" i="14"/>
  <c r="AN71" i="14"/>
  <c r="AN73" i="14" s="1"/>
  <c r="AN58" i="14"/>
  <c r="AM99" i="9"/>
  <c r="AM101" i="9" s="1"/>
  <c r="AM106" i="9" s="1"/>
  <c r="AM85" i="14"/>
  <c r="AM87" i="14" s="1"/>
  <c r="AM88" i="14" s="1"/>
  <c r="AM89" i="14" s="1"/>
  <c r="J176" i="12"/>
  <c r="J179" i="12" s="1"/>
  <c r="J178" i="12"/>
  <c r="L197" i="12"/>
  <c r="L200" i="12" s="1"/>
  <c r="L199" i="12"/>
  <c r="Z176" i="12"/>
  <c r="Z179" i="12" s="1"/>
  <c r="Z178" i="12"/>
  <c r="AR176" i="12"/>
  <c r="AR179" i="12" s="1"/>
  <c r="AR178" i="12"/>
  <c r="Z197" i="12"/>
  <c r="Z200" i="12" s="1"/>
  <c r="Z199" i="12"/>
  <c r="AN176" i="12"/>
  <c r="AN179" i="12" s="1"/>
  <c r="AN178" i="12"/>
  <c r="O197" i="12"/>
  <c r="O200" i="12" s="1"/>
  <c r="O199" i="12"/>
  <c r="AE176" i="12"/>
  <c r="AE179" i="12" s="1"/>
  <c r="AE178" i="12"/>
  <c r="K176" i="12"/>
  <c r="K179" i="12" s="1"/>
  <c r="K178" i="12"/>
  <c r="AA197" i="12"/>
  <c r="AA200" i="12" s="1"/>
  <c r="AA199" i="12"/>
  <c r="AP197" i="12"/>
  <c r="AP200" i="12" s="1"/>
  <c r="AP199" i="12"/>
  <c r="X197" i="12"/>
  <c r="X200" i="12" s="1"/>
  <c r="X199" i="12"/>
  <c r="AQ176" i="12"/>
  <c r="AQ179" i="12" s="1"/>
  <c r="AQ178" i="12"/>
  <c r="T197" i="12"/>
  <c r="T200" i="12" s="1"/>
  <c r="T199" i="12"/>
  <c r="AJ197" i="12"/>
  <c r="AJ200" i="12" s="1"/>
  <c r="AJ199" i="12"/>
  <c r="Q176" i="12"/>
  <c r="Q179" i="12" s="1"/>
  <c r="Q178" i="12"/>
  <c r="AG197" i="12"/>
  <c r="AG200" i="12" s="1"/>
  <c r="AG199" i="12"/>
  <c r="M176" i="12"/>
  <c r="M179" i="12" s="1"/>
  <c r="M178" i="12"/>
  <c r="AC197" i="12"/>
  <c r="AC200" i="12" s="1"/>
  <c r="AC199" i="12"/>
  <c r="N197" i="12"/>
  <c r="N200" i="12" s="1"/>
  <c r="N199" i="12"/>
  <c r="AD176" i="12"/>
  <c r="AD179" i="12" s="1"/>
  <c r="AD178" i="12"/>
  <c r="S197" i="12"/>
  <c r="S200" i="12" s="1"/>
  <c r="S199" i="12"/>
  <c r="AI197" i="12"/>
  <c r="AI200" i="12" s="1"/>
  <c r="AI199" i="12"/>
  <c r="O176" i="12"/>
  <c r="O179" i="12" s="1"/>
  <c r="O178" i="12"/>
  <c r="AE197" i="12"/>
  <c r="AE200" i="12" s="1"/>
  <c r="AE199" i="12"/>
  <c r="K197" i="12"/>
  <c r="K200" i="12" s="1"/>
  <c r="K199" i="12"/>
  <c r="AB176" i="12"/>
  <c r="AB179" i="12" s="1"/>
  <c r="AB178" i="12"/>
  <c r="AO176" i="12"/>
  <c r="AO179" i="12" s="1"/>
  <c r="AO178" i="12"/>
  <c r="X176" i="12"/>
  <c r="X179" i="12" s="1"/>
  <c r="X178" i="12"/>
  <c r="AR197" i="12"/>
  <c r="AR200" i="12" s="1"/>
  <c r="AR199" i="12"/>
  <c r="U197" i="12"/>
  <c r="U200" i="12" s="1"/>
  <c r="U199" i="12"/>
  <c r="AK176" i="12"/>
  <c r="AK179" i="12" s="1"/>
  <c r="AK178" i="12"/>
  <c r="Q197" i="12"/>
  <c r="Q200" i="12" s="1"/>
  <c r="Q199" i="12"/>
  <c r="AG176" i="12"/>
  <c r="AG179" i="12" s="1"/>
  <c r="AG178" i="12"/>
  <c r="AQ54" i="13"/>
  <c r="AQ55" i="13" s="1"/>
  <c r="N176" i="12"/>
  <c r="N179" i="12" s="1"/>
  <c r="N178" i="12"/>
  <c r="AD197" i="12"/>
  <c r="AD200" i="12" s="1"/>
  <c r="AD199" i="12"/>
  <c r="AS197" i="12"/>
  <c r="AS200" i="12" s="1"/>
  <c r="AS199" i="12"/>
  <c r="J197" i="12"/>
  <c r="J200" i="12" s="1"/>
  <c r="J199" i="12"/>
  <c r="R176" i="12"/>
  <c r="R179" i="12" s="1"/>
  <c r="R178" i="12"/>
  <c r="AH197" i="12"/>
  <c r="AH200" i="12" s="1"/>
  <c r="AH199" i="12"/>
  <c r="R197" i="12"/>
  <c r="R200" i="12" s="1"/>
  <c r="R199" i="12"/>
  <c r="AH176" i="12"/>
  <c r="AH179" i="12" s="1"/>
  <c r="AH178" i="12"/>
  <c r="W197" i="12"/>
  <c r="W200" i="12" s="1"/>
  <c r="W199" i="12"/>
  <c r="AM197" i="12"/>
  <c r="AM200" i="12" s="1"/>
  <c r="AM199" i="12"/>
  <c r="S176" i="12"/>
  <c r="S179" i="12" s="1"/>
  <c r="S178" i="12"/>
  <c r="AI176" i="12"/>
  <c r="AI179" i="12" s="1"/>
  <c r="AI178" i="12"/>
  <c r="P176" i="12"/>
  <c r="P179" i="12" s="1"/>
  <c r="P178" i="12"/>
  <c r="AF197" i="12"/>
  <c r="AF200" i="12" s="1"/>
  <c r="AF199" i="12"/>
  <c r="M197" i="12"/>
  <c r="M200" i="12" s="1"/>
  <c r="M199" i="12"/>
  <c r="AB197" i="12"/>
  <c r="AB200" i="12" s="1"/>
  <c r="AB199" i="12"/>
  <c r="AN197" i="12"/>
  <c r="AN200" i="12" s="1"/>
  <c r="AN199" i="12"/>
  <c r="Y176" i="12"/>
  <c r="Y179" i="12" s="1"/>
  <c r="Y178" i="12"/>
  <c r="AP176" i="12"/>
  <c r="AP179" i="12" s="1"/>
  <c r="AP178" i="12"/>
  <c r="U176" i="12"/>
  <c r="U179" i="12" s="1"/>
  <c r="U178" i="12"/>
  <c r="AK197" i="12"/>
  <c r="AK200" i="12" s="1"/>
  <c r="AK199" i="12"/>
  <c r="V197" i="12"/>
  <c r="V200" i="12" s="1"/>
  <c r="V199" i="12"/>
  <c r="AL197" i="12"/>
  <c r="AL200" i="12" s="1"/>
  <c r="AL199" i="12"/>
  <c r="V176" i="12"/>
  <c r="V179" i="12" s="1"/>
  <c r="V178" i="12"/>
  <c r="AL176" i="12"/>
  <c r="AL179" i="12" s="1"/>
  <c r="AL178" i="12"/>
  <c r="AA176" i="12"/>
  <c r="AA179" i="12" s="1"/>
  <c r="AA178" i="12"/>
  <c r="AQ197" i="12"/>
  <c r="AQ200" i="12" s="1"/>
  <c r="AQ199" i="12"/>
  <c r="W176" i="12"/>
  <c r="W179" i="12" s="1"/>
  <c r="W178" i="12"/>
  <c r="AM176" i="12"/>
  <c r="AM179" i="12" s="1"/>
  <c r="AM178" i="12"/>
  <c r="T176" i="12"/>
  <c r="T179" i="12" s="1"/>
  <c r="T178" i="12"/>
  <c r="AJ176" i="12"/>
  <c r="AJ179" i="12" s="1"/>
  <c r="AJ178" i="12"/>
  <c r="P197" i="12"/>
  <c r="P200" i="12" s="1"/>
  <c r="P199" i="12"/>
  <c r="AF176" i="12"/>
  <c r="AF179" i="12" s="1"/>
  <c r="AF178" i="12"/>
  <c r="L176" i="12"/>
  <c r="L179" i="12" s="1"/>
  <c r="L178" i="12"/>
  <c r="AC176" i="12"/>
  <c r="AC179" i="12" s="1"/>
  <c r="AC178" i="12"/>
  <c r="AS176" i="12"/>
  <c r="AS179" i="12" s="1"/>
  <c r="AS178" i="12"/>
  <c r="Y197" i="12"/>
  <c r="Y200" i="12" s="1"/>
  <c r="Y199" i="12"/>
  <c r="AO197" i="12"/>
  <c r="AO200" i="12" s="1"/>
  <c r="AO199" i="12"/>
  <c r="AL94" i="14"/>
  <c r="AO262" i="12"/>
  <c r="AO265" i="12" s="1"/>
  <c r="AO264" i="12"/>
  <c r="X137" i="11"/>
  <c r="X140" i="11" s="1"/>
  <c r="X139" i="11"/>
  <c r="AQ262" i="12"/>
  <c r="AQ265" i="12" s="1"/>
  <c r="AQ264" i="12"/>
  <c r="AP137" i="11"/>
  <c r="AP140" i="11" s="1"/>
  <c r="AP139" i="11"/>
  <c r="U262" i="12"/>
  <c r="U265" i="12" s="1"/>
  <c r="U264" i="12"/>
  <c r="S262" i="12"/>
  <c r="S265" i="12" s="1"/>
  <c r="S264" i="12"/>
  <c r="L150" i="11"/>
  <c r="L153" i="11" s="1"/>
  <c r="L152" i="11"/>
  <c r="AB150" i="11"/>
  <c r="AB153" i="11" s="1"/>
  <c r="AB152" i="11"/>
  <c r="AQ137" i="11"/>
  <c r="AQ140" i="11" s="1"/>
  <c r="AQ139" i="11"/>
  <c r="T262" i="12"/>
  <c r="T265" i="12" s="1"/>
  <c r="T264" i="12"/>
  <c r="K137" i="11"/>
  <c r="K140" i="11" s="1"/>
  <c r="K139" i="11"/>
  <c r="AB137" i="11"/>
  <c r="AB140" i="11" s="1"/>
  <c r="AB139" i="11"/>
  <c r="AP150" i="11"/>
  <c r="AP153" i="11" s="1"/>
  <c r="AP152" i="11"/>
  <c r="AC262" i="12"/>
  <c r="AC265" i="12" s="1"/>
  <c r="AC264" i="12"/>
  <c r="Y150" i="11"/>
  <c r="Y153" i="11" s="1"/>
  <c r="Y152" i="11"/>
  <c r="AN137" i="11"/>
  <c r="AN140" i="11" s="1"/>
  <c r="AN139" i="11"/>
  <c r="AD262" i="12"/>
  <c r="AD265" i="12" s="1"/>
  <c r="AD264" i="12"/>
  <c r="Q262" i="12"/>
  <c r="Q265" i="12" s="1"/>
  <c r="Q264" i="12"/>
  <c r="S137" i="11"/>
  <c r="S140" i="11" s="1"/>
  <c r="S139" i="11"/>
  <c r="AI150" i="11"/>
  <c r="AI153" i="11" s="1"/>
  <c r="AI152" i="11"/>
  <c r="J262" i="12"/>
  <c r="J265" i="12" s="1"/>
  <c r="J264" i="12"/>
  <c r="AP262" i="12"/>
  <c r="AP265" i="12" s="1"/>
  <c r="AP264" i="12"/>
  <c r="S150" i="11"/>
  <c r="S153" i="11" s="1"/>
  <c r="S152" i="11"/>
  <c r="AI137" i="11"/>
  <c r="AI140" i="11" s="1"/>
  <c r="AI139" i="11"/>
  <c r="M137" i="11"/>
  <c r="M140" i="11" s="1"/>
  <c r="M139" i="11"/>
  <c r="AC137" i="11"/>
  <c r="AC140" i="11" s="1"/>
  <c r="AC139" i="11"/>
  <c r="W262" i="12"/>
  <c r="W265" i="12" s="1"/>
  <c r="W264" i="12"/>
  <c r="K150" i="11"/>
  <c r="K153" i="11" s="1"/>
  <c r="K152" i="11"/>
  <c r="Z137" i="11"/>
  <c r="Z140" i="11" s="1"/>
  <c r="Z139" i="11"/>
  <c r="AO150" i="11"/>
  <c r="AO153" i="11" s="1"/>
  <c r="AO152" i="11"/>
  <c r="X262" i="12"/>
  <c r="X265" i="12" s="1"/>
  <c r="X264" i="12"/>
  <c r="R137" i="11"/>
  <c r="R140" i="11" s="1"/>
  <c r="R139" i="11"/>
  <c r="AH150" i="11"/>
  <c r="AH153" i="11" s="1"/>
  <c r="AH152" i="11"/>
  <c r="P137" i="11"/>
  <c r="P140" i="11" s="1"/>
  <c r="P139" i="11"/>
  <c r="M150" i="11"/>
  <c r="M153" i="11" s="1"/>
  <c r="M152" i="11"/>
  <c r="AC150" i="11"/>
  <c r="AC153" i="11" s="1"/>
  <c r="AC152" i="11"/>
  <c r="AS150" i="11"/>
  <c r="AS153" i="11" s="1"/>
  <c r="AS152" i="11"/>
  <c r="AS45" i="13"/>
  <c r="AL262" i="12"/>
  <c r="AL265" i="12" s="1"/>
  <c r="AL264" i="12"/>
  <c r="Y262" i="12"/>
  <c r="Y265" i="12" s="1"/>
  <c r="Y264" i="12"/>
  <c r="W137" i="11"/>
  <c r="W140" i="11" s="1"/>
  <c r="W139" i="11"/>
  <c r="AM150" i="11"/>
  <c r="AM153" i="11" s="1"/>
  <c r="AM152" i="11"/>
  <c r="R262" i="12"/>
  <c r="R265" i="12" s="1"/>
  <c r="R264" i="12"/>
  <c r="W150" i="11"/>
  <c r="W153" i="11" s="1"/>
  <c r="W152" i="11"/>
  <c r="AM137" i="11"/>
  <c r="AM140" i="11" s="1"/>
  <c r="AM139" i="11"/>
  <c r="Q137" i="11"/>
  <c r="Q140" i="11" s="1"/>
  <c r="Q139" i="11"/>
  <c r="AG137" i="11"/>
  <c r="AG140" i="11" s="1"/>
  <c r="AG139" i="11"/>
  <c r="AE262" i="12"/>
  <c r="AE265" i="12" s="1"/>
  <c r="AE264" i="12"/>
  <c r="N137" i="11"/>
  <c r="N140" i="11" s="1"/>
  <c r="N139" i="11"/>
  <c r="AD150" i="11"/>
  <c r="AD153" i="11" s="1"/>
  <c r="AD152" i="11"/>
  <c r="AS91" i="13"/>
  <c r="AS152" i="9"/>
  <c r="AF262" i="12"/>
  <c r="AF265" i="12" s="1"/>
  <c r="AF264" i="12"/>
  <c r="V137" i="11"/>
  <c r="V140" i="11" s="1"/>
  <c r="V139" i="11"/>
  <c r="AL150" i="11"/>
  <c r="AL153" i="11" s="1"/>
  <c r="AL152" i="11"/>
  <c r="AS262" i="12"/>
  <c r="AS265" i="12" s="1"/>
  <c r="AS264" i="12"/>
  <c r="AA262" i="12"/>
  <c r="AA265" i="12" s="1"/>
  <c r="AA264" i="12"/>
  <c r="AF150" i="11"/>
  <c r="AF153" i="11" s="1"/>
  <c r="AF152" i="11"/>
  <c r="AB262" i="12"/>
  <c r="AB265" i="12" s="1"/>
  <c r="AB264" i="12"/>
  <c r="P150" i="11"/>
  <c r="P153" i="11" s="1"/>
  <c r="P152" i="11"/>
  <c r="AF137" i="11"/>
  <c r="AF140" i="11" s="1"/>
  <c r="AF139" i="11"/>
  <c r="AK262" i="12"/>
  <c r="AK265" i="12" s="1"/>
  <c r="AK264" i="12"/>
  <c r="AJ150" i="11"/>
  <c r="AJ153" i="11" s="1"/>
  <c r="AJ152" i="11"/>
  <c r="Q150" i="11"/>
  <c r="Q153" i="11" s="1"/>
  <c r="Q152" i="11"/>
  <c r="AG150" i="11"/>
  <c r="AG153" i="11" s="1"/>
  <c r="AG152" i="11"/>
  <c r="AR137" i="11"/>
  <c r="AR140" i="11" s="1"/>
  <c r="AR139" i="11"/>
  <c r="N262" i="12"/>
  <c r="N265" i="12" s="1"/>
  <c r="N264" i="12"/>
  <c r="AG262" i="12"/>
  <c r="AG265" i="12" s="1"/>
  <c r="AG264" i="12"/>
  <c r="J150" i="11"/>
  <c r="J153" i="11" s="1"/>
  <c r="J152" i="11"/>
  <c r="AA137" i="11"/>
  <c r="AA140" i="11" s="1"/>
  <c r="AA139" i="11"/>
  <c r="AR150" i="11"/>
  <c r="AR153" i="11" s="1"/>
  <c r="AR152" i="11"/>
  <c r="Z262" i="12"/>
  <c r="Z265" i="12" s="1"/>
  <c r="Z264" i="12"/>
  <c r="L137" i="11"/>
  <c r="L140" i="11" s="1"/>
  <c r="L139" i="11"/>
  <c r="AA150" i="11"/>
  <c r="AA153" i="11" s="1"/>
  <c r="AA152" i="11"/>
  <c r="AO137" i="11"/>
  <c r="AO140" i="11" s="1"/>
  <c r="AO139" i="11"/>
  <c r="AI262" i="12"/>
  <c r="AI265" i="12" s="1"/>
  <c r="AI264" i="12"/>
  <c r="T137" i="11"/>
  <c r="T140" i="11" s="1"/>
  <c r="T139" i="11"/>
  <c r="AJ262" i="12"/>
  <c r="AJ265" i="12" s="1"/>
  <c r="AJ264" i="12"/>
  <c r="T150" i="11"/>
  <c r="T153" i="11" s="1"/>
  <c r="T152" i="11"/>
  <c r="AJ137" i="11"/>
  <c r="AJ140" i="11" s="1"/>
  <c r="AJ139" i="11"/>
  <c r="M262" i="12"/>
  <c r="M265" i="12" s="1"/>
  <c r="M264" i="12"/>
  <c r="U150" i="11"/>
  <c r="U153" i="11" s="1"/>
  <c r="U152" i="11"/>
  <c r="AK137" i="11"/>
  <c r="AK140" i="11" s="1"/>
  <c r="AK139" i="11"/>
  <c r="AM262" i="12"/>
  <c r="AM265" i="12" s="1"/>
  <c r="AM264" i="12"/>
  <c r="R150" i="11"/>
  <c r="R153" i="11" s="1"/>
  <c r="R152" i="11"/>
  <c r="AH137" i="11"/>
  <c r="AH140" i="11" s="1"/>
  <c r="AH139" i="11"/>
  <c r="AN262" i="12"/>
  <c r="AN265" i="12" s="1"/>
  <c r="AN264" i="12"/>
  <c r="J137" i="11"/>
  <c r="J140" i="11" s="1"/>
  <c r="J139" i="11"/>
  <c r="Z150" i="11"/>
  <c r="Z153" i="11" s="1"/>
  <c r="Z152" i="11"/>
  <c r="AN150" i="11"/>
  <c r="AN153" i="11" s="1"/>
  <c r="AN152" i="11"/>
  <c r="U137" i="11"/>
  <c r="U140" i="11" s="1"/>
  <c r="U139" i="11"/>
  <c r="AK150" i="11"/>
  <c r="AK153" i="11" s="1"/>
  <c r="AK152" i="11"/>
  <c r="AS137" i="11"/>
  <c r="AS140" i="11" s="1"/>
  <c r="AS139" i="11"/>
  <c r="V262" i="12"/>
  <c r="V265" i="12" s="1"/>
  <c r="V264" i="12"/>
  <c r="AR262" i="12"/>
  <c r="AR265" i="12" s="1"/>
  <c r="AR264" i="12"/>
  <c r="O150" i="11"/>
  <c r="O153" i="11" s="1"/>
  <c r="O152" i="11"/>
  <c r="AE137" i="11"/>
  <c r="AE140" i="11" s="1"/>
  <c r="AE139" i="11"/>
  <c r="AH262" i="12"/>
  <c r="AH265" i="12" s="1"/>
  <c r="AH264" i="12"/>
  <c r="O137" i="11"/>
  <c r="O140" i="11" s="1"/>
  <c r="O139" i="11"/>
  <c r="AE150" i="11"/>
  <c r="AE153" i="11" s="1"/>
  <c r="AE152" i="11"/>
  <c r="K262" i="12"/>
  <c r="K265" i="12" s="1"/>
  <c r="K264" i="12"/>
  <c r="AQ150" i="11"/>
  <c r="AQ153" i="11" s="1"/>
  <c r="AQ152" i="11"/>
  <c r="L262" i="12"/>
  <c r="L265" i="12" s="1"/>
  <c r="L264" i="12"/>
  <c r="X150" i="11"/>
  <c r="X153" i="11" s="1"/>
  <c r="X152" i="11"/>
  <c r="Y137" i="11"/>
  <c r="Y140" i="11" s="1"/>
  <c r="Y139" i="11"/>
  <c r="O262" i="12"/>
  <c r="O265" i="12" s="1"/>
  <c r="O264" i="12"/>
  <c r="V150" i="11"/>
  <c r="V153" i="11" s="1"/>
  <c r="V152" i="11"/>
  <c r="AL137" i="11"/>
  <c r="AL140" i="11" s="1"/>
  <c r="AL139" i="11"/>
  <c r="P262" i="12"/>
  <c r="P265" i="12" s="1"/>
  <c r="P264" i="12"/>
  <c r="N150" i="11"/>
  <c r="N153" i="11" s="1"/>
  <c r="N152" i="11"/>
  <c r="AD137" i="11"/>
  <c r="AD140" i="11" s="1"/>
  <c r="AD139" i="11"/>
  <c r="AQ46" i="12" l="1"/>
  <c r="AQ48" i="12"/>
  <c r="R46" i="12"/>
  <c r="R48" i="12"/>
  <c r="AC46" i="12"/>
  <c r="AC48" i="12"/>
  <c r="AH46" i="12"/>
  <c r="AH48" i="12"/>
  <c r="AG46" i="12"/>
  <c r="AG48" i="12"/>
  <c r="AL46" i="12"/>
  <c r="AL48" i="12"/>
  <c r="S46" i="12"/>
  <c r="S48" i="12"/>
  <c r="L46" i="12"/>
  <c r="L48" i="12"/>
  <c r="W48" i="12"/>
  <c r="W46" i="12"/>
  <c r="AB48" i="12"/>
  <c r="AB46" i="12"/>
  <c r="AA48" i="12"/>
  <c r="AA46" i="12"/>
  <c r="AF46" i="12"/>
  <c r="AF48" i="12"/>
  <c r="AP46" i="12"/>
  <c r="AP48" i="12"/>
  <c r="AK48" i="12"/>
  <c r="AK46" i="12"/>
  <c r="Q46" i="12"/>
  <c r="Q48" i="12"/>
  <c r="V46" i="12"/>
  <c r="V48" i="12"/>
  <c r="U46" i="12"/>
  <c r="U48" i="12"/>
  <c r="Z48" i="12"/>
  <c r="Z46" i="12"/>
  <c r="AJ46" i="12"/>
  <c r="AJ48" i="12"/>
  <c r="M48" i="12"/>
  <c r="M46" i="12"/>
  <c r="K46" i="12"/>
  <c r="K48" i="12"/>
  <c r="P46" i="12"/>
  <c r="P48" i="12"/>
  <c r="O46" i="12"/>
  <c r="O48" i="12"/>
  <c r="T48" i="12"/>
  <c r="T46" i="12"/>
  <c r="AD46" i="12"/>
  <c r="AD48" i="12"/>
  <c r="AN46" i="12"/>
  <c r="AN48" i="12"/>
  <c r="AE46" i="12"/>
  <c r="AE48" i="12"/>
  <c r="J46" i="12"/>
  <c r="J48" i="12"/>
  <c r="Y46" i="12"/>
  <c r="Y48" i="12"/>
  <c r="N46" i="12"/>
  <c r="N48" i="12"/>
  <c r="AS46" i="12"/>
  <c r="AS48" i="12"/>
  <c r="X48" i="12"/>
  <c r="X46" i="12"/>
  <c r="AI46" i="12"/>
  <c r="AI48" i="12"/>
  <c r="AO46" i="12"/>
  <c r="AO48" i="12"/>
  <c r="AM46" i="12"/>
  <c r="AM48" i="12"/>
  <c r="AR48" i="12"/>
  <c r="AR46" i="12"/>
  <c r="AR49" i="13"/>
  <c r="AR51" i="13" s="1"/>
  <c r="AR54" i="13" s="1"/>
  <c r="AS69" i="9"/>
  <c r="AS70" i="9" s="1"/>
  <c r="AS71" i="13"/>
  <c r="AS230" i="9" s="1"/>
  <c r="AR127" i="9"/>
  <c r="AR128" i="9" s="1"/>
  <c r="AR130" i="9" s="1"/>
  <c r="AS69" i="13"/>
  <c r="AR74" i="13"/>
  <c r="AS229" i="9"/>
  <c r="AS140" i="9"/>
  <c r="AS141" i="9" s="1"/>
  <c r="AS146" i="9" s="1"/>
  <c r="AP61" i="14"/>
  <c r="AO84" i="14"/>
  <c r="AO100" i="9" s="1"/>
  <c r="AN83" i="14"/>
  <c r="AO52" i="14"/>
  <c r="AM91" i="14"/>
  <c r="AM93" i="14"/>
  <c r="AM92" i="14"/>
  <c r="K180" i="12"/>
  <c r="K181" i="12" s="1"/>
  <c r="K182" i="12" s="1"/>
  <c r="K222" i="12" s="1"/>
  <c r="U201" i="12"/>
  <c r="U202" i="12" s="1"/>
  <c r="U219" i="12" s="1"/>
  <c r="AM201" i="12"/>
  <c r="AM202" i="12" s="1"/>
  <c r="AM203" i="12" s="1"/>
  <c r="AM223" i="12" s="1"/>
  <c r="AM208" i="9" s="1"/>
  <c r="AL180" i="12"/>
  <c r="AL181" i="12" s="1"/>
  <c r="AL218" i="12" s="1"/>
  <c r="AM180" i="12"/>
  <c r="AM181" i="12" s="1"/>
  <c r="AM218" i="12" s="1"/>
  <c r="O180" i="12"/>
  <c r="O181" i="12" s="1"/>
  <c r="O218" i="12" s="1"/>
  <c r="AI180" i="12"/>
  <c r="AI181" i="12" s="1"/>
  <c r="AD180" i="12"/>
  <c r="AD181" i="12" s="1"/>
  <c r="AG201" i="12"/>
  <c r="AG202" i="12" s="1"/>
  <c r="AO201" i="12"/>
  <c r="AO202" i="12" s="1"/>
  <c r="Q180" i="12"/>
  <c r="Q181" i="12" s="1"/>
  <c r="AA201" i="12"/>
  <c r="AA202" i="12" s="1"/>
  <c r="AI201" i="12"/>
  <c r="AI202" i="12" s="1"/>
  <c r="Y201" i="12"/>
  <c r="Y202" i="12" s="1"/>
  <c r="AF180" i="12"/>
  <c r="AF181" i="12" s="1"/>
  <c r="K201" i="12"/>
  <c r="K202" i="12" s="1"/>
  <c r="S201" i="12"/>
  <c r="S202" i="12" s="1"/>
  <c r="AP180" i="12"/>
  <c r="AP181" i="12" s="1"/>
  <c r="M201" i="12"/>
  <c r="M202" i="12" s="1"/>
  <c r="AC180" i="12"/>
  <c r="AC181" i="12" s="1"/>
  <c r="AB180" i="12"/>
  <c r="AB181" i="12" s="1"/>
  <c r="AE201" i="12"/>
  <c r="AE202" i="12" s="1"/>
  <c r="AK201" i="12"/>
  <c r="AK202" i="12" s="1"/>
  <c r="L201" i="12"/>
  <c r="L202" i="12" s="1"/>
  <c r="Z180" i="12"/>
  <c r="Z181" i="12" s="1"/>
  <c r="AJ201" i="12"/>
  <c r="AJ202" i="12" s="1"/>
  <c r="AR201" i="12"/>
  <c r="AR202" i="12" s="1"/>
  <c r="AL201" i="12"/>
  <c r="AL202" i="12" s="1"/>
  <c r="W180" i="12"/>
  <c r="W181" i="12" s="1"/>
  <c r="O201" i="12"/>
  <c r="O202" i="12" s="1"/>
  <c r="T180" i="12"/>
  <c r="T181" i="12" s="1"/>
  <c r="N180" i="12"/>
  <c r="N181" i="12" s="1"/>
  <c r="Q201" i="12"/>
  <c r="Q202" i="12" s="1"/>
  <c r="AQ180" i="12"/>
  <c r="AQ181" i="12" s="1"/>
  <c r="V201" i="12"/>
  <c r="V202" i="12" s="1"/>
  <c r="AD201" i="12"/>
  <c r="AD202" i="12" s="1"/>
  <c r="Y180" i="12"/>
  <c r="Y181" i="12" s="1"/>
  <c r="AH201" i="12"/>
  <c r="AH202" i="12" s="1"/>
  <c r="AK180" i="12"/>
  <c r="AK181" i="12" s="1"/>
  <c r="Z201" i="12"/>
  <c r="Z202" i="12" s="1"/>
  <c r="AS180" i="12"/>
  <c r="AS181" i="12" s="1"/>
  <c r="P180" i="12"/>
  <c r="P181" i="12" s="1"/>
  <c r="AP201" i="12"/>
  <c r="AP202" i="12" s="1"/>
  <c r="AJ180" i="12"/>
  <c r="AJ181" i="12" s="1"/>
  <c r="AB201" i="12"/>
  <c r="AB202" i="12" s="1"/>
  <c r="M180" i="12"/>
  <c r="M181" i="12" s="1"/>
  <c r="L180" i="12"/>
  <c r="L181" i="12" s="1"/>
  <c r="AE180" i="12"/>
  <c r="AE181" i="12" s="1"/>
  <c r="AQ201" i="12"/>
  <c r="AQ202" i="12" s="1"/>
  <c r="AO180" i="12"/>
  <c r="AO181" i="12" s="1"/>
  <c r="J180" i="12"/>
  <c r="J181" i="12" s="1"/>
  <c r="T201" i="12"/>
  <c r="T202" i="12" s="1"/>
  <c r="V180" i="12"/>
  <c r="V181" i="12" s="1"/>
  <c r="N201" i="12"/>
  <c r="N202" i="12" s="1"/>
  <c r="AF201" i="12"/>
  <c r="AF202" i="12" s="1"/>
  <c r="AG180" i="12"/>
  <c r="AG181" i="12" s="1"/>
  <c r="W201" i="12"/>
  <c r="W202" i="12" s="1"/>
  <c r="S180" i="12"/>
  <c r="S181" i="12" s="1"/>
  <c r="AA180" i="12"/>
  <c r="AA181" i="12" s="1"/>
  <c r="AS201" i="12"/>
  <c r="AS202" i="12" s="1"/>
  <c r="X180" i="12"/>
  <c r="X181" i="12" s="1"/>
  <c r="AN180" i="12"/>
  <c r="AN181" i="12" s="1"/>
  <c r="U180" i="12"/>
  <c r="U181" i="12" s="1"/>
  <c r="P201" i="12"/>
  <c r="P202" i="12" s="1"/>
  <c r="X201" i="12"/>
  <c r="X202" i="12" s="1"/>
  <c r="AN201" i="12"/>
  <c r="AN202" i="12" s="1"/>
  <c r="R180" i="12"/>
  <c r="R181" i="12" s="1"/>
  <c r="AR180" i="12"/>
  <c r="AR181" i="12" s="1"/>
  <c r="AH180" i="12"/>
  <c r="AH181" i="12" s="1"/>
  <c r="J201" i="12"/>
  <c r="J202" i="12" s="1"/>
  <c r="R201" i="12"/>
  <c r="R202" i="12" s="1"/>
  <c r="AC201" i="12"/>
  <c r="AC202" i="12" s="1"/>
  <c r="AS46" i="13"/>
  <c r="L266" i="12"/>
  <c r="L267" i="12" s="1"/>
  <c r="L281" i="12" s="1"/>
  <c r="L282" i="12" s="1"/>
  <c r="AQ141" i="11"/>
  <c r="AD141" i="11"/>
  <c r="AE141" i="11"/>
  <c r="Q266" i="12"/>
  <c r="Q267" i="12" s="1"/>
  <c r="Q268" i="12" s="1"/>
  <c r="Q284" i="12" s="1"/>
  <c r="N266" i="12"/>
  <c r="N267" i="12" s="1"/>
  <c r="N281" i="12" s="1"/>
  <c r="N282" i="12" s="1"/>
  <c r="AA154" i="11"/>
  <c r="AD154" i="11"/>
  <c r="AC154" i="11"/>
  <c r="AO154" i="11"/>
  <c r="S266" i="12"/>
  <c r="S267" i="12" s="1"/>
  <c r="V154" i="11"/>
  <c r="N141" i="11"/>
  <c r="U266" i="12"/>
  <c r="U267" i="12" s="1"/>
  <c r="AN154" i="11"/>
  <c r="K141" i="11"/>
  <c r="AF141" i="11"/>
  <c r="AK266" i="12"/>
  <c r="AK267" i="12" s="1"/>
  <c r="W154" i="11"/>
  <c r="AO141" i="11"/>
  <c r="AK154" i="11"/>
  <c r="Y266" i="12"/>
  <c r="Y267" i="12" s="1"/>
  <c r="P154" i="11"/>
  <c r="AR266" i="12"/>
  <c r="AR267" i="12" s="1"/>
  <c r="X154" i="11"/>
  <c r="P141" i="11"/>
  <c r="O266" i="12"/>
  <c r="O267" i="12" s="1"/>
  <c r="AH154" i="11"/>
  <c r="AJ141" i="11"/>
  <c r="R266" i="12"/>
  <c r="R267" i="12" s="1"/>
  <c r="U154" i="11"/>
  <c r="AE266" i="12"/>
  <c r="AE267" i="12" s="1"/>
  <c r="Y154" i="11"/>
  <c r="AA141" i="11"/>
  <c r="AH266" i="12"/>
  <c r="AH267" i="12" s="1"/>
  <c r="AE154" i="11"/>
  <c r="W141" i="11"/>
  <c r="J154" i="11"/>
  <c r="Z141" i="11"/>
  <c r="AD266" i="12"/>
  <c r="AD267" i="12" s="1"/>
  <c r="R154" i="11"/>
  <c r="AH141" i="11"/>
  <c r="AO266" i="12"/>
  <c r="AO267" i="12" s="1"/>
  <c r="T154" i="11"/>
  <c r="V141" i="11"/>
  <c r="AQ266" i="12"/>
  <c r="AQ267" i="12" s="1"/>
  <c r="O154" i="11"/>
  <c r="K154" i="11"/>
  <c r="M141" i="11"/>
  <c r="T266" i="12"/>
  <c r="T267" i="12" s="1"/>
  <c r="AG154" i="11"/>
  <c r="AS154" i="11"/>
  <c r="AC141" i="11"/>
  <c r="L141" i="11"/>
  <c r="AF266" i="12"/>
  <c r="AF267" i="12" s="1"/>
  <c r="AQ154" i="11"/>
  <c r="T141" i="11"/>
  <c r="AA266" i="12"/>
  <c r="AA267" i="12" s="1"/>
  <c r="X141" i="11"/>
  <c r="AC266" i="12"/>
  <c r="AC267" i="12" s="1"/>
  <c r="Q154" i="11"/>
  <c r="AJ154" i="11"/>
  <c r="AL141" i="11"/>
  <c r="AS266" i="12"/>
  <c r="AS267" i="12" s="1"/>
  <c r="S154" i="11"/>
  <c r="J141" i="11"/>
  <c r="P266" i="12"/>
  <c r="P267" i="12" s="1"/>
  <c r="AJ266" i="12"/>
  <c r="AJ267" i="12" s="1"/>
  <c r="V266" i="12"/>
  <c r="V267" i="12" s="1"/>
  <c r="AS141" i="11"/>
  <c r="M266" i="12"/>
  <c r="M267" i="12" s="1"/>
  <c r="AF154" i="11"/>
  <c r="W266" i="12"/>
  <c r="W267" i="12" s="1"/>
  <c r="AP154" i="11"/>
  <c r="AG141" i="11"/>
  <c r="AN141" i="11"/>
  <c r="AM266" i="12"/>
  <c r="AM267" i="12" s="1"/>
  <c r="AR154" i="11"/>
  <c r="AI141" i="11"/>
  <c r="R141" i="11"/>
  <c r="AM154" i="11"/>
  <c r="AI154" i="11"/>
  <c r="AK141" i="11"/>
  <c r="X266" i="12"/>
  <c r="X267" i="12" s="1"/>
  <c r="AM141" i="11"/>
  <c r="AL266" i="12"/>
  <c r="AL267" i="12" s="1"/>
  <c r="Z154" i="11"/>
  <c r="Q141" i="11"/>
  <c r="AB154" i="11"/>
  <c r="S141" i="11"/>
  <c r="U141" i="11"/>
  <c r="N154" i="11"/>
  <c r="AP266" i="12"/>
  <c r="AP267" i="12" s="1"/>
  <c r="AB266" i="12"/>
  <c r="AB267" i="12" s="1"/>
  <c r="AN266" i="12"/>
  <c r="AN267" i="12" s="1"/>
  <c r="L154" i="11"/>
  <c r="AP141" i="11"/>
  <c r="J266" i="12"/>
  <c r="J267" i="12" s="1"/>
  <c r="M154" i="11"/>
  <c r="AR141" i="11"/>
  <c r="Z266" i="12"/>
  <c r="Z267" i="12" s="1"/>
  <c r="O141" i="11"/>
  <c r="K266" i="12"/>
  <c r="K267" i="12" s="1"/>
  <c r="AG266" i="12"/>
  <c r="AG267" i="12" s="1"/>
  <c r="AB141" i="11"/>
  <c r="AI266" i="12"/>
  <c r="AI267" i="12" s="1"/>
  <c r="AL154" i="11"/>
  <c r="Y141" i="11"/>
  <c r="W47" i="12" l="1"/>
  <c r="W50" i="12" s="1"/>
  <c r="W49" i="12"/>
  <c r="AI47" i="12"/>
  <c r="AI50" i="12" s="1"/>
  <c r="AI49" i="12"/>
  <c r="N47" i="12"/>
  <c r="N50" i="12" s="1"/>
  <c r="N49" i="12"/>
  <c r="AE49" i="12"/>
  <c r="AE47" i="12"/>
  <c r="AE50" i="12" s="1"/>
  <c r="K47" i="12"/>
  <c r="K50" i="12" s="1"/>
  <c r="K49" i="12"/>
  <c r="Q47" i="12"/>
  <c r="Q50" i="12" s="1"/>
  <c r="Q49" i="12"/>
  <c r="AF47" i="12"/>
  <c r="AF50" i="12" s="1"/>
  <c r="AF49" i="12"/>
  <c r="AL47" i="12"/>
  <c r="AL50" i="12" s="1"/>
  <c r="AL49" i="12"/>
  <c r="AC47" i="12"/>
  <c r="AC50" i="12" s="1"/>
  <c r="AC49" i="12"/>
  <c r="X49" i="12"/>
  <c r="X47" i="12"/>
  <c r="X50" i="12" s="1"/>
  <c r="M47" i="12"/>
  <c r="M50" i="12" s="1"/>
  <c r="M49" i="12"/>
  <c r="AK47" i="12"/>
  <c r="AK50" i="12" s="1"/>
  <c r="AK49" i="12"/>
  <c r="AA49" i="12"/>
  <c r="AA47" i="12"/>
  <c r="AA50" i="12" s="1"/>
  <c r="AR49" i="12"/>
  <c r="AR47" i="12"/>
  <c r="AR50" i="12" s="1"/>
  <c r="Z47" i="12"/>
  <c r="Z50" i="12" s="1"/>
  <c r="Z49" i="12"/>
  <c r="AM47" i="12"/>
  <c r="AM50" i="12" s="1"/>
  <c r="AM49" i="12"/>
  <c r="Y47" i="12"/>
  <c r="Y50" i="12" s="1"/>
  <c r="Y49" i="12"/>
  <c r="AN47" i="12"/>
  <c r="AN50" i="12" s="1"/>
  <c r="AN49" i="12"/>
  <c r="O47" i="12"/>
  <c r="O50" i="12" s="1"/>
  <c r="O49" i="12"/>
  <c r="U47" i="12"/>
  <c r="U50" i="12" s="1"/>
  <c r="U49" i="12"/>
  <c r="L47" i="12"/>
  <c r="L50" i="12" s="1"/>
  <c r="L49" i="12"/>
  <c r="AG47" i="12"/>
  <c r="AG50" i="12" s="1"/>
  <c r="AG49" i="12"/>
  <c r="R49" i="12"/>
  <c r="R47" i="12"/>
  <c r="R50" i="12" s="1"/>
  <c r="AB47" i="12"/>
  <c r="AB50" i="12" s="1"/>
  <c r="AB49" i="12"/>
  <c r="T47" i="12"/>
  <c r="T50" i="12" s="1"/>
  <c r="T49" i="12"/>
  <c r="AO47" i="12"/>
  <c r="AO50" i="12" s="1"/>
  <c r="AO49" i="12"/>
  <c r="AS47" i="12"/>
  <c r="AS50" i="12" s="1"/>
  <c r="AS49" i="12"/>
  <c r="J47" i="12"/>
  <c r="J50" i="12" s="1"/>
  <c r="J49" i="12"/>
  <c r="AD47" i="12"/>
  <c r="AD50" i="12" s="1"/>
  <c r="AD49" i="12"/>
  <c r="P49" i="12"/>
  <c r="P47" i="12"/>
  <c r="P50" i="12" s="1"/>
  <c r="AJ49" i="12"/>
  <c r="AJ47" i="12"/>
  <c r="AJ50" i="12" s="1"/>
  <c r="V47" i="12"/>
  <c r="V50" i="12" s="1"/>
  <c r="V49" i="12"/>
  <c r="AP49" i="12"/>
  <c r="AP47" i="12"/>
  <c r="AP50" i="12" s="1"/>
  <c r="S47" i="12"/>
  <c r="S50" i="12" s="1"/>
  <c r="S49" i="12"/>
  <c r="AH47" i="12"/>
  <c r="AH50" i="12" s="1"/>
  <c r="AH49" i="12"/>
  <c r="AQ49" i="12"/>
  <c r="AQ47" i="12"/>
  <c r="AQ50" i="12" s="1"/>
  <c r="AS231" i="9"/>
  <c r="AS233" i="9" s="1"/>
  <c r="AS72" i="13"/>
  <c r="AS127" i="9" s="1"/>
  <c r="AQ156" i="11"/>
  <c r="AQ117" i="11" s="1"/>
  <c r="AE156" i="11"/>
  <c r="AE117" i="11" s="1"/>
  <c r="AR53" i="13"/>
  <c r="AR55" i="13" s="1"/>
  <c r="AR75" i="13"/>
  <c r="AR76" i="13"/>
  <c r="AS126" i="9"/>
  <c r="AS48" i="13"/>
  <c r="AS50" i="13" s="1"/>
  <c r="AP72" i="14"/>
  <c r="AP67" i="14"/>
  <c r="AO71" i="14"/>
  <c r="AO73" i="14" s="1"/>
  <c r="AO58" i="14"/>
  <c r="AN99" i="9"/>
  <c r="AN101" i="9" s="1"/>
  <c r="AN106" i="9" s="1"/>
  <c r="AN85" i="14"/>
  <c r="AN87" i="14" s="1"/>
  <c r="AN88" i="14" s="1"/>
  <c r="AN89" i="14" s="1"/>
  <c r="K218" i="12"/>
  <c r="U203" i="12"/>
  <c r="U223" i="12" s="1"/>
  <c r="U208" i="9" s="1"/>
  <c r="AM219" i="12"/>
  <c r="AM220" i="12" s="1"/>
  <c r="AL182" i="12"/>
  <c r="AL222" i="12" s="1"/>
  <c r="AL207" i="9" s="1"/>
  <c r="AM182" i="12"/>
  <c r="AM222" i="12" s="1"/>
  <c r="AM207" i="9" s="1"/>
  <c r="AM209" i="9" s="1"/>
  <c r="O182" i="12"/>
  <c r="O222" i="12" s="1"/>
  <c r="O207" i="9" s="1"/>
  <c r="AN219" i="12"/>
  <c r="AN203" i="12"/>
  <c r="AN223" i="12" s="1"/>
  <c r="AN208" i="9" s="1"/>
  <c r="S218" i="12"/>
  <c r="S182" i="12"/>
  <c r="S222" i="12" s="1"/>
  <c r="AO218" i="12"/>
  <c r="AO182" i="12"/>
  <c r="AO222" i="12" s="1"/>
  <c r="P218" i="12"/>
  <c r="P182" i="12"/>
  <c r="P222" i="12" s="1"/>
  <c r="AQ218" i="12"/>
  <c r="AQ182" i="12"/>
  <c r="AQ222" i="12" s="1"/>
  <c r="AJ219" i="12"/>
  <c r="AJ203" i="12"/>
  <c r="AJ223" i="12" s="1"/>
  <c r="AJ208" i="9" s="1"/>
  <c r="AP218" i="12"/>
  <c r="AP182" i="12"/>
  <c r="AP222" i="12" s="1"/>
  <c r="AO219" i="12"/>
  <c r="AO203" i="12"/>
  <c r="AO223" i="12" s="1"/>
  <c r="AO208" i="9" s="1"/>
  <c r="X219" i="12"/>
  <c r="X203" i="12"/>
  <c r="X223" i="12" s="1"/>
  <c r="X208" i="9" s="1"/>
  <c r="W219" i="12"/>
  <c r="W203" i="12"/>
  <c r="W223" i="12" s="1"/>
  <c r="W208" i="9" s="1"/>
  <c r="AQ219" i="12"/>
  <c r="AQ203" i="12"/>
  <c r="AQ223" i="12" s="1"/>
  <c r="AQ208" i="9" s="1"/>
  <c r="AS218" i="12"/>
  <c r="AS182" i="12"/>
  <c r="AS222" i="12" s="1"/>
  <c r="Q219" i="12"/>
  <c r="Q203" i="12"/>
  <c r="Q223" i="12" s="1"/>
  <c r="Q208" i="9" s="1"/>
  <c r="Z218" i="12"/>
  <c r="Z182" i="12"/>
  <c r="Z222" i="12" s="1"/>
  <c r="S219" i="12"/>
  <c r="S203" i="12"/>
  <c r="S223" i="12" s="1"/>
  <c r="S208" i="9" s="1"/>
  <c r="AG219" i="12"/>
  <c r="AG203" i="12"/>
  <c r="AG223" i="12" s="1"/>
  <c r="AG208" i="9" s="1"/>
  <c r="AC219" i="12"/>
  <c r="AC203" i="12"/>
  <c r="AC223" i="12" s="1"/>
  <c r="AC208" i="9" s="1"/>
  <c r="P219" i="12"/>
  <c r="P203" i="12"/>
  <c r="P223" i="12" s="1"/>
  <c r="P208" i="9" s="1"/>
  <c r="AG218" i="12"/>
  <c r="AG182" i="12"/>
  <c r="AG222" i="12" s="1"/>
  <c r="AE218" i="12"/>
  <c r="AE182" i="12"/>
  <c r="AE222" i="12" s="1"/>
  <c r="Z219" i="12"/>
  <c r="Z203" i="12"/>
  <c r="Z223" i="12" s="1"/>
  <c r="Z208" i="9" s="1"/>
  <c r="N218" i="12"/>
  <c r="N182" i="12"/>
  <c r="N222" i="12" s="1"/>
  <c r="L219" i="12"/>
  <c r="L203" i="12"/>
  <c r="L223" i="12" s="1"/>
  <c r="L208" i="9" s="1"/>
  <c r="K219" i="12"/>
  <c r="K203" i="12"/>
  <c r="K223" i="12" s="1"/>
  <c r="K208" i="9" s="1"/>
  <c r="AD218" i="12"/>
  <c r="AD182" i="12"/>
  <c r="AD222" i="12" s="1"/>
  <c r="K207" i="9"/>
  <c r="R219" i="12"/>
  <c r="R203" i="12"/>
  <c r="R223" i="12" s="1"/>
  <c r="R208" i="9" s="1"/>
  <c r="U218" i="12"/>
  <c r="U220" i="12" s="1"/>
  <c r="U182" i="12"/>
  <c r="U222" i="12" s="1"/>
  <c r="AF219" i="12"/>
  <c r="AF203" i="12"/>
  <c r="AF223" i="12" s="1"/>
  <c r="AF208" i="9" s="1"/>
  <c r="L218" i="12"/>
  <c r="L182" i="12"/>
  <c r="L222" i="12" s="1"/>
  <c r="AK218" i="12"/>
  <c r="AK182" i="12"/>
  <c r="AK222" i="12" s="1"/>
  <c r="T218" i="12"/>
  <c r="T182" i="12"/>
  <c r="T222" i="12" s="1"/>
  <c r="AK219" i="12"/>
  <c r="AK203" i="12"/>
  <c r="AK223" i="12" s="1"/>
  <c r="AK208" i="9" s="1"/>
  <c r="AF218" i="12"/>
  <c r="AF182" i="12"/>
  <c r="AF222" i="12" s="1"/>
  <c r="AI218" i="12"/>
  <c r="AI182" i="12"/>
  <c r="AI222" i="12" s="1"/>
  <c r="J219" i="12"/>
  <c r="J203" i="12"/>
  <c r="AN218" i="12"/>
  <c r="AN182" i="12"/>
  <c r="AN222" i="12" s="1"/>
  <c r="N219" i="12"/>
  <c r="N203" i="12"/>
  <c r="N223" i="12" s="1"/>
  <c r="N208" i="9" s="1"/>
  <c r="M218" i="12"/>
  <c r="M182" i="12"/>
  <c r="M222" i="12" s="1"/>
  <c r="AH219" i="12"/>
  <c r="AH203" i="12"/>
  <c r="AH223" i="12" s="1"/>
  <c r="AH208" i="9" s="1"/>
  <c r="O219" i="12"/>
  <c r="O220" i="12" s="1"/>
  <c r="O203" i="12"/>
  <c r="O223" i="12" s="1"/>
  <c r="O208" i="9" s="1"/>
  <c r="AE219" i="12"/>
  <c r="AE203" i="12"/>
  <c r="AE223" i="12" s="1"/>
  <c r="AE208" i="9" s="1"/>
  <c r="Y219" i="12"/>
  <c r="Y203" i="12"/>
  <c r="Y223" i="12" s="1"/>
  <c r="Y208" i="9" s="1"/>
  <c r="AH218" i="12"/>
  <c r="AH182" i="12"/>
  <c r="AH222" i="12" s="1"/>
  <c r="X218" i="12"/>
  <c r="X182" i="12"/>
  <c r="X222" i="12" s="1"/>
  <c r="V218" i="12"/>
  <c r="V182" i="12"/>
  <c r="V222" i="12" s="1"/>
  <c r="AB219" i="12"/>
  <c r="AB203" i="12"/>
  <c r="AB223" i="12" s="1"/>
  <c r="AB208" i="9" s="1"/>
  <c r="Y218" i="12"/>
  <c r="Y182" i="12"/>
  <c r="Y222" i="12" s="1"/>
  <c r="W218" i="12"/>
  <c r="W182" i="12"/>
  <c r="W222" i="12" s="1"/>
  <c r="AB218" i="12"/>
  <c r="AB182" i="12"/>
  <c r="AB222" i="12" s="1"/>
  <c r="AI219" i="12"/>
  <c r="AI203" i="12"/>
  <c r="AI223" i="12" s="1"/>
  <c r="AI208" i="9" s="1"/>
  <c r="AR218" i="12"/>
  <c r="AR182" i="12"/>
  <c r="AR222" i="12" s="1"/>
  <c r="AS219" i="12"/>
  <c r="AS203" i="12"/>
  <c r="AS223" i="12" s="1"/>
  <c r="AS208" i="9" s="1"/>
  <c r="T219" i="12"/>
  <c r="T203" i="12"/>
  <c r="T223" i="12" s="1"/>
  <c r="T208" i="9" s="1"/>
  <c r="AJ218" i="12"/>
  <c r="AJ182" i="12"/>
  <c r="AJ222" i="12" s="1"/>
  <c r="AD219" i="12"/>
  <c r="AD203" i="12"/>
  <c r="AD223" i="12" s="1"/>
  <c r="AD208" i="9" s="1"/>
  <c r="AL219" i="12"/>
  <c r="AL220" i="12" s="1"/>
  <c r="AL203" i="12"/>
  <c r="AL223" i="12" s="1"/>
  <c r="AL208" i="9" s="1"/>
  <c r="AC218" i="12"/>
  <c r="AC182" i="12"/>
  <c r="AC222" i="12" s="1"/>
  <c r="AA219" i="12"/>
  <c r="AA203" i="12"/>
  <c r="AA223" i="12" s="1"/>
  <c r="AA208" i="9" s="1"/>
  <c r="R218" i="12"/>
  <c r="R182" i="12"/>
  <c r="R222" i="12" s="1"/>
  <c r="AA218" i="12"/>
  <c r="AA182" i="12"/>
  <c r="AA222" i="12" s="1"/>
  <c r="J218" i="12"/>
  <c r="J182" i="12"/>
  <c r="AP219" i="12"/>
  <c r="AP203" i="12"/>
  <c r="AP223" i="12" s="1"/>
  <c r="AP208" i="9" s="1"/>
  <c r="V219" i="12"/>
  <c r="V203" i="12"/>
  <c r="V223" i="12" s="1"/>
  <c r="V208" i="9" s="1"/>
  <c r="AR219" i="12"/>
  <c r="AR203" i="12"/>
  <c r="AR223" i="12" s="1"/>
  <c r="AR208" i="9" s="1"/>
  <c r="M219" i="12"/>
  <c r="M203" i="12"/>
  <c r="M223" i="12" s="1"/>
  <c r="M208" i="9" s="1"/>
  <c r="Q218" i="12"/>
  <c r="Q182" i="12"/>
  <c r="Q222" i="12" s="1"/>
  <c r="AC156" i="11"/>
  <c r="AC117" i="11" s="1"/>
  <c r="AD156" i="11"/>
  <c r="AD117" i="11" s="1"/>
  <c r="L268" i="12"/>
  <c r="L284" i="12" s="1"/>
  <c r="L285" i="12" s="1"/>
  <c r="J156" i="11"/>
  <c r="J117" i="11" s="1"/>
  <c r="Q281" i="12"/>
  <c r="Q282" i="12" s="1"/>
  <c r="S156" i="11"/>
  <c r="S117" i="11" s="1"/>
  <c r="AR156" i="11"/>
  <c r="AR117" i="11" s="1"/>
  <c r="Y156" i="11"/>
  <c r="Y117" i="11" s="1"/>
  <c r="AK156" i="11"/>
  <c r="AK117" i="11" s="1"/>
  <c r="N268" i="12"/>
  <c r="N284" i="12" s="1"/>
  <c r="N211" i="9" s="1"/>
  <c r="N212" i="9" s="1"/>
  <c r="AA156" i="11"/>
  <c r="AA117" i="11" s="1"/>
  <c r="AM94" i="14"/>
  <c r="AN156" i="11"/>
  <c r="AN117" i="11" s="1"/>
  <c r="AG156" i="11"/>
  <c r="AG117" i="11" s="1"/>
  <c r="X156" i="11"/>
  <c r="X117" i="11" s="1"/>
  <c r="R156" i="11"/>
  <c r="R117" i="11" s="1"/>
  <c r="U156" i="11"/>
  <c r="U117" i="11" s="1"/>
  <c r="V156" i="11"/>
  <c r="V117" i="11" s="1"/>
  <c r="AP156" i="11"/>
  <c r="AP117" i="11" s="1"/>
  <c r="Q156" i="11"/>
  <c r="Q117" i="11" s="1"/>
  <c r="AH156" i="11"/>
  <c r="AH117" i="11" s="1"/>
  <c r="T156" i="11"/>
  <c r="T117" i="11" s="1"/>
  <c r="AM156" i="11"/>
  <c r="AM117" i="11" s="1"/>
  <c r="AI156" i="11"/>
  <c r="AI117" i="11" s="1"/>
  <c r="AS156" i="11"/>
  <c r="AS117" i="11" s="1"/>
  <c r="AB156" i="11"/>
  <c r="AB117" i="11" s="1"/>
  <c r="O156" i="11"/>
  <c r="O117" i="11" s="1"/>
  <c r="W156" i="11"/>
  <c r="W117" i="11" s="1"/>
  <c r="AO156" i="11"/>
  <c r="AO117" i="11" s="1"/>
  <c r="K281" i="12"/>
  <c r="K282" i="12" s="1"/>
  <c r="K268" i="12"/>
  <c r="K284" i="12" s="1"/>
  <c r="AO281" i="12"/>
  <c r="AO282" i="12" s="1"/>
  <c r="AO268" i="12"/>
  <c r="AO284" i="12" s="1"/>
  <c r="P156" i="11"/>
  <c r="P117" i="11" s="1"/>
  <c r="AK281" i="12"/>
  <c r="AK282" i="12" s="1"/>
  <c r="AK268" i="12"/>
  <c r="AK284" i="12" s="1"/>
  <c r="S281" i="12"/>
  <c r="S282" i="12" s="1"/>
  <c r="S268" i="12"/>
  <c r="S284" i="12" s="1"/>
  <c r="M281" i="12"/>
  <c r="M282" i="12" s="1"/>
  <c r="M268" i="12"/>
  <c r="M284" i="12" s="1"/>
  <c r="P281" i="12"/>
  <c r="P282" i="12" s="1"/>
  <c r="P268" i="12"/>
  <c r="P284" i="12" s="1"/>
  <c r="AA281" i="12"/>
  <c r="AA282" i="12" s="1"/>
  <c r="AA268" i="12"/>
  <c r="AA284" i="12" s="1"/>
  <c r="AQ281" i="12"/>
  <c r="AQ282" i="12" s="1"/>
  <c r="AQ268" i="12"/>
  <c r="AQ284" i="12" s="1"/>
  <c r="R281" i="12"/>
  <c r="R282" i="12" s="1"/>
  <c r="R268" i="12"/>
  <c r="R284" i="12" s="1"/>
  <c r="AF156" i="11"/>
  <c r="AF117" i="11" s="1"/>
  <c r="AH281" i="12"/>
  <c r="AH282" i="12" s="1"/>
  <c r="AH268" i="12"/>
  <c r="AH284" i="12" s="1"/>
  <c r="AJ156" i="11"/>
  <c r="AJ117" i="11" s="1"/>
  <c r="K156" i="11"/>
  <c r="K117" i="11" s="1"/>
  <c r="W281" i="12"/>
  <c r="W282" i="12" s="1"/>
  <c r="W268" i="12"/>
  <c r="W284" i="12" s="1"/>
  <c r="T281" i="12"/>
  <c r="T282" i="12" s="1"/>
  <c r="T268" i="12"/>
  <c r="T284" i="12" s="1"/>
  <c r="AD281" i="12"/>
  <c r="AD282" i="12" s="1"/>
  <c r="AD268" i="12"/>
  <c r="AD284" i="12" s="1"/>
  <c r="AR281" i="12"/>
  <c r="AR282" i="12" s="1"/>
  <c r="AR268" i="12"/>
  <c r="AR284" i="12" s="1"/>
  <c r="AI281" i="12"/>
  <c r="AI282" i="12" s="1"/>
  <c r="AI268" i="12"/>
  <c r="AI284" i="12" s="1"/>
  <c r="AB281" i="12"/>
  <c r="AB282" i="12" s="1"/>
  <c r="AB268" i="12"/>
  <c r="AB284" i="12" s="1"/>
  <c r="X281" i="12"/>
  <c r="X282" i="12" s="1"/>
  <c r="X268" i="12"/>
  <c r="X284" i="12" s="1"/>
  <c r="AM281" i="12"/>
  <c r="AM282" i="12" s="1"/>
  <c r="AM268" i="12"/>
  <c r="AM284" i="12" s="1"/>
  <c r="AC268" i="12"/>
  <c r="AC284" i="12" s="1"/>
  <c r="AC281" i="12"/>
  <c r="AC282" i="12" s="1"/>
  <c r="AF281" i="12"/>
  <c r="AF282" i="12" s="1"/>
  <c r="AF268" i="12"/>
  <c r="AF284" i="12" s="1"/>
  <c r="M156" i="11"/>
  <c r="M117" i="11" s="1"/>
  <c r="Z156" i="11"/>
  <c r="Z117" i="11" s="1"/>
  <c r="O281" i="12"/>
  <c r="O282" i="12" s="1"/>
  <c r="O268" i="12"/>
  <c r="O284" i="12" s="1"/>
  <c r="U281" i="12"/>
  <c r="U282" i="12" s="1"/>
  <c r="U268" i="12"/>
  <c r="U284" i="12" s="1"/>
  <c r="J281" i="12"/>
  <c r="J282" i="12" s="1"/>
  <c r="J268" i="12"/>
  <c r="AP281" i="12"/>
  <c r="AP282" i="12" s="1"/>
  <c r="AP268" i="12"/>
  <c r="AP284" i="12" s="1"/>
  <c r="L156" i="11"/>
  <c r="L117" i="11" s="1"/>
  <c r="AE281" i="12"/>
  <c r="AE282" i="12" s="1"/>
  <c r="AE268" i="12"/>
  <c r="AE284" i="12" s="1"/>
  <c r="N156" i="11"/>
  <c r="N117" i="11" s="1"/>
  <c r="V281" i="12"/>
  <c r="V282" i="12" s="1"/>
  <c r="V268" i="12"/>
  <c r="V284" i="12" s="1"/>
  <c r="AS281" i="12"/>
  <c r="AS282" i="12" s="1"/>
  <c r="AS268" i="12"/>
  <c r="AS284" i="12" s="1"/>
  <c r="Y281" i="12"/>
  <c r="Y282" i="12" s="1"/>
  <c r="Y268" i="12"/>
  <c r="Y284" i="12" s="1"/>
  <c r="AG281" i="12"/>
  <c r="AG282" i="12" s="1"/>
  <c r="AG268" i="12"/>
  <c r="AG284" i="12" s="1"/>
  <c r="Z281" i="12"/>
  <c r="Z282" i="12" s="1"/>
  <c r="Z268" i="12"/>
  <c r="Z284" i="12" s="1"/>
  <c r="AN268" i="12"/>
  <c r="AN284" i="12" s="1"/>
  <c r="AN281" i="12"/>
  <c r="AN282" i="12" s="1"/>
  <c r="AL281" i="12"/>
  <c r="AL282" i="12" s="1"/>
  <c r="AL268" i="12"/>
  <c r="AL284" i="12" s="1"/>
  <c r="AJ281" i="12"/>
  <c r="AJ282" i="12" s="1"/>
  <c r="AJ268" i="12"/>
  <c r="AJ284" i="12" s="1"/>
  <c r="AL156" i="11"/>
  <c r="AL117" i="11" s="1"/>
  <c r="L211" i="9"/>
  <c r="L212" i="9" s="1"/>
  <c r="Q285" i="12"/>
  <c r="Q211" i="9"/>
  <c r="Q212" i="9" s="1"/>
  <c r="AI51" i="12" l="1"/>
  <c r="AI52" i="12" s="1"/>
  <c r="K51" i="12"/>
  <c r="K52" i="12" s="1"/>
  <c r="Z51" i="12"/>
  <c r="Z52" i="12" s="1"/>
  <c r="AN51" i="12"/>
  <c r="AN52" i="12" s="1"/>
  <c r="AP51" i="12"/>
  <c r="AP52" i="12" s="1"/>
  <c r="AL51" i="12"/>
  <c r="AL52" i="12" s="1"/>
  <c r="Q51" i="12"/>
  <c r="Q52" i="12" s="1"/>
  <c r="U51" i="12"/>
  <c r="U52" i="12" s="1"/>
  <c r="AR51" i="12"/>
  <c r="AR52" i="12" s="1"/>
  <c r="AB51" i="12"/>
  <c r="AB52" i="12" s="1"/>
  <c r="AC51" i="12"/>
  <c r="AC52" i="12" s="1"/>
  <c r="AG51" i="12"/>
  <c r="AG52" i="12" s="1"/>
  <c r="AE51" i="12"/>
  <c r="AE52" i="12" s="1"/>
  <c r="P51" i="12"/>
  <c r="P52" i="12" s="1"/>
  <c r="AO51" i="12"/>
  <c r="AO52" i="12" s="1"/>
  <c r="X51" i="12"/>
  <c r="X52" i="12" s="1"/>
  <c r="V51" i="12"/>
  <c r="V52" i="12" s="1"/>
  <c r="J51" i="12"/>
  <c r="J52" i="12" s="1"/>
  <c r="W51" i="12"/>
  <c r="W52" i="12" s="1"/>
  <c r="AQ51" i="12"/>
  <c r="AQ52" i="12" s="1"/>
  <c r="AF51" i="12"/>
  <c r="AF52" i="12" s="1"/>
  <c r="AD51" i="12"/>
  <c r="AD52" i="12" s="1"/>
  <c r="AK51" i="12"/>
  <c r="AK52" i="12" s="1"/>
  <c r="Y51" i="12"/>
  <c r="Y52" i="12" s="1"/>
  <c r="AJ51" i="12"/>
  <c r="AJ52" i="12" s="1"/>
  <c r="O51" i="12"/>
  <c r="O52" i="12" s="1"/>
  <c r="N51" i="12"/>
  <c r="N52" i="12" s="1"/>
  <c r="R51" i="12"/>
  <c r="R52" i="12" s="1"/>
  <c r="T51" i="12"/>
  <c r="T52" i="12" s="1"/>
  <c r="AM51" i="12"/>
  <c r="AM52" i="12" s="1"/>
  <c r="L51" i="12"/>
  <c r="L52" i="12" s="1"/>
  <c r="S51" i="12"/>
  <c r="S52" i="12" s="1"/>
  <c r="AA51" i="12"/>
  <c r="AA52" i="12" s="1"/>
  <c r="AH51" i="12"/>
  <c r="AH52" i="12" s="1"/>
  <c r="AS51" i="12"/>
  <c r="AS52" i="12" s="1"/>
  <c r="M51" i="12"/>
  <c r="M52" i="12" s="1"/>
  <c r="AS74" i="13"/>
  <c r="AS76" i="13" s="1"/>
  <c r="AS128" i="9"/>
  <c r="AS130" i="9" s="1"/>
  <c r="I68" i="17"/>
  <c r="G68" i="17"/>
  <c r="AR77" i="13"/>
  <c r="AR80" i="13" s="1"/>
  <c r="L68" i="17"/>
  <c r="AS75" i="13"/>
  <c r="AS49" i="13"/>
  <c r="AS51" i="13" s="1"/>
  <c r="AP84" i="14"/>
  <c r="AP100" i="9" s="1"/>
  <c r="AQ61" i="14"/>
  <c r="AN93" i="14"/>
  <c r="AN92" i="14"/>
  <c r="AN91" i="14"/>
  <c r="AO83" i="14"/>
  <c r="AP52" i="14"/>
  <c r="AM224" i="12"/>
  <c r="K220" i="12"/>
  <c r="L220" i="12"/>
  <c r="R220" i="12"/>
  <c r="Y220" i="12"/>
  <c r="AE220" i="12"/>
  <c r="AS220" i="12"/>
  <c r="AL209" i="9"/>
  <c r="AL224" i="12"/>
  <c r="AN220" i="12"/>
  <c r="O224" i="12"/>
  <c r="AC220" i="12"/>
  <c r="AA220" i="12"/>
  <c r="Q220" i="12"/>
  <c r="AK220" i="12"/>
  <c r="X220" i="12"/>
  <c r="N220" i="12"/>
  <c r="Z220" i="12"/>
  <c r="S220" i="12"/>
  <c r="AR220" i="12"/>
  <c r="AF220" i="12"/>
  <c r="R207" i="9"/>
  <c r="R209" i="9" s="1"/>
  <c r="R224" i="12"/>
  <c r="AS224" i="12"/>
  <c r="AS207" i="9"/>
  <c r="AS209" i="9" s="1"/>
  <c r="AB207" i="9"/>
  <c r="AB209" i="9" s="1"/>
  <c r="AB224" i="12"/>
  <c r="V224" i="12"/>
  <c r="V207" i="9"/>
  <c r="V209" i="9" s="1"/>
  <c r="M224" i="12"/>
  <c r="M207" i="9"/>
  <c r="M209" i="9" s="1"/>
  <c r="T220" i="12"/>
  <c r="P220" i="12"/>
  <c r="T207" i="9"/>
  <c r="T209" i="9" s="1"/>
  <c r="T224" i="12"/>
  <c r="AE224" i="12"/>
  <c r="AE207" i="9"/>
  <c r="AE209" i="9" s="1"/>
  <c r="Q207" i="9"/>
  <c r="Q209" i="9" s="1"/>
  <c r="Q224" i="12"/>
  <c r="AB220" i="12"/>
  <c r="V220" i="12"/>
  <c r="M220" i="12"/>
  <c r="AI207" i="9"/>
  <c r="AI209" i="9" s="1"/>
  <c r="AI224" i="12"/>
  <c r="AK224" i="12"/>
  <c r="AK207" i="9"/>
  <c r="AK209" i="9" s="1"/>
  <c r="AG207" i="9"/>
  <c r="AG209" i="9" s="1"/>
  <c r="AG224" i="12"/>
  <c r="AP207" i="9"/>
  <c r="AP209" i="9" s="1"/>
  <c r="AP224" i="12"/>
  <c r="AO207" i="9"/>
  <c r="AO209" i="9" s="1"/>
  <c r="AO224" i="12"/>
  <c r="W224" i="12"/>
  <c r="W207" i="9"/>
  <c r="W209" i="9" s="1"/>
  <c r="X207" i="9"/>
  <c r="X209" i="9" s="1"/>
  <c r="X224" i="12"/>
  <c r="AI220" i="12"/>
  <c r="AG220" i="12"/>
  <c r="AP220" i="12"/>
  <c r="AO220" i="12"/>
  <c r="AC224" i="12"/>
  <c r="AC207" i="9"/>
  <c r="AC209" i="9" s="1"/>
  <c r="U224" i="12"/>
  <c r="U207" i="9"/>
  <c r="U209" i="9" s="1"/>
  <c r="P207" i="9"/>
  <c r="P209" i="9" s="1"/>
  <c r="P224" i="12"/>
  <c r="J222" i="12"/>
  <c r="J183" i="12"/>
  <c r="AR207" i="9"/>
  <c r="AR209" i="9" s="1"/>
  <c r="AR224" i="12"/>
  <c r="W220" i="12"/>
  <c r="AF207" i="9"/>
  <c r="AF209" i="9" s="1"/>
  <c r="AF224" i="12"/>
  <c r="L207" i="9"/>
  <c r="L209" i="9" s="1"/>
  <c r="L224" i="12"/>
  <c r="K224" i="12"/>
  <c r="N224" i="12"/>
  <c r="N207" i="9"/>
  <c r="N209" i="9" s="1"/>
  <c r="Z207" i="9"/>
  <c r="Z209" i="9" s="1"/>
  <c r="Z224" i="12"/>
  <c r="S207" i="9"/>
  <c r="S209" i="9" s="1"/>
  <c r="S224" i="12"/>
  <c r="AN207" i="9"/>
  <c r="AN209" i="9" s="1"/>
  <c r="AN224" i="12"/>
  <c r="AA207" i="9"/>
  <c r="AA209" i="9" s="1"/>
  <c r="AA224" i="12"/>
  <c r="AJ207" i="9"/>
  <c r="AJ209" i="9" s="1"/>
  <c r="AJ224" i="12"/>
  <c r="AH220" i="12"/>
  <c r="AD224" i="12"/>
  <c r="AD207" i="9"/>
  <c r="AD209" i="9" s="1"/>
  <c r="AQ207" i="9"/>
  <c r="AQ209" i="9" s="1"/>
  <c r="AQ224" i="12"/>
  <c r="J220" i="12"/>
  <c r="Y207" i="9"/>
  <c r="Y209" i="9" s="1"/>
  <c r="Y224" i="12"/>
  <c r="AH207" i="9"/>
  <c r="AH209" i="9" s="1"/>
  <c r="AH224" i="12"/>
  <c r="K209" i="9"/>
  <c r="AJ220" i="12"/>
  <c r="O209" i="9"/>
  <c r="J223" i="12"/>
  <c r="J208" i="9" s="1"/>
  <c r="J204" i="12"/>
  <c r="AD220" i="12"/>
  <c r="AQ220" i="12"/>
  <c r="AF119" i="11"/>
  <c r="AF42" i="11" s="1"/>
  <c r="K119" i="11"/>
  <c r="K42" i="11" s="1"/>
  <c r="N285" i="12"/>
  <c r="Z119" i="11"/>
  <c r="Z42" i="11" s="1"/>
  <c r="T119" i="11"/>
  <c r="T42" i="11" s="1"/>
  <c r="AR119" i="11"/>
  <c r="AS122" i="11" s="1"/>
  <c r="AS163" i="11" s="1"/>
  <c r="AS164" i="11" s="1"/>
  <c r="AS222" i="11" s="1"/>
  <c r="AS223" i="9" s="1"/>
  <c r="AS224" i="9" s="1"/>
  <c r="AC119" i="11"/>
  <c r="AC42" i="11" s="1"/>
  <c r="AI119" i="11"/>
  <c r="AJ122" i="11" s="1"/>
  <c r="AJ163" i="11" s="1"/>
  <c r="AJ164" i="11" s="1"/>
  <c r="AJ222" i="11" s="1"/>
  <c r="AJ223" i="9" s="1"/>
  <c r="AJ224" i="9" s="1"/>
  <c r="AO119" i="11"/>
  <c r="AP122" i="11" s="1"/>
  <c r="AP163" i="11" s="1"/>
  <c r="AP164" i="11" s="1"/>
  <c r="AP222" i="11" s="1"/>
  <c r="AP223" i="9" s="1"/>
  <c r="AP224" i="9" s="1"/>
  <c r="N119" i="11"/>
  <c r="N42" i="11" s="1"/>
  <c r="Q119" i="11"/>
  <c r="Q42" i="11" s="1"/>
  <c r="W119" i="11"/>
  <c r="W42" i="11" s="1"/>
  <c r="AL119" i="11"/>
  <c r="AL42" i="11" s="1"/>
  <c r="AJ285" i="12"/>
  <c r="AJ211" i="9"/>
  <c r="AJ212" i="9" s="1"/>
  <c r="AG285" i="12"/>
  <c r="AG211" i="9"/>
  <c r="AG212" i="9" s="1"/>
  <c r="U285" i="12"/>
  <c r="U211" i="9"/>
  <c r="U212" i="9" s="1"/>
  <c r="X285" i="12"/>
  <c r="X211" i="9"/>
  <c r="X212" i="9" s="1"/>
  <c r="AN285" i="12"/>
  <c r="AN211" i="9"/>
  <c r="AN212" i="9" s="1"/>
  <c r="Y285" i="12"/>
  <c r="Y211" i="9"/>
  <c r="Y212" i="9" s="1"/>
  <c r="T285" i="12"/>
  <c r="T211" i="9"/>
  <c r="T212" i="9" s="1"/>
  <c r="AQ285" i="12"/>
  <c r="AQ211" i="9"/>
  <c r="AQ212" i="9" s="1"/>
  <c r="M285" i="12"/>
  <c r="M211" i="9"/>
  <c r="M212" i="9" s="1"/>
  <c r="AC285" i="12"/>
  <c r="AC211" i="9"/>
  <c r="AC212" i="9" s="1"/>
  <c r="Z285" i="12"/>
  <c r="Z211" i="9"/>
  <c r="Z212" i="9" s="1"/>
  <c r="AS285" i="12"/>
  <c r="AS211" i="9"/>
  <c r="AS212" i="9" s="1"/>
  <c r="J284" i="12"/>
  <c r="J269" i="12"/>
  <c r="O285" i="12"/>
  <c r="O211" i="9"/>
  <c r="O212" i="9" s="1"/>
  <c r="AH285" i="12"/>
  <c r="AH211" i="9"/>
  <c r="AH212" i="9" s="1"/>
  <c r="AP285" i="12"/>
  <c r="AP211" i="9"/>
  <c r="AP212" i="9" s="1"/>
  <c r="AA285" i="12"/>
  <c r="AA211" i="9"/>
  <c r="AA212" i="9" s="1"/>
  <c r="AO285" i="12"/>
  <c r="AO211" i="9"/>
  <c r="AO212" i="9" s="1"/>
  <c r="V285" i="12"/>
  <c r="V211" i="9"/>
  <c r="V212" i="9" s="1"/>
  <c r="AI285" i="12"/>
  <c r="AI211" i="9"/>
  <c r="AI212" i="9" s="1"/>
  <c r="AR285" i="12"/>
  <c r="AR211" i="9"/>
  <c r="AR212" i="9" s="1"/>
  <c r="S285" i="12"/>
  <c r="S211" i="9"/>
  <c r="S212" i="9" s="1"/>
  <c r="K285" i="12"/>
  <c r="K211" i="9"/>
  <c r="K212" i="9" s="1"/>
  <c r="AB285" i="12"/>
  <c r="AB211" i="9"/>
  <c r="AB212" i="9" s="1"/>
  <c r="R285" i="12"/>
  <c r="R211" i="9"/>
  <c r="R212" i="9" s="1"/>
  <c r="AL285" i="12"/>
  <c r="AL211" i="9"/>
  <c r="AL212" i="9" s="1"/>
  <c r="W285" i="12"/>
  <c r="W211" i="9"/>
  <c r="W212" i="9" s="1"/>
  <c r="AK285" i="12"/>
  <c r="AK211" i="9"/>
  <c r="AK212" i="9" s="1"/>
  <c r="AF285" i="12"/>
  <c r="AF211" i="9"/>
  <c r="AF212" i="9" s="1"/>
  <c r="AM285" i="12"/>
  <c r="AM211" i="9"/>
  <c r="AM212" i="9" s="1"/>
  <c r="AE285" i="12"/>
  <c r="AE211" i="9"/>
  <c r="AE212" i="9" s="1"/>
  <c r="AD285" i="12"/>
  <c r="AD211" i="9"/>
  <c r="AD212" i="9" s="1"/>
  <c r="P285" i="12"/>
  <c r="P211" i="9"/>
  <c r="P212" i="9" s="1"/>
  <c r="M53" i="12" l="1"/>
  <c r="M69" i="12" s="1"/>
  <c r="M66" i="12"/>
  <c r="M67" i="12" s="1"/>
  <c r="J66" i="12"/>
  <c r="J67" i="12" s="1"/>
  <c r="J53" i="12"/>
  <c r="T66" i="12"/>
  <c r="T67" i="12" s="1"/>
  <c r="T53" i="12"/>
  <c r="T69" i="12" s="1"/>
  <c r="AK53" i="12"/>
  <c r="AK69" i="12" s="1"/>
  <c r="AK66" i="12"/>
  <c r="AK67" i="12" s="1"/>
  <c r="V66" i="12"/>
  <c r="V67" i="12" s="1"/>
  <c r="V53" i="12"/>
  <c r="V69" i="12" s="1"/>
  <c r="AC66" i="12"/>
  <c r="AC67" i="12" s="1"/>
  <c r="AC53" i="12"/>
  <c r="AC69" i="12" s="1"/>
  <c r="AP53" i="12"/>
  <c r="AP69" i="12" s="1"/>
  <c r="AP66" i="12"/>
  <c r="AP67" i="12" s="1"/>
  <c r="AL53" i="12"/>
  <c r="AL69" i="12" s="1"/>
  <c r="AL66" i="12"/>
  <c r="AL67" i="12" s="1"/>
  <c r="AH66" i="12"/>
  <c r="AH67" i="12" s="1"/>
  <c r="AH53" i="12"/>
  <c r="AH69" i="12" s="1"/>
  <c r="R53" i="12"/>
  <c r="R69" i="12" s="1"/>
  <c r="R66" i="12"/>
  <c r="R67" i="12" s="1"/>
  <c r="AD53" i="12"/>
  <c r="AD69" i="12" s="1"/>
  <c r="AD66" i="12"/>
  <c r="AD67" i="12" s="1"/>
  <c r="X66" i="12"/>
  <c r="X67" i="12" s="1"/>
  <c r="X53" i="12"/>
  <c r="X69" i="12" s="1"/>
  <c r="AB53" i="12"/>
  <c r="AB69" i="12" s="1"/>
  <c r="AB66" i="12"/>
  <c r="AB67" i="12" s="1"/>
  <c r="AN66" i="12"/>
  <c r="AN67" i="12" s="1"/>
  <c r="AN53" i="12"/>
  <c r="AN69" i="12" s="1"/>
  <c r="AM66" i="12"/>
  <c r="AM67" i="12" s="1"/>
  <c r="AM53" i="12"/>
  <c r="AM69" i="12" s="1"/>
  <c r="AA66" i="12"/>
  <c r="AA67" i="12" s="1"/>
  <c r="AA53" i="12"/>
  <c r="AA69" i="12" s="1"/>
  <c r="N66" i="12"/>
  <c r="N67" i="12" s="1"/>
  <c r="N53" i="12"/>
  <c r="N69" i="12" s="1"/>
  <c r="AF53" i="12"/>
  <c r="AF69" i="12" s="1"/>
  <c r="AF66" i="12"/>
  <c r="AF67" i="12" s="1"/>
  <c r="AO53" i="12"/>
  <c r="AO69" i="12" s="1"/>
  <c r="AO66" i="12"/>
  <c r="AO67" i="12" s="1"/>
  <c r="AR66" i="12"/>
  <c r="AR67" i="12" s="1"/>
  <c r="AR53" i="12"/>
  <c r="AR69" i="12" s="1"/>
  <c r="Z53" i="12"/>
  <c r="Z69" i="12" s="1"/>
  <c r="Z66" i="12"/>
  <c r="Z67" i="12" s="1"/>
  <c r="Y66" i="12"/>
  <c r="Y67" i="12" s="1"/>
  <c r="Y53" i="12"/>
  <c r="Y69" i="12" s="1"/>
  <c r="AS66" i="12"/>
  <c r="AS67" i="12" s="1"/>
  <c r="AS53" i="12"/>
  <c r="AS69" i="12" s="1"/>
  <c r="S66" i="12"/>
  <c r="S67" i="12" s="1"/>
  <c r="S53" i="12"/>
  <c r="S69" i="12" s="1"/>
  <c r="O66" i="12"/>
  <c r="O67" i="12" s="1"/>
  <c r="O53" i="12"/>
  <c r="O69" i="12" s="1"/>
  <c r="AQ66" i="12"/>
  <c r="AQ67" i="12" s="1"/>
  <c r="AQ53" i="12"/>
  <c r="AQ69" i="12" s="1"/>
  <c r="P66" i="12"/>
  <c r="P67" i="12" s="1"/>
  <c r="P53" i="12"/>
  <c r="P69" i="12" s="1"/>
  <c r="U53" i="12"/>
  <c r="U69" i="12" s="1"/>
  <c r="U66" i="12"/>
  <c r="U67" i="12" s="1"/>
  <c r="K53" i="12"/>
  <c r="K69" i="12" s="1"/>
  <c r="K66" i="12"/>
  <c r="K67" i="12" s="1"/>
  <c r="AG53" i="12"/>
  <c r="AG69" i="12" s="1"/>
  <c r="AG66" i="12"/>
  <c r="AG67" i="12" s="1"/>
  <c r="L66" i="12"/>
  <c r="L67" i="12" s="1"/>
  <c r="L53" i="12"/>
  <c r="L69" i="12" s="1"/>
  <c r="AJ53" i="12"/>
  <c r="AJ69" i="12" s="1"/>
  <c r="AJ66" i="12"/>
  <c r="AJ67" i="12" s="1"/>
  <c r="W66" i="12"/>
  <c r="W67" i="12" s="1"/>
  <c r="W53" i="12"/>
  <c r="W69" i="12" s="1"/>
  <c r="AE66" i="12"/>
  <c r="AE67" i="12" s="1"/>
  <c r="AE53" i="12"/>
  <c r="AE69" i="12" s="1"/>
  <c r="Q66" i="12"/>
  <c r="Q67" i="12" s="1"/>
  <c r="Q53" i="12"/>
  <c r="Q69" i="12" s="1"/>
  <c r="AI66" i="12"/>
  <c r="AI67" i="12" s="1"/>
  <c r="AI53" i="12"/>
  <c r="AI69" i="12" s="1"/>
  <c r="AR79" i="13"/>
  <c r="AR81" i="13" s="1"/>
  <c r="K68" i="17"/>
  <c r="J68" i="17"/>
  <c r="F68" i="17"/>
  <c r="N68" i="17"/>
  <c r="O68" i="17"/>
  <c r="M68" i="17"/>
  <c r="H68" i="17"/>
  <c r="P68" i="17"/>
  <c r="N218" i="9"/>
  <c r="AS77" i="13"/>
  <c r="AS80" i="13" s="1"/>
  <c r="I51" i="13"/>
  <c r="K27" i="2" s="1"/>
  <c r="M27" i="2" s="1"/>
  <c r="AS53" i="13"/>
  <c r="AS54" i="13"/>
  <c r="I67" i="17"/>
  <c r="AQ67" i="14"/>
  <c r="AQ72" i="14"/>
  <c r="T218" i="9"/>
  <c r="AP71" i="14"/>
  <c r="AP73" i="14" s="1"/>
  <c r="AP58" i="14"/>
  <c r="AO99" i="9"/>
  <c r="AO101" i="9" s="1"/>
  <c r="AO106" i="9" s="1"/>
  <c r="AO85" i="14"/>
  <c r="AO87" i="14" s="1"/>
  <c r="AO88" i="14" s="1"/>
  <c r="AO89" i="14" s="1"/>
  <c r="AG218" i="9"/>
  <c r="AK218" i="9"/>
  <c r="O67" i="17"/>
  <c r="AI218" i="9"/>
  <c r="J226" i="12"/>
  <c r="K167" i="12"/>
  <c r="J207" i="9"/>
  <c r="J209" i="9" s="1"/>
  <c r="J224" i="12"/>
  <c r="J227" i="12"/>
  <c r="J111" i="9" s="1"/>
  <c r="K188" i="12"/>
  <c r="AG122" i="11"/>
  <c r="AG163" i="11" s="1"/>
  <c r="AG164" i="11" s="1"/>
  <c r="AG222" i="11" s="1"/>
  <c r="AG223" i="9" s="1"/>
  <c r="AG224" i="9" s="1"/>
  <c r="L122" i="11"/>
  <c r="L163" i="11" s="1"/>
  <c r="L164" i="11" s="1"/>
  <c r="L165" i="11" s="1"/>
  <c r="U122" i="11"/>
  <c r="U163" i="11" s="1"/>
  <c r="U164" i="11" s="1"/>
  <c r="U222" i="11" s="1"/>
  <c r="U223" i="9" s="1"/>
  <c r="U224" i="9" s="1"/>
  <c r="Y218" i="9"/>
  <c r="AJ218" i="9"/>
  <c r="AA122" i="11"/>
  <c r="AA163" i="11" s="1"/>
  <c r="AA164" i="11" s="1"/>
  <c r="AA222" i="11" s="1"/>
  <c r="AA223" i="9" s="1"/>
  <c r="AA224" i="9" s="1"/>
  <c r="AD122" i="11"/>
  <c r="AD163" i="11" s="1"/>
  <c r="AD164" i="11" s="1"/>
  <c r="AD222" i="11" s="1"/>
  <c r="AD223" i="9" s="1"/>
  <c r="AD224" i="9" s="1"/>
  <c r="AI42" i="11"/>
  <c r="AR42" i="11"/>
  <c r="AS218" i="9"/>
  <c r="AO42" i="11"/>
  <c r="AQ218" i="9"/>
  <c r="AN218" i="9"/>
  <c r="X218" i="9"/>
  <c r="AR218" i="9"/>
  <c r="AP218" i="9"/>
  <c r="AH218" i="9"/>
  <c r="O122" i="11"/>
  <c r="O163" i="11" s="1"/>
  <c r="O164" i="11" s="1"/>
  <c r="O222" i="11" s="1"/>
  <c r="O223" i="9" s="1"/>
  <c r="O224" i="9" s="1"/>
  <c r="AN94" i="14"/>
  <c r="R122" i="11"/>
  <c r="R163" i="11" s="1"/>
  <c r="R164" i="11" s="1"/>
  <c r="R222" i="11" s="1"/>
  <c r="R223" i="9" s="1"/>
  <c r="R224" i="9" s="1"/>
  <c r="AM122" i="11"/>
  <c r="AM163" i="11" s="1"/>
  <c r="AM164" i="11" s="1"/>
  <c r="AM222" i="11" s="1"/>
  <c r="AM223" i="9" s="1"/>
  <c r="AM224" i="9" s="1"/>
  <c r="X122" i="11"/>
  <c r="X163" i="11" s="1"/>
  <c r="X164" i="11" s="1"/>
  <c r="X222" i="11" s="1"/>
  <c r="X223" i="9" s="1"/>
  <c r="X224" i="9" s="1"/>
  <c r="G67" i="17"/>
  <c r="L218" i="9"/>
  <c r="R218" i="9"/>
  <c r="M67" i="17"/>
  <c r="AM218" i="9"/>
  <c r="AC218" i="9"/>
  <c r="AD218" i="9"/>
  <c r="P218" i="9"/>
  <c r="K67" i="17"/>
  <c r="AO218" i="9"/>
  <c r="H67" i="17"/>
  <c r="M218" i="9"/>
  <c r="AF218" i="9"/>
  <c r="J287" i="12"/>
  <c r="K253" i="12"/>
  <c r="AA218" i="9"/>
  <c r="J67" i="17"/>
  <c r="O218" i="9"/>
  <c r="F67" i="17"/>
  <c r="K218" i="9"/>
  <c r="L67" i="17"/>
  <c r="Q218" i="9"/>
  <c r="Z218" i="9"/>
  <c r="J285" i="12"/>
  <c r="J211" i="9"/>
  <c r="J212" i="9" s="1"/>
  <c r="AL218" i="9"/>
  <c r="W218" i="9"/>
  <c r="V218" i="9"/>
  <c r="AE218" i="9"/>
  <c r="N67" i="17"/>
  <c r="S218" i="9"/>
  <c r="AB218" i="9"/>
  <c r="P67" i="17"/>
  <c r="U218" i="9"/>
  <c r="AI181" i="9" l="1"/>
  <c r="AI182" i="9" s="1"/>
  <c r="AI187" i="9" s="1"/>
  <c r="AI70" i="12"/>
  <c r="S70" i="12"/>
  <c r="S181" i="9"/>
  <c r="S182" i="9" s="1"/>
  <c r="AM70" i="12"/>
  <c r="AM181" i="9"/>
  <c r="AM182" i="9" s="1"/>
  <c r="AM187" i="9" s="1"/>
  <c r="AH181" i="9"/>
  <c r="AH182" i="9" s="1"/>
  <c r="AH187" i="9" s="1"/>
  <c r="AH70" i="12"/>
  <c r="AC181" i="9"/>
  <c r="AC182" i="9" s="1"/>
  <c r="AC187" i="9" s="1"/>
  <c r="AC70" i="12"/>
  <c r="T181" i="9"/>
  <c r="T182" i="9" s="1"/>
  <c r="T70" i="12"/>
  <c r="AG70" i="12"/>
  <c r="AG181" i="9"/>
  <c r="AG182" i="9" s="1"/>
  <c r="AG187" i="9" s="1"/>
  <c r="Z70" i="12"/>
  <c r="Z181" i="9"/>
  <c r="Z182" i="9" s="1"/>
  <c r="Z187" i="9" s="1"/>
  <c r="AF181" i="9"/>
  <c r="AF182" i="9" s="1"/>
  <c r="AF187" i="9" s="1"/>
  <c r="AF70" i="12"/>
  <c r="W70" i="12"/>
  <c r="W181" i="9"/>
  <c r="W182" i="9" s="1"/>
  <c r="W187" i="9" s="1"/>
  <c r="Q181" i="9"/>
  <c r="Q182" i="9" s="1"/>
  <c r="Q70" i="12"/>
  <c r="AQ181" i="9"/>
  <c r="AQ182" i="9" s="1"/>
  <c r="AQ187" i="9" s="1"/>
  <c r="AQ70" i="12"/>
  <c r="AS181" i="9"/>
  <c r="AS182" i="9" s="1"/>
  <c r="AS187" i="9" s="1"/>
  <c r="AS70" i="12"/>
  <c r="AR70" i="12"/>
  <c r="AR181" i="9"/>
  <c r="AR182" i="9" s="1"/>
  <c r="AR187" i="9" s="1"/>
  <c r="N70" i="12"/>
  <c r="N181" i="9"/>
  <c r="N182" i="9" s="1"/>
  <c r="AN181" i="9"/>
  <c r="AN182" i="9" s="1"/>
  <c r="AN187" i="9" s="1"/>
  <c r="AN70" i="12"/>
  <c r="V70" i="12"/>
  <c r="V181" i="9"/>
  <c r="V182" i="9" s="1"/>
  <c r="V187" i="9" s="1"/>
  <c r="J54" i="12"/>
  <c r="J69" i="12"/>
  <c r="X181" i="9"/>
  <c r="X182" i="9" s="1"/>
  <c r="X187" i="9" s="1"/>
  <c r="X70" i="12"/>
  <c r="AJ70" i="12"/>
  <c r="AJ181" i="9"/>
  <c r="AJ182" i="9" s="1"/>
  <c r="AJ187" i="9" s="1"/>
  <c r="K70" i="12"/>
  <c r="K181" i="9"/>
  <c r="K182" i="9" s="1"/>
  <c r="AD181" i="9"/>
  <c r="AD182" i="9" s="1"/>
  <c r="AD187" i="9" s="1"/>
  <c r="AD70" i="12"/>
  <c r="AL70" i="12"/>
  <c r="AL181" i="9"/>
  <c r="AL182" i="9" s="1"/>
  <c r="AL187" i="9" s="1"/>
  <c r="P181" i="9"/>
  <c r="P182" i="9" s="1"/>
  <c r="P70" i="12"/>
  <c r="AE70" i="12"/>
  <c r="AE181" i="9"/>
  <c r="AE182" i="9" s="1"/>
  <c r="AE187" i="9" s="1"/>
  <c r="L70" i="12"/>
  <c r="L181" i="9"/>
  <c r="L182" i="9" s="1"/>
  <c r="O70" i="12"/>
  <c r="O181" i="9"/>
  <c r="O182" i="9" s="1"/>
  <c r="Y181" i="9"/>
  <c r="Y182" i="9" s="1"/>
  <c r="Y187" i="9" s="1"/>
  <c r="Y70" i="12"/>
  <c r="AA70" i="12"/>
  <c r="AA181" i="9"/>
  <c r="AA182" i="9" s="1"/>
  <c r="AA187" i="9" s="1"/>
  <c r="U181" i="9"/>
  <c r="U182" i="9" s="1"/>
  <c r="U70" i="12"/>
  <c r="AO70" i="12"/>
  <c r="AO181" i="9"/>
  <c r="AO182" i="9" s="1"/>
  <c r="AO187" i="9" s="1"/>
  <c r="AB181" i="9"/>
  <c r="AB182" i="9" s="1"/>
  <c r="AB187" i="9" s="1"/>
  <c r="AB70" i="12"/>
  <c r="R70" i="12"/>
  <c r="R181" i="9"/>
  <c r="R182" i="9" s="1"/>
  <c r="AP70" i="12"/>
  <c r="AP181" i="9"/>
  <c r="AP182" i="9" s="1"/>
  <c r="AP187" i="9" s="1"/>
  <c r="AK181" i="9"/>
  <c r="AK182" i="9" s="1"/>
  <c r="AK187" i="9" s="1"/>
  <c r="AK70" i="12"/>
  <c r="M70" i="12"/>
  <c r="M181" i="9"/>
  <c r="M182" i="9" s="1"/>
  <c r="L70" i="17"/>
  <c r="L69" i="17" s="1"/>
  <c r="K70" i="17"/>
  <c r="K69" i="17" s="1"/>
  <c r="M72" i="17"/>
  <c r="AS55" i="13"/>
  <c r="I55" i="13" s="1"/>
  <c r="K80" i="2" s="1"/>
  <c r="M80" i="2" s="1"/>
  <c r="M70" i="17"/>
  <c r="M69" i="17" s="1"/>
  <c r="P72" i="17"/>
  <c r="I70" i="17"/>
  <c r="I69" i="17" s="1"/>
  <c r="P70" i="17"/>
  <c r="P69" i="17" s="1"/>
  <c r="F70" i="17"/>
  <c r="F69" i="17" s="1"/>
  <c r="J72" i="17"/>
  <c r="I77" i="13"/>
  <c r="K28" i="2" s="1"/>
  <c r="M28" i="2" s="1"/>
  <c r="N70" i="17"/>
  <c r="N69" i="17" s="1"/>
  <c r="E68" i="17"/>
  <c r="Q68" i="17" s="1"/>
  <c r="E206" i="17" s="1"/>
  <c r="H206" i="17" s="1"/>
  <c r="J70" i="17"/>
  <c r="J69" i="17" s="1"/>
  <c r="H70" i="17"/>
  <c r="H69" i="17" s="1"/>
  <c r="G70" i="17"/>
  <c r="G69" i="17" s="1"/>
  <c r="O70" i="17"/>
  <c r="O69" i="17" s="1"/>
  <c r="AS79" i="13"/>
  <c r="AS81" i="13" s="1"/>
  <c r="I81" i="13" s="1"/>
  <c r="K81" i="2" s="1"/>
  <c r="M81" i="2" s="1"/>
  <c r="AQ84" i="14"/>
  <c r="AQ100" i="9" s="1"/>
  <c r="AR61" i="14"/>
  <c r="AO93" i="14"/>
  <c r="AO92" i="14"/>
  <c r="AO91" i="14"/>
  <c r="AP83" i="14"/>
  <c r="AQ52" i="14"/>
  <c r="K211" i="12"/>
  <c r="K204" i="12"/>
  <c r="K210" i="12"/>
  <c r="K183" i="12"/>
  <c r="J228" i="12"/>
  <c r="J230" i="12" s="1"/>
  <c r="J110" i="9"/>
  <c r="J112" i="9" s="1"/>
  <c r="L222" i="11"/>
  <c r="L223" i="9" s="1"/>
  <c r="L224" i="9" s="1"/>
  <c r="J218" i="9"/>
  <c r="E67" i="17"/>
  <c r="Q67" i="17" s="1"/>
  <c r="E205" i="17" s="1"/>
  <c r="K269" i="12"/>
  <c r="K275" i="12"/>
  <c r="K276" i="12" s="1"/>
  <c r="L223" i="11"/>
  <c r="M160" i="11"/>
  <c r="J288" i="12"/>
  <c r="J290" i="12" s="1"/>
  <c r="J114" i="9"/>
  <c r="J115" i="9" s="1"/>
  <c r="H61" i="17" l="1"/>
  <c r="M187" i="9"/>
  <c r="H63" i="17" s="1"/>
  <c r="J61" i="17"/>
  <c r="O187" i="9"/>
  <c r="J63" i="17" s="1"/>
  <c r="N187" i="9"/>
  <c r="I63" i="17" s="1"/>
  <c r="I61" i="17"/>
  <c r="U187" i="9"/>
  <c r="P63" i="17" s="1"/>
  <c r="P61" i="17"/>
  <c r="K61" i="17"/>
  <c r="P187" i="9"/>
  <c r="K63" i="17" s="1"/>
  <c r="K38" i="12"/>
  <c r="J72" i="12"/>
  <c r="O61" i="17"/>
  <c r="T187" i="9"/>
  <c r="O63" i="17" s="1"/>
  <c r="L187" i="9"/>
  <c r="G63" i="17" s="1"/>
  <c r="G61" i="17"/>
  <c r="N61" i="17"/>
  <c r="S187" i="9"/>
  <c r="N63" i="17" s="1"/>
  <c r="M61" i="17"/>
  <c r="R187" i="9"/>
  <c r="M63" i="17" s="1"/>
  <c r="K187" i="9"/>
  <c r="F63" i="17" s="1"/>
  <c r="F61" i="17"/>
  <c r="J181" i="9"/>
  <c r="J182" i="9" s="1"/>
  <c r="J70" i="12"/>
  <c r="Q187" i="9"/>
  <c r="L63" i="17" s="1"/>
  <c r="L61" i="17"/>
  <c r="K206" i="17"/>
  <c r="J206" i="17"/>
  <c r="E70" i="17"/>
  <c r="E69" i="17" s="1"/>
  <c r="Q69" i="17" s="1"/>
  <c r="E207" i="17" s="1"/>
  <c r="L206" i="17"/>
  <c r="W72" i="17"/>
  <c r="G72" i="17"/>
  <c r="Q72" i="17" s="1"/>
  <c r="E209" i="17" s="1"/>
  <c r="W75" i="17" s="1"/>
  <c r="AR72" i="14"/>
  <c r="AR67" i="14"/>
  <c r="AQ71" i="14"/>
  <c r="AQ73" i="14" s="1"/>
  <c r="AQ58" i="14"/>
  <c r="AP99" i="9"/>
  <c r="AP101" i="9" s="1"/>
  <c r="AP106" i="9" s="1"/>
  <c r="AP85" i="14"/>
  <c r="AP87" i="14" s="1"/>
  <c r="AP88" i="14" s="1"/>
  <c r="AP89" i="14" s="1"/>
  <c r="K212" i="12"/>
  <c r="K226" i="12"/>
  <c r="L167" i="12"/>
  <c r="K227" i="12"/>
  <c r="K111" i="9" s="1"/>
  <c r="L188" i="12"/>
  <c r="J117" i="9"/>
  <c r="AO94" i="14"/>
  <c r="J231" i="12"/>
  <c r="J232" i="12" s="1"/>
  <c r="J291" i="12"/>
  <c r="J292" i="12" s="1"/>
  <c r="K287" i="12"/>
  <c r="L253" i="12"/>
  <c r="K205" i="17"/>
  <c r="L205" i="17"/>
  <c r="W71" i="17"/>
  <c r="M165" i="11"/>
  <c r="M220" i="11"/>
  <c r="L227" i="11"/>
  <c r="L119" i="9"/>
  <c r="M62" i="17" l="1"/>
  <c r="N62" i="17"/>
  <c r="O62" i="17"/>
  <c r="H62" i="17"/>
  <c r="K62" i="17"/>
  <c r="J62" i="17"/>
  <c r="J187" i="9"/>
  <c r="E61" i="17"/>
  <c r="Q61" i="17" s="1"/>
  <c r="E200" i="17" s="1"/>
  <c r="K60" i="12"/>
  <c r="K61" i="12" s="1"/>
  <c r="K54" i="12"/>
  <c r="I62" i="17"/>
  <c r="J88" i="9"/>
  <c r="J89" i="9" s="1"/>
  <c r="E32" i="17" s="1"/>
  <c r="E170" i="17" s="1"/>
  <c r="J73" i="12"/>
  <c r="J75" i="12" s="1"/>
  <c r="J76" i="12" s="1"/>
  <c r="J77" i="12" s="1"/>
  <c r="J79" i="12" s="1"/>
  <c r="F62" i="17"/>
  <c r="G62" i="17"/>
  <c r="L62" i="17"/>
  <c r="P62" i="17"/>
  <c r="E40" i="17"/>
  <c r="G41" i="17"/>
  <c r="Q70" i="17"/>
  <c r="AR84" i="14"/>
  <c r="AR100" i="9" s="1"/>
  <c r="AS61" i="14"/>
  <c r="AP92" i="14"/>
  <c r="AP93" i="14"/>
  <c r="AP91" i="14"/>
  <c r="AQ83" i="14"/>
  <c r="AR52" i="14"/>
  <c r="L211" i="12"/>
  <c r="L204" i="12"/>
  <c r="J235" i="12"/>
  <c r="J234" i="12"/>
  <c r="L210" i="12"/>
  <c r="L183" i="12"/>
  <c r="K228" i="12"/>
  <c r="K230" i="12" s="1"/>
  <c r="K110" i="9"/>
  <c r="K112" i="9" s="1"/>
  <c r="K288" i="12"/>
  <c r="K290" i="12" s="1"/>
  <c r="K114" i="9"/>
  <c r="K115" i="9" s="1"/>
  <c r="J294" i="12"/>
  <c r="J295" i="12"/>
  <c r="L269" i="12"/>
  <c r="L275" i="12"/>
  <c r="L276" i="12" s="1"/>
  <c r="M223" i="11"/>
  <c r="N160" i="11"/>
  <c r="L228" i="11"/>
  <c r="L229" i="11" s="1"/>
  <c r="K207" i="17"/>
  <c r="L207" i="17"/>
  <c r="H207" i="17"/>
  <c r="W73" i="17"/>
  <c r="J207" i="17"/>
  <c r="J80" i="12" l="1"/>
  <c r="K72" i="12"/>
  <c r="L38" i="12"/>
  <c r="W66" i="17"/>
  <c r="L200" i="17"/>
  <c r="F200" i="17"/>
  <c r="K200" i="17"/>
  <c r="E63" i="17"/>
  <c r="J240" i="9"/>
  <c r="AS72" i="14"/>
  <c r="AS67" i="14"/>
  <c r="AS84" i="14" s="1"/>
  <c r="AS100" i="9" s="1"/>
  <c r="AR58" i="14"/>
  <c r="AR71" i="14"/>
  <c r="AR73" i="14" s="1"/>
  <c r="AQ99" i="9"/>
  <c r="AQ101" i="9" s="1"/>
  <c r="AQ106" i="9" s="1"/>
  <c r="AQ85" i="14"/>
  <c r="AQ87" i="14" s="1"/>
  <c r="AQ88" i="14" s="1"/>
  <c r="AQ89" i="14" s="1"/>
  <c r="K117" i="9"/>
  <c r="L212" i="12"/>
  <c r="L226" i="12"/>
  <c r="M167" i="12"/>
  <c r="L227" i="12"/>
  <c r="L111" i="9" s="1"/>
  <c r="M188" i="12"/>
  <c r="AP94" i="14"/>
  <c r="J81" i="12"/>
  <c r="M227" i="11"/>
  <c r="M119" i="9"/>
  <c r="J296" i="12"/>
  <c r="K231" i="12"/>
  <c r="K232" i="12" s="1"/>
  <c r="L287" i="12"/>
  <c r="M253" i="12"/>
  <c r="N165" i="11"/>
  <c r="N220" i="11"/>
  <c r="K291" i="12"/>
  <c r="K292" i="12" s="1"/>
  <c r="J236" i="12"/>
  <c r="J200" i="17" l="1"/>
  <c r="H200" i="17"/>
  <c r="G200" i="17"/>
  <c r="I200" i="17"/>
  <c r="I230" i="18"/>
  <c r="I231" i="18" s="1"/>
  <c r="J275" i="9"/>
  <c r="J278" i="9" s="1"/>
  <c r="J283" i="9" s="1"/>
  <c r="J286" i="9" s="1"/>
  <c r="J271" i="9"/>
  <c r="E76" i="17"/>
  <c r="E122" i="17"/>
  <c r="L54" i="12"/>
  <c r="L60" i="12"/>
  <c r="L61" i="12" s="1"/>
  <c r="E62" i="17"/>
  <c r="Q62" i="17" s="1"/>
  <c r="E201" i="17" s="1"/>
  <c r="K201" i="17" s="1"/>
  <c r="Q63" i="17"/>
  <c r="K73" i="12"/>
  <c r="K75" i="12" s="1"/>
  <c r="K76" i="12" s="1"/>
  <c r="K77" i="12" s="1"/>
  <c r="K79" i="12" s="1"/>
  <c r="K88" i="9"/>
  <c r="K89" i="9" s="1"/>
  <c r="F32" i="17" s="1"/>
  <c r="F170" i="17" s="1"/>
  <c r="H41" i="17"/>
  <c r="F40" i="17"/>
  <c r="AQ93" i="14"/>
  <c r="AQ91" i="14"/>
  <c r="AQ92" i="14"/>
  <c r="AR83" i="14"/>
  <c r="AS52" i="14"/>
  <c r="M211" i="12"/>
  <c r="M204" i="12"/>
  <c r="K235" i="12"/>
  <c r="K234" i="12"/>
  <c r="M183" i="12"/>
  <c r="M210" i="12"/>
  <c r="L228" i="12"/>
  <c r="L230" i="12" s="1"/>
  <c r="L110" i="9"/>
  <c r="L112" i="9" s="1"/>
  <c r="K295" i="12"/>
  <c r="K294" i="12"/>
  <c r="M269" i="12"/>
  <c r="M275" i="12"/>
  <c r="M276" i="12" s="1"/>
  <c r="L288" i="12"/>
  <c r="L290" i="12" s="1"/>
  <c r="L114" i="9"/>
  <c r="L115" i="9" s="1"/>
  <c r="M228" i="11"/>
  <c r="M229" i="11" s="1"/>
  <c r="N223" i="11"/>
  <c r="O160" i="11"/>
  <c r="K80" i="12" l="1"/>
  <c r="M38" i="12"/>
  <c r="L72" i="12"/>
  <c r="J288" i="9"/>
  <c r="J290" i="9" s="1"/>
  <c r="J112" i="13"/>
  <c r="J127" i="13" s="1"/>
  <c r="J128" i="13" s="1"/>
  <c r="J201" i="17"/>
  <c r="E75" i="17"/>
  <c r="E87" i="17"/>
  <c r="F204" i="17"/>
  <c r="F202" i="17"/>
  <c r="F207" i="17"/>
  <c r="F206" i="17"/>
  <c r="F205" i="17"/>
  <c r="F203" i="17"/>
  <c r="W67" i="17"/>
  <c r="F201" i="17"/>
  <c r="L201" i="17"/>
  <c r="G66" i="25"/>
  <c r="E125" i="17"/>
  <c r="J85" i="9"/>
  <c r="J86" i="9" s="1"/>
  <c r="AS58" i="14"/>
  <c r="AS83" i="14" s="1"/>
  <c r="AS71" i="14"/>
  <c r="AS73" i="14" s="1"/>
  <c r="AR99" i="9"/>
  <c r="AR101" i="9" s="1"/>
  <c r="AR106" i="9" s="1"/>
  <c r="AR85" i="14"/>
  <c r="AR87" i="14" s="1"/>
  <c r="AR88" i="14" s="1"/>
  <c r="AR89" i="14" s="1"/>
  <c r="M212" i="12"/>
  <c r="M226" i="12"/>
  <c r="N167" i="12"/>
  <c r="M227" i="12"/>
  <c r="M111" i="9" s="1"/>
  <c r="N188" i="12"/>
  <c r="L117" i="9"/>
  <c r="AQ94" i="14"/>
  <c r="O220" i="11"/>
  <c r="O165" i="11"/>
  <c r="M287" i="12"/>
  <c r="N253" i="12"/>
  <c r="K296" i="12"/>
  <c r="L291" i="12"/>
  <c r="L292" i="12" s="1"/>
  <c r="N227" i="11"/>
  <c r="N119" i="9"/>
  <c r="L231" i="12"/>
  <c r="L232" i="12" s="1"/>
  <c r="K81" i="12"/>
  <c r="K236" i="12"/>
  <c r="G207" i="17" l="1"/>
  <c r="I207" i="17"/>
  <c r="G206" i="17"/>
  <c r="J136" i="13"/>
  <c r="J135" i="13"/>
  <c r="I206" i="17"/>
  <c r="J205" i="17"/>
  <c r="G205" i="17"/>
  <c r="H205" i="17"/>
  <c r="H201" i="17"/>
  <c r="I201" i="17"/>
  <c r="I202" i="17"/>
  <c r="G201" i="17"/>
  <c r="L202" i="17"/>
  <c r="G202" i="17"/>
  <c r="I203" i="17"/>
  <c r="K202" i="17"/>
  <c r="J291" i="9"/>
  <c r="J292" i="9"/>
  <c r="I205" i="17"/>
  <c r="G204" i="17"/>
  <c r="J204" i="17"/>
  <c r="H204" i="17"/>
  <c r="L73" i="12"/>
  <c r="L75" i="12" s="1"/>
  <c r="L76" i="12" s="1"/>
  <c r="L77" i="12" s="1"/>
  <c r="L79" i="12" s="1"/>
  <c r="L88" i="9"/>
  <c r="L89" i="9" s="1"/>
  <c r="G32" i="17" s="1"/>
  <c r="G170" i="17" s="1"/>
  <c r="J97" i="9"/>
  <c r="J168" i="9"/>
  <c r="K84" i="9"/>
  <c r="G67" i="25"/>
  <c r="E31" i="17"/>
  <c r="E169" i="17" s="1"/>
  <c r="I195" i="18"/>
  <c r="I196" i="18" s="1"/>
  <c r="G203" i="17"/>
  <c r="L203" i="17"/>
  <c r="K203" i="17"/>
  <c r="I204" i="17"/>
  <c r="M54" i="12"/>
  <c r="M60" i="12"/>
  <c r="M61" i="12" s="1"/>
  <c r="G40" i="17"/>
  <c r="I41" i="17"/>
  <c r="AR93" i="14"/>
  <c r="AR92" i="14"/>
  <c r="AR91" i="14"/>
  <c r="AS85" i="14"/>
  <c r="AS87" i="14" s="1"/>
  <c r="AS88" i="14" s="1"/>
  <c r="AS89" i="14" s="1"/>
  <c r="AS99" i="9"/>
  <c r="AS101" i="9" s="1"/>
  <c r="AS106" i="9" s="1"/>
  <c r="N204" i="12"/>
  <c r="N211" i="12"/>
  <c r="L235" i="12"/>
  <c r="L234" i="12"/>
  <c r="N210" i="12"/>
  <c r="N183" i="12"/>
  <c r="M228" i="12"/>
  <c r="M230" i="12" s="1"/>
  <c r="M110" i="9"/>
  <c r="M112" i="9" s="1"/>
  <c r="L295" i="12"/>
  <c r="L294" i="12"/>
  <c r="O223" i="11"/>
  <c r="P160" i="11"/>
  <c r="N228" i="11"/>
  <c r="N229" i="11" s="1"/>
  <c r="N269" i="12"/>
  <c r="N275" i="12"/>
  <c r="N276" i="12" s="1"/>
  <c r="M288" i="12"/>
  <c r="M290" i="12" s="1"/>
  <c r="M114" i="9"/>
  <c r="M115" i="9" s="1"/>
  <c r="L80" i="12" l="1"/>
  <c r="M72" i="12"/>
  <c r="N38" i="12"/>
  <c r="J293" i="9"/>
  <c r="K19" i="15"/>
  <c r="K31" i="15" s="1"/>
  <c r="K111" i="13"/>
  <c r="K126" i="13" s="1"/>
  <c r="K139" i="13"/>
  <c r="K162" i="13" s="1"/>
  <c r="K163" i="13" s="1"/>
  <c r="K263" i="9" s="1"/>
  <c r="J160" i="13"/>
  <c r="I202" i="18"/>
  <c r="I203" i="18" s="1"/>
  <c r="J108" i="9"/>
  <c r="E35" i="17"/>
  <c r="E113" i="17"/>
  <c r="AS93" i="14"/>
  <c r="AS92" i="14"/>
  <c r="AS91" i="14"/>
  <c r="N212" i="12"/>
  <c r="N226" i="12"/>
  <c r="O167" i="12"/>
  <c r="N227" i="12"/>
  <c r="N111" i="9" s="1"/>
  <c r="O188" i="12"/>
  <c r="L296" i="12"/>
  <c r="I89" i="14"/>
  <c r="K25" i="2" s="1"/>
  <c r="M25" i="2" s="1"/>
  <c r="M117" i="9"/>
  <c r="AR94" i="14"/>
  <c r="L81" i="12"/>
  <c r="P220" i="11"/>
  <c r="P165" i="11"/>
  <c r="N287" i="12"/>
  <c r="O253" i="12"/>
  <c r="O227" i="11"/>
  <c r="O119" i="9"/>
  <c r="M231" i="12"/>
  <c r="M232" i="12" s="1"/>
  <c r="M291" i="12"/>
  <c r="M292" i="12" s="1"/>
  <c r="L236" i="12"/>
  <c r="E34" i="17" l="1"/>
  <c r="E39" i="17"/>
  <c r="E171" i="17"/>
  <c r="K33" i="15"/>
  <c r="K220" i="9"/>
  <c r="K66" i="9"/>
  <c r="K72" i="9" s="1"/>
  <c r="K287" i="9"/>
  <c r="K269" i="9"/>
  <c r="F84" i="17"/>
  <c r="I209" i="18"/>
  <c r="I210" i="18" s="1"/>
  <c r="E115" i="17"/>
  <c r="N60" i="12"/>
  <c r="N61" i="12" s="1"/>
  <c r="N54" i="12"/>
  <c r="J159" i="9"/>
  <c r="J160" i="9" s="1"/>
  <c r="J164" i="13"/>
  <c r="M88" i="9"/>
  <c r="M89" i="9" s="1"/>
  <c r="H32" i="17" s="1"/>
  <c r="H170" i="17" s="1"/>
  <c r="M73" i="12"/>
  <c r="M75" i="12" s="1"/>
  <c r="M76" i="12" s="1"/>
  <c r="M77" i="12" s="1"/>
  <c r="M79" i="12" s="1"/>
  <c r="H40" i="17"/>
  <c r="J41" i="17"/>
  <c r="O211" i="12"/>
  <c r="O204" i="12"/>
  <c r="M234" i="12"/>
  <c r="M235" i="12"/>
  <c r="O183" i="12"/>
  <c r="O210" i="12"/>
  <c r="N110" i="9"/>
  <c r="N112" i="9" s="1"/>
  <c r="N228" i="12"/>
  <c r="N230" i="12" s="1"/>
  <c r="AS94" i="14"/>
  <c r="I94" i="14" s="1"/>
  <c r="K79" i="2" s="1"/>
  <c r="M79" i="2" s="1"/>
  <c r="M295" i="12"/>
  <c r="M294" i="12"/>
  <c r="P223" i="11"/>
  <c r="Q160" i="11"/>
  <c r="O228" i="11"/>
  <c r="O229" i="11" s="1"/>
  <c r="O275" i="12"/>
  <c r="O276" i="12" s="1"/>
  <c r="O269" i="12"/>
  <c r="N288" i="12"/>
  <c r="N290" i="12" s="1"/>
  <c r="N114" i="9"/>
  <c r="N115" i="9" s="1"/>
  <c r="M80" i="12" l="1"/>
  <c r="M81" i="12" s="1"/>
  <c r="F71" i="17"/>
  <c r="K277" i="9"/>
  <c r="K279" i="9" s="1"/>
  <c r="K240" i="9"/>
  <c r="J172" i="18"/>
  <c r="J173" i="18" s="1"/>
  <c r="K74" i="9"/>
  <c r="F21" i="17"/>
  <c r="F22" i="17" s="1"/>
  <c r="F23" i="17" s="1"/>
  <c r="J132" i="9"/>
  <c r="J141" i="13"/>
  <c r="K159" i="13"/>
  <c r="K157" i="9"/>
  <c r="K109" i="13" s="1"/>
  <c r="K123" i="13" s="1"/>
  <c r="J162" i="9"/>
  <c r="E119" i="17" s="1"/>
  <c r="E54" i="17"/>
  <c r="E55" i="17" s="1"/>
  <c r="E118" i="17"/>
  <c r="J244" i="18"/>
  <c r="J245" i="18" s="1"/>
  <c r="F124" i="17"/>
  <c r="F86" i="17"/>
  <c r="F85" i="17" s="1"/>
  <c r="N72" i="12"/>
  <c r="O38" i="12"/>
  <c r="O212" i="12"/>
  <c r="O226" i="12"/>
  <c r="P167" i="12"/>
  <c r="O227" i="12"/>
  <c r="O111" i="9" s="1"/>
  <c r="P188" i="12"/>
  <c r="N117" i="9"/>
  <c r="I40" i="17" s="1"/>
  <c r="M296" i="12"/>
  <c r="N231" i="12"/>
  <c r="N232" i="12" s="1"/>
  <c r="O287" i="12"/>
  <c r="P253" i="12"/>
  <c r="Q220" i="11"/>
  <c r="Q165" i="11"/>
  <c r="P227" i="11"/>
  <c r="P119" i="9"/>
  <c r="N291" i="12"/>
  <c r="N292" i="12" s="1"/>
  <c r="M236" i="12"/>
  <c r="O60" i="12" l="1"/>
  <c r="O61" i="12" s="1"/>
  <c r="O54" i="12"/>
  <c r="N73" i="12"/>
  <c r="N75" i="12" s="1"/>
  <c r="N76" i="12" s="1"/>
  <c r="N77" i="12" s="1"/>
  <c r="N80" i="12" s="1"/>
  <c r="N88" i="9"/>
  <c r="N89" i="9" s="1"/>
  <c r="I32" i="17" s="1"/>
  <c r="I170" i="17" s="1"/>
  <c r="K248" i="11"/>
  <c r="K288" i="11" s="1"/>
  <c r="K301" i="11" s="1"/>
  <c r="K320" i="11" s="1"/>
  <c r="K323" i="11" s="1"/>
  <c r="F109" i="17"/>
  <c r="J230" i="18"/>
  <c r="J231" i="18" s="1"/>
  <c r="K275" i="9"/>
  <c r="K278" i="9" s="1"/>
  <c r="K283" i="9" s="1"/>
  <c r="K286" i="9" s="1"/>
  <c r="K271" i="9"/>
  <c r="F76" i="17"/>
  <c r="F122" i="17"/>
  <c r="J142" i="13"/>
  <c r="J143" i="13"/>
  <c r="J137" i="9"/>
  <c r="E44" i="17"/>
  <c r="E176" i="17" s="1"/>
  <c r="K41" i="17"/>
  <c r="N234" i="12"/>
  <c r="N235" i="12"/>
  <c r="P211" i="12"/>
  <c r="P204" i="12"/>
  <c r="P183" i="12"/>
  <c r="P210" i="12"/>
  <c r="O110" i="9"/>
  <c r="O112" i="9" s="1"/>
  <c r="O228" i="12"/>
  <c r="O230" i="12" s="1"/>
  <c r="N295" i="12"/>
  <c r="N294" i="12"/>
  <c r="Q223" i="11"/>
  <c r="R160" i="11"/>
  <c r="P275" i="12"/>
  <c r="P276" i="12" s="1"/>
  <c r="P269" i="12"/>
  <c r="O288" i="12"/>
  <c r="O290" i="12" s="1"/>
  <c r="O114" i="9"/>
  <c r="O115" i="9" s="1"/>
  <c r="P228" i="11"/>
  <c r="P229" i="11" s="1"/>
  <c r="J144" i="13" l="1"/>
  <c r="J146" i="13" s="1"/>
  <c r="N79" i="12"/>
  <c r="K324" i="11"/>
  <c r="K327" i="11" s="1"/>
  <c r="K331" i="11" s="1"/>
  <c r="K332" i="11" s="1"/>
  <c r="K366" i="11" s="1"/>
  <c r="F75" i="17"/>
  <c r="F87" i="17"/>
  <c r="H66" i="25"/>
  <c r="F125" i="17"/>
  <c r="K85" i="9"/>
  <c r="K86" i="9" s="1"/>
  <c r="E46" i="17"/>
  <c r="J148" i="9"/>
  <c r="K288" i="9"/>
  <c r="K290" i="9" s="1"/>
  <c r="K112" i="13"/>
  <c r="K127" i="13" s="1"/>
  <c r="K128" i="13" s="1"/>
  <c r="P38" i="12"/>
  <c r="O72" i="12"/>
  <c r="P212" i="12"/>
  <c r="P226" i="12"/>
  <c r="Q167" i="12"/>
  <c r="P227" i="12"/>
  <c r="P111" i="9" s="1"/>
  <c r="Q188" i="12"/>
  <c r="N236" i="12"/>
  <c r="N296" i="12"/>
  <c r="N81" i="12"/>
  <c r="R220" i="11"/>
  <c r="R165" i="11"/>
  <c r="O291" i="12"/>
  <c r="O292" i="12" s="1"/>
  <c r="Q227" i="11"/>
  <c r="Q119" i="9"/>
  <c r="O117" i="9"/>
  <c r="P287" i="12"/>
  <c r="Q253" i="12"/>
  <c r="O231" i="12"/>
  <c r="O232" i="12" s="1"/>
  <c r="K325" i="11" l="1"/>
  <c r="K307" i="11" s="1"/>
  <c r="J147" i="13"/>
  <c r="J148" i="13" s="1"/>
  <c r="K339" i="11"/>
  <c r="K341" i="11" s="1"/>
  <c r="K271" i="11" s="1"/>
  <c r="O88" i="9"/>
  <c r="O89" i="9" s="1"/>
  <c r="J32" i="17" s="1"/>
  <c r="J170" i="17" s="1"/>
  <c r="O73" i="12"/>
  <c r="O75" i="12" s="1"/>
  <c r="O76" i="12" s="1"/>
  <c r="O77" i="12" s="1"/>
  <c r="O79" i="12" s="1"/>
  <c r="P60" i="12"/>
  <c r="P61" i="12" s="1"/>
  <c r="P54" i="12"/>
  <c r="F31" i="17"/>
  <c r="F169" i="17" s="1"/>
  <c r="K97" i="9"/>
  <c r="K168" i="9"/>
  <c r="H67" i="25"/>
  <c r="L84" i="9"/>
  <c r="J195" i="18"/>
  <c r="J196" i="18" s="1"/>
  <c r="K292" i="9"/>
  <c r="K291" i="9"/>
  <c r="I216" i="18"/>
  <c r="I217" i="18" s="1"/>
  <c r="J150" i="9"/>
  <c r="E116" i="17"/>
  <c r="E50" i="17"/>
  <c r="E51" i="17" s="1"/>
  <c r="E45" i="17"/>
  <c r="E177" i="17"/>
  <c r="L41" i="17"/>
  <c r="Q211" i="12"/>
  <c r="Q204" i="12"/>
  <c r="Q210" i="12"/>
  <c r="Q183" i="12"/>
  <c r="O234" i="12"/>
  <c r="O235" i="12"/>
  <c r="P110" i="9"/>
  <c r="P112" i="9" s="1"/>
  <c r="P228" i="12"/>
  <c r="P230" i="12" s="1"/>
  <c r="K306" i="11"/>
  <c r="K308" i="11" s="1"/>
  <c r="L305" i="11" s="1"/>
  <c r="R223" i="11"/>
  <c r="S160" i="11"/>
  <c r="Q228" i="11"/>
  <c r="Q229" i="11" s="1"/>
  <c r="J40" i="17"/>
  <c r="O294" i="12"/>
  <c r="O295" i="12"/>
  <c r="Q275" i="12"/>
  <c r="Q276" i="12" s="1"/>
  <c r="Q269" i="12"/>
  <c r="P288" i="12"/>
  <c r="P290" i="12" s="1"/>
  <c r="P114" i="9"/>
  <c r="P115" i="9" s="1"/>
  <c r="K284" i="11"/>
  <c r="K374" i="11" s="1"/>
  <c r="K378" i="11"/>
  <c r="K370" i="11"/>
  <c r="O80" i="12" l="1"/>
  <c r="K345" i="11"/>
  <c r="N340" i="11" s="1"/>
  <c r="K293" i="9"/>
  <c r="J202" i="18"/>
  <c r="J203" i="18" s="1"/>
  <c r="F113" i="17"/>
  <c r="F35" i="17"/>
  <c r="K108" i="9"/>
  <c r="E178" i="17"/>
  <c r="E231" i="17"/>
  <c r="Q38" i="12"/>
  <c r="P72" i="12"/>
  <c r="L111" i="13"/>
  <c r="L126" i="13" s="1"/>
  <c r="L19" i="15"/>
  <c r="L31" i="15" s="1"/>
  <c r="J164" i="9"/>
  <c r="J165" i="9" s="1"/>
  <c r="J166" i="9" s="1"/>
  <c r="E117" i="17"/>
  <c r="Q212" i="12"/>
  <c r="Q226" i="12"/>
  <c r="R167" i="12"/>
  <c r="Q227" i="12"/>
  <c r="Q111" i="9" s="1"/>
  <c r="R188" i="12"/>
  <c r="O81" i="12"/>
  <c r="K380" i="11"/>
  <c r="K121" i="9" s="1"/>
  <c r="L365" i="11"/>
  <c r="Q287" i="12"/>
  <c r="R253" i="12"/>
  <c r="S165" i="11"/>
  <c r="S220" i="11"/>
  <c r="P117" i="9"/>
  <c r="R227" i="11"/>
  <c r="R119" i="9"/>
  <c r="P291" i="12"/>
  <c r="P292" i="12" s="1"/>
  <c r="O236" i="12"/>
  <c r="O296" i="12"/>
  <c r="P231" i="12"/>
  <c r="P232" i="12" s="1"/>
  <c r="K76" i="9"/>
  <c r="J179" i="18" s="1"/>
  <c r="J180" i="18" s="1"/>
  <c r="L348" i="11" l="1"/>
  <c r="L368" i="11" s="1"/>
  <c r="L369" i="11" s="1"/>
  <c r="L379" i="11" s="1"/>
  <c r="L235" i="9" s="1"/>
  <c r="G74" i="17" s="1"/>
  <c r="L33" i="15"/>
  <c r="L220" i="9"/>
  <c r="L66" i="9"/>
  <c r="L72" i="9" s="1"/>
  <c r="J209" i="18"/>
  <c r="J210" i="18" s="1"/>
  <c r="F115" i="17"/>
  <c r="E239" i="17"/>
  <c r="E233" i="17"/>
  <c r="E244" i="17"/>
  <c r="E234" i="17"/>
  <c r="E235" i="17"/>
  <c r="E232" i="17"/>
  <c r="E242" i="17"/>
  <c r="E241" i="17"/>
  <c r="E236" i="17"/>
  <c r="E243" i="17"/>
  <c r="E238" i="17"/>
  <c r="E237" i="17"/>
  <c r="E240" i="17"/>
  <c r="F39" i="17"/>
  <c r="F171" i="17"/>
  <c r="F34" i="17"/>
  <c r="P73" i="12"/>
  <c r="P75" i="12" s="1"/>
  <c r="P76" i="12" s="1"/>
  <c r="P77" i="12" s="1"/>
  <c r="P79" i="12" s="1"/>
  <c r="P88" i="9"/>
  <c r="P89" i="9" s="1"/>
  <c r="K32" i="17" s="1"/>
  <c r="K170" i="17" s="1"/>
  <c r="Q60" i="12"/>
  <c r="Q61" i="12" s="1"/>
  <c r="Q54" i="12"/>
  <c r="M41" i="17"/>
  <c r="R211" i="12"/>
  <c r="R204" i="12"/>
  <c r="P234" i="12"/>
  <c r="P235" i="12"/>
  <c r="R183" i="12"/>
  <c r="R210" i="12"/>
  <c r="Q228" i="12"/>
  <c r="Q230" i="12" s="1"/>
  <c r="Q110" i="9"/>
  <c r="Q112" i="9" s="1"/>
  <c r="K382" i="11"/>
  <c r="K383" i="11" s="1"/>
  <c r="P294" i="12"/>
  <c r="P295" i="12"/>
  <c r="S223" i="11"/>
  <c r="T160" i="11"/>
  <c r="R228" i="11"/>
  <c r="R229" i="11" s="1"/>
  <c r="K40" i="17"/>
  <c r="L377" i="11"/>
  <c r="R275" i="12"/>
  <c r="R276" i="12" s="1"/>
  <c r="R269" i="12"/>
  <c r="F42" i="17"/>
  <c r="F24" i="17"/>
  <c r="F25" i="17" s="1"/>
  <c r="F26" i="17" s="1"/>
  <c r="K78" i="9"/>
  <c r="J186" i="18" s="1"/>
  <c r="J187" i="18" s="1"/>
  <c r="Q288" i="12"/>
  <c r="Q290" i="12" s="1"/>
  <c r="Q114" i="9"/>
  <c r="Q115" i="9" s="1"/>
  <c r="L240" i="9" l="1"/>
  <c r="K230" i="18" s="1"/>
  <c r="K231" i="18" s="1"/>
  <c r="P80" i="12"/>
  <c r="P81" i="12" s="1"/>
  <c r="K172" i="18"/>
  <c r="K173" i="18" s="1"/>
  <c r="G21" i="17"/>
  <c r="G22" i="17" s="1"/>
  <c r="G23" i="17" s="1"/>
  <c r="L74" i="9"/>
  <c r="G71" i="17"/>
  <c r="L277" i="9"/>
  <c r="L279" i="9" s="1"/>
  <c r="Q72" i="12"/>
  <c r="R38" i="12"/>
  <c r="R212" i="12"/>
  <c r="R226" i="12"/>
  <c r="S167" i="12"/>
  <c r="R227" i="12"/>
  <c r="R111" i="9" s="1"/>
  <c r="S188" i="12"/>
  <c r="K384" i="11"/>
  <c r="Q117" i="9"/>
  <c r="Q231" i="12"/>
  <c r="Q232" i="12" s="1"/>
  <c r="R287" i="12"/>
  <c r="S253" i="12"/>
  <c r="G76" i="17"/>
  <c r="G122" i="17"/>
  <c r="P236" i="12"/>
  <c r="K80" i="9"/>
  <c r="K158" i="9"/>
  <c r="K110" i="13"/>
  <c r="K124" i="13" s="1"/>
  <c r="F110" i="17"/>
  <c r="P296" i="12"/>
  <c r="T220" i="11"/>
  <c r="T165" i="11"/>
  <c r="Q291" i="12"/>
  <c r="Q292" i="12" s="1"/>
  <c r="S227" i="11"/>
  <c r="S119" i="9"/>
  <c r="L275" i="9" l="1"/>
  <c r="L278" i="9" s="1"/>
  <c r="L283" i="9" s="1"/>
  <c r="L286" i="9" s="1"/>
  <c r="L112" i="13" s="1"/>
  <c r="L127" i="13" s="1"/>
  <c r="L128" i="13" s="1"/>
  <c r="G109" i="17"/>
  <c r="L248" i="11"/>
  <c r="L288" i="11" s="1"/>
  <c r="L301" i="11" s="1"/>
  <c r="L320" i="11" s="1"/>
  <c r="L323" i="11" s="1"/>
  <c r="Q88" i="9"/>
  <c r="Q89" i="9" s="1"/>
  <c r="L32" i="17" s="1"/>
  <c r="L170" i="17" s="1"/>
  <c r="Q73" i="12"/>
  <c r="Q75" i="12" s="1"/>
  <c r="Q76" i="12" s="1"/>
  <c r="Q77" i="12" s="1"/>
  <c r="Q80" i="12" s="1"/>
  <c r="R60" i="12"/>
  <c r="R61" i="12" s="1"/>
  <c r="R54" i="12"/>
  <c r="N41" i="17"/>
  <c r="Q235" i="12"/>
  <c r="Q234" i="12"/>
  <c r="S211" i="12"/>
  <c r="S204" i="12"/>
  <c r="S210" i="12"/>
  <c r="S183" i="12"/>
  <c r="R228" i="12"/>
  <c r="R230" i="12" s="1"/>
  <c r="R110" i="9"/>
  <c r="R112" i="9" s="1"/>
  <c r="Q294" i="12"/>
  <c r="Q295" i="12"/>
  <c r="S275" i="12"/>
  <c r="S276" i="12" s="1"/>
  <c r="S269" i="12"/>
  <c r="S228" i="11"/>
  <c r="S229" i="11" s="1"/>
  <c r="R288" i="12"/>
  <c r="R290" i="12" s="1"/>
  <c r="R114" i="9"/>
  <c r="R115" i="9" s="1"/>
  <c r="T223" i="11"/>
  <c r="U160" i="11"/>
  <c r="K132" i="13"/>
  <c r="K134" i="13" s="1"/>
  <c r="K135" i="13" s="1"/>
  <c r="K125" i="13"/>
  <c r="G75" i="17"/>
  <c r="L40" i="17"/>
  <c r="Q79" i="12" l="1"/>
  <c r="Q81" i="12" s="1"/>
  <c r="L324" i="11"/>
  <c r="L327" i="11" s="1"/>
  <c r="L331" i="11" s="1"/>
  <c r="L332" i="11" s="1"/>
  <c r="L366" i="11" s="1"/>
  <c r="L370" i="11" s="1"/>
  <c r="R72" i="12"/>
  <c r="S38" i="12"/>
  <c r="S212" i="12"/>
  <c r="S226" i="12"/>
  <c r="T167" i="12"/>
  <c r="S227" i="12"/>
  <c r="S111" i="9" s="1"/>
  <c r="T188" i="12"/>
  <c r="Q236" i="12"/>
  <c r="S287" i="12"/>
  <c r="T253" i="12"/>
  <c r="K136" i="13"/>
  <c r="R291" i="12"/>
  <c r="R292" i="12" s="1"/>
  <c r="T227" i="11"/>
  <c r="T119" i="9"/>
  <c r="R117" i="9"/>
  <c r="U220" i="11"/>
  <c r="U165" i="11"/>
  <c r="R231" i="12"/>
  <c r="R232" i="12" s="1"/>
  <c r="Q296" i="12"/>
  <c r="K74" i="17"/>
  <c r="L74" i="17"/>
  <c r="L284" i="11" l="1"/>
  <c r="L374" i="11" s="1"/>
  <c r="L76" i="9" s="1"/>
  <c r="K179" i="18" s="1"/>
  <c r="K180" i="18" s="1"/>
  <c r="L378" i="11"/>
  <c r="L325" i="11"/>
  <c r="L307" i="11" s="1"/>
  <c r="S54" i="12"/>
  <c r="S60" i="12"/>
  <c r="S61" i="12" s="1"/>
  <c r="R73" i="12"/>
  <c r="R75" i="12" s="1"/>
  <c r="R76" i="12" s="1"/>
  <c r="R77" i="12" s="1"/>
  <c r="R79" i="12" s="1"/>
  <c r="R88" i="9"/>
  <c r="R89" i="9" s="1"/>
  <c r="M32" i="17" s="1"/>
  <c r="M170" i="17" s="1"/>
  <c r="O41" i="17"/>
  <c r="R235" i="12"/>
  <c r="R234" i="12"/>
  <c r="T204" i="12"/>
  <c r="T211" i="12"/>
  <c r="T210" i="12"/>
  <c r="T183" i="12"/>
  <c r="S228" i="12"/>
  <c r="S230" i="12" s="1"/>
  <c r="S110" i="9"/>
  <c r="S112" i="9" s="1"/>
  <c r="T228" i="11"/>
  <c r="T229" i="11" s="1"/>
  <c r="T275" i="12"/>
  <c r="T276" i="12" s="1"/>
  <c r="T269" i="12"/>
  <c r="M40" i="17"/>
  <c r="S288" i="12"/>
  <c r="S290" i="12" s="1"/>
  <c r="S114" i="9"/>
  <c r="S115" i="9" s="1"/>
  <c r="L380" i="11"/>
  <c r="L121" i="9" s="1"/>
  <c r="M365" i="11"/>
  <c r="K160" i="13"/>
  <c r="L139" i="13"/>
  <c r="L162" i="13" s="1"/>
  <c r="L163" i="13" s="1"/>
  <c r="L263" i="9" s="1"/>
  <c r="R294" i="12"/>
  <c r="R295" i="12"/>
  <c r="U223" i="11"/>
  <c r="V160" i="11"/>
  <c r="R80" i="12" l="1"/>
  <c r="R81" i="12" s="1"/>
  <c r="L306" i="11"/>
  <c r="L308" i="11" s="1"/>
  <c r="M305" i="11" s="1"/>
  <c r="S72" i="12"/>
  <c r="T38" i="12"/>
  <c r="T226" i="12"/>
  <c r="U167" i="12"/>
  <c r="T212" i="12"/>
  <c r="T227" i="12"/>
  <c r="T111" i="9" s="1"/>
  <c r="U188" i="12"/>
  <c r="R296" i="12"/>
  <c r="L382" i="11"/>
  <c r="L383" i="11" s="1"/>
  <c r="L384" i="11" s="1"/>
  <c r="T287" i="12"/>
  <c r="U253" i="12"/>
  <c r="S117" i="9"/>
  <c r="L287" i="9"/>
  <c r="L288" i="9" s="1"/>
  <c r="L269" i="9"/>
  <c r="K244" i="18" s="1"/>
  <c r="K245" i="18" s="1"/>
  <c r="G84" i="17"/>
  <c r="S291" i="12"/>
  <c r="S292" i="12" s="1"/>
  <c r="S231" i="12"/>
  <c r="S232" i="12" s="1"/>
  <c r="K159" i="9"/>
  <c r="K160" i="9" s="1"/>
  <c r="K164" i="13"/>
  <c r="V165" i="11"/>
  <c r="V220" i="11"/>
  <c r="M377" i="11"/>
  <c r="G24" i="17"/>
  <c r="G25" i="17" s="1"/>
  <c r="G26" i="17" s="1"/>
  <c r="L78" i="9"/>
  <c r="K186" i="18" s="1"/>
  <c r="K187" i="18" s="1"/>
  <c r="U227" i="11"/>
  <c r="U119" i="9"/>
  <c r="G42" i="17"/>
  <c r="R236" i="12"/>
  <c r="T54" i="12" l="1"/>
  <c r="T60" i="12"/>
  <c r="T61" i="12" s="1"/>
  <c r="S88" i="9"/>
  <c r="S89" i="9" s="1"/>
  <c r="N32" i="17" s="1"/>
  <c r="N170" i="17" s="1"/>
  <c r="S73" i="12"/>
  <c r="S75" i="12" s="1"/>
  <c r="S76" i="12" s="1"/>
  <c r="S77" i="12" s="1"/>
  <c r="S79" i="12" s="1"/>
  <c r="P41" i="17"/>
  <c r="Q41" i="17" s="1"/>
  <c r="S235" i="12"/>
  <c r="S234" i="12"/>
  <c r="U211" i="12"/>
  <c r="U204" i="12"/>
  <c r="U210" i="12"/>
  <c r="U183" i="12"/>
  <c r="T228" i="12"/>
  <c r="T230" i="12" s="1"/>
  <c r="T110" i="9"/>
  <c r="T112" i="9" s="1"/>
  <c r="S295" i="12"/>
  <c r="S294" i="12"/>
  <c r="G86" i="17"/>
  <c r="G124" i="17"/>
  <c r="L271" i="9"/>
  <c r="I66" i="25" s="1"/>
  <c r="N40" i="17"/>
  <c r="V223" i="11"/>
  <c r="W160" i="11"/>
  <c r="L159" i="13"/>
  <c r="K132" i="9"/>
  <c r="K141" i="13"/>
  <c r="L157" i="9"/>
  <c r="K162" i="9"/>
  <c r="F118" i="17"/>
  <c r="F54" i="17"/>
  <c r="F55" i="17" s="1"/>
  <c r="U269" i="12"/>
  <c r="U275" i="12"/>
  <c r="U276" i="12" s="1"/>
  <c r="U228" i="11"/>
  <c r="U229" i="11" s="1"/>
  <c r="L80" i="9"/>
  <c r="L158" i="9"/>
  <c r="L110" i="13"/>
  <c r="L124" i="13" s="1"/>
  <c r="L132" i="13" s="1"/>
  <c r="L134" i="13" s="1"/>
  <c r="L135" i="13" s="1"/>
  <c r="G110" i="17"/>
  <c r="T288" i="12"/>
  <c r="T290" i="12" s="1"/>
  <c r="T114" i="9"/>
  <c r="T115" i="9" s="1"/>
  <c r="S80" i="12" l="1"/>
  <c r="T72" i="12"/>
  <c r="U38" i="12"/>
  <c r="I68" i="25"/>
  <c r="F119" i="17"/>
  <c r="U212" i="12"/>
  <c r="U226" i="12"/>
  <c r="V167" i="12"/>
  <c r="U227" i="12"/>
  <c r="U111" i="9" s="1"/>
  <c r="V188" i="12"/>
  <c r="S296" i="12"/>
  <c r="T291" i="12"/>
  <c r="T292" i="12" s="1"/>
  <c r="L290" i="9"/>
  <c r="L85" i="9"/>
  <c r="L86" i="9" s="1"/>
  <c r="G125" i="17"/>
  <c r="K142" i="13"/>
  <c r="K143" i="13"/>
  <c r="F44" i="17"/>
  <c r="F176" i="17" s="1"/>
  <c r="K137" i="9"/>
  <c r="G85" i="17"/>
  <c r="G87" i="17"/>
  <c r="S81" i="12"/>
  <c r="T117" i="9"/>
  <c r="U287" i="12"/>
  <c r="V253" i="12"/>
  <c r="W220" i="11"/>
  <c r="W165" i="11"/>
  <c r="T231" i="12"/>
  <c r="T232" i="12" s="1"/>
  <c r="S236" i="12"/>
  <c r="L109" i="13"/>
  <c r="L123" i="13" s="1"/>
  <c r="L125" i="13" s="1"/>
  <c r="L136" i="13" s="1"/>
  <c r="V227" i="11"/>
  <c r="V119" i="9"/>
  <c r="U60" i="12" l="1"/>
  <c r="U61" i="12" s="1"/>
  <c r="U54" i="12"/>
  <c r="T73" i="12"/>
  <c r="T75" i="12" s="1"/>
  <c r="T76" i="12" s="1"/>
  <c r="T77" i="12" s="1"/>
  <c r="T80" i="12" s="1"/>
  <c r="T88" i="9"/>
  <c r="T89" i="9" s="1"/>
  <c r="O32" i="17" s="1"/>
  <c r="O170" i="17" s="1"/>
  <c r="I67" i="25"/>
  <c r="K195" i="18"/>
  <c r="K196" i="18" s="1"/>
  <c r="V204" i="12"/>
  <c r="V211" i="12"/>
  <c r="V210" i="12"/>
  <c r="V183" i="12"/>
  <c r="T235" i="12"/>
  <c r="T234" i="12"/>
  <c r="U228" i="12"/>
  <c r="U230" i="12" s="1"/>
  <c r="U110" i="9"/>
  <c r="U112" i="9" s="1"/>
  <c r="K144" i="13"/>
  <c r="K146" i="13" s="1"/>
  <c r="T295" i="12"/>
  <c r="T294" i="12"/>
  <c r="K148" i="9"/>
  <c r="J216" i="18" s="1"/>
  <c r="J217" i="18" s="1"/>
  <c r="F46" i="17"/>
  <c r="V228" i="11"/>
  <c r="V229" i="11" s="1"/>
  <c r="L168" i="9"/>
  <c r="L97" i="9"/>
  <c r="K202" i="18" s="1"/>
  <c r="K203" i="18" s="1"/>
  <c r="M84" i="9"/>
  <c r="G31" i="17"/>
  <c r="G169" i="17" s="1"/>
  <c r="V269" i="12"/>
  <c r="V275" i="12"/>
  <c r="V276" i="12" s="1"/>
  <c r="L292" i="9"/>
  <c r="L291" i="9"/>
  <c r="L160" i="13"/>
  <c r="M139" i="13"/>
  <c r="M162" i="13" s="1"/>
  <c r="M163" i="13" s="1"/>
  <c r="M263" i="9" s="1"/>
  <c r="U288" i="12"/>
  <c r="U290" i="12" s="1"/>
  <c r="U114" i="9"/>
  <c r="U115" i="9" s="1"/>
  <c r="O40" i="17"/>
  <c r="W223" i="11"/>
  <c r="X160" i="11"/>
  <c r="T79" i="12" l="1"/>
  <c r="T81" i="12" s="1"/>
  <c r="V38" i="12"/>
  <c r="U72" i="12"/>
  <c r="V212" i="12"/>
  <c r="V226" i="12"/>
  <c r="W167" i="12"/>
  <c r="V227" i="12"/>
  <c r="V111" i="9" s="1"/>
  <c r="W188" i="12"/>
  <c r="K147" i="13"/>
  <c r="K148" i="13" s="1"/>
  <c r="L293" i="9"/>
  <c r="M111" i="13"/>
  <c r="M126" i="13" s="1"/>
  <c r="M19" i="15"/>
  <c r="M31" i="15" s="1"/>
  <c r="L108" i="9"/>
  <c r="K209" i="18" s="1"/>
  <c r="K210" i="18" s="1"/>
  <c r="G113" i="17"/>
  <c r="G35" i="17"/>
  <c r="U291" i="12"/>
  <c r="U292" i="12" s="1"/>
  <c r="X165" i="11"/>
  <c r="X220" i="11"/>
  <c r="W227" i="11"/>
  <c r="W119" i="9"/>
  <c r="U117" i="9"/>
  <c r="U231" i="12"/>
  <c r="U232" i="12" s="1"/>
  <c r="F50" i="17"/>
  <c r="F51" i="17" s="1"/>
  <c r="F177" i="17"/>
  <c r="F45" i="17"/>
  <c r="M287" i="9"/>
  <c r="M269" i="9"/>
  <c r="L244" i="18" s="1"/>
  <c r="L245" i="18" s="1"/>
  <c r="H84" i="17"/>
  <c r="V287" i="12"/>
  <c r="W253" i="12"/>
  <c r="F116" i="17"/>
  <c r="K150" i="9"/>
  <c r="L159" i="9"/>
  <c r="L160" i="9" s="1"/>
  <c r="L164" i="13"/>
  <c r="T296" i="12"/>
  <c r="T236" i="12"/>
  <c r="U88" i="9" l="1"/>
  <c r="U89" i="9" s="1"/>
  <c r="P32" i="17" s="1"/>
  <c r="Q32" i="17" s="1"/>
  <c r="U73" i="12"/>
  <c r="U75" i="12" s="1"/>
  <c r="U76" i="12" s="1"/>
  <c r="U77" i="12" s="1"/>
  <c r="U80" i="12" s="1"/>
  <c r="V60" i="12"/>
  <c r="V61" i="12" s="1"/>
  <c r="V54" i="12"/>
  <c r="W211" i="12"/>
  <c r="W204" i="12"/>
  <c r="U234" i="12"/>
  <c r="U235" i="12"/>
  <c r="W210" i="12"/>
  <c r="W183" i="12"/>
  <c r="V110" i="9"/>
  <c r="V112" i="9" s="1"/>
  <c r="V228" i="12"/>
  <c r="V230" i="12" s="1"/>
  <c r="U295" i="12"/>
  <c r="U294" i="12"/>
  <c r="G171" i="17"/>
  <c r="G39" i="17"/>
  <c r="G34" i="17"/>
  <c r="W228" i="11"/>
  <c r="W229" i="11" s="1"/>
  <c r="F178" i="17"/>
  <c r="F231" i="17"/>
  <c r="W269" i="12"/>
  <c r="W275" i="12"/>
  <c r="W276" i="12" s="1"/>
  <c r="X223" i="11"/>
  <c r="Y160" i="11"/>
  <c r="G115" i="17"/>
  <c r="M157" i="9"/>
  <c r="L162" i="9"/>
  <c r="G54" i="17"/>
  <c r="G55" i="17" s="1"/>
  <c r="G118" i="17"/>
  <c r="K164" i="9"/>
  <c r="F117" i="17"/>
  <c r="V288" i="12"/>
  <c r="V290" i="12" s="1"/>
  <c r="V114" i="9"/>
  <c r="V115" i="9" s="1"/>
  <c r="M33" i="15"/>
  <c r="M220" i="9"/>
  <c r="M66" i="9"/>
  <c r="M72" i="9" s="1"/>
  <c r="L172" i="18" s="1"/>
  <c r="L173" i="18" s="1"/>
  <c r="P40" i="17"/>
  <c r="Q40" i="17" s="1"/>
  <c r="H124" i="17"/>
  <c r="H86" i="17"/>
  <c r="H85" i="17" s="1"/>
  <c r="M159" i="13"/>
  <c r="L132" i="9"/>
  <c r="L141" i="13"/>
  <c r="U79" i="12" l="1"/>
  <c r="P170" i="17"/>
  <c r="W38" i="12"/>
  <c r="V72" i="12"/>
  <c r="G119" i="17"/>
  <c r="W212" i="12"/>
  <c r="W226" i="12"/>
  <c r="X167" i="12"/>
  <c r="W227" i="12"/>
  <c r="W111" i="9" s="1"/>
  <c r="X188" i="12"/>
  <c r="U296" i="12"/>
  <c r="U81" i="12"/>
  <c r="V291" i="12"/>
  <c r="V292" i="12" s="1"/>
  <c r="L143" i="13"/>
  <c r="L142" i="13"/>
  <c r="K165" i="9"/>
  <c r="K166" i="9" s="1"/>
  <c r="X227" i="11"/>
  <c r="X119" i="9"/>
  <c r="Y165" i="11"/>
  <c r="Y220" i="11"/>
  <c r="G44" i="17"/>
  <c r="G176" i="17" s="1"/>
  <c r="L137" i="9"/>
  <c r="V117" i="9"/>
  <c r="U236" i="12"/>
  <c r="V231" i="12"/>
  <c r="V232" i="12" s="1"/>
  <c r="M277" i="9"/>
  <c r="M279" i="9" s="1"/>
  <c r="H71" i="17"/>
  <c r="M240" i="9"/>
  <c r="L230" i="18" s="1"/>
  <c r="L231" i="18" s="1"/>
  <c r="M74" i="9"/>
  <c r="H21" i="17"/>
  <c r="H22" i="17" s="1"/>
  <c r="H23" i="17" s="1"/>
  <c r="M109" i="13"/>
  <c r="M123" i="13" s="1"/>
  <c r="W287" i="12"/>
  <c r="X253" i="12"/>
  <c r="F244" i="17"/>
  <c r="F233" i="17"/>
  <c r="F242" i="17"/>
  <c r="F235" i="17"/>
  <c r="F240" i="17"/>
  <c r="F237" i="17"/>
  <c r="F238" i="17"/>
  <c r="F234" i="17"/>
  <c r="F232" i="17"/>
  <c r="F236" i="17"/>
  <c r="F243" i="17"/>
  <c r="F241" i="17"/>
  <c r="F239" i="17"/>
  <c r="V88" i="9" l="1"/>
  <c r="V89" i="9" s="1"/>
  <c r="V73" i="12"/>
  <c r="V75" i="12" s="1"/>
  <c r="V76" i="12" s="1"/>
  <c r="V77" i="12" s="1"/>
  <c r="V80" i="12" s="1"/>
  <c r="W60" i="12"/>
  <c r="W61" i="12" s="1"/>
  <c r="W54" i="12"/>
  <c r="V234" i="12"/>
  <c r="V235" i="12"/>
  <c r="X211" i="12"/>
  <c r="X204" i="12"/>
  <c r="X183" i="12"/>
  <c r="X210" i="12"/>
  <c r="W110" i="9"/>
  <c r="W112" i="9" s="1"/>
  <c r="W228" i="12"/>
  <c r="W230" i="12" s="1"/>
  <c r="L144" i="13"/>
  <c r="L147" i="13" s="1"/>
  <c r="F247" i="17"/>
  <c r="V295" i="12"/>
  <c r="V294" i="12"/>
  <c r="Y223" i="11"/>
  <c r="Z160" i="11"/>
  <c r="M248" i="11"/>
  <c r="M288" i="11" s="1"/>
  <c r="M301" i="11" s="1"/>
  <c r="H109" i="17"/>
  <c r="X228" i="11"/>
  <c r="X229" i="11" s="1"/>
  <c r="M275" i="9"/>
  <c r="M278" i="9" s="1"/>
  <c r="M283" i="9" s="1"/>
  <c r="M286" i="9" s="1"/>
  <c r="M271" i="9"/>
  <c r="J66" i="25" s="1"/>
  <c r="H76" i="17"/>
  <c r="H122" i="17"/>
  <c r="X269" i="12"/>
  <c r="X275" i="12"/>
  <c r="X276" i="12" s="1"/>
  <c r="W288" i="12"/>
  <c r="W290" i="12" s="1"/>
  <c r="W114" i="9"/>
  <c r="W115" i="9" s="1"/>
  <c r="L148" i="9"/>
  <c r="K216" i="18" s="1"/>
  <c r="K217" i="18" s="1"/>
  <c r="G46" i="17"/>
  <c r="V79" i="12" l="1"/>
  <c r="X38" i="12"/>
  <c r="W72" i="12"/>
  <c r="J68" i="25"/>
  <c r="W117" i="9"/>
  <c r="X212" i="12"/>
  <c r="X226" i="12"/>
  <c r="Y167" i="12"/>
  <c r="X227" i="12"/>
  <c r="X111" i="9" s="1"/>
  <c r="Y188" i="12"/>
  <c r="V81" i="12"/>
  <c r="L146" i="13"/>
  <c r="L148" i="13" s="1"/>
  <c r="V296" i="12"/>
  <c r="M320" i="11"/>
  <c r="G177" i="17"/>
  <c r="G50" i="17"/>
  <c r="G51" i="17" s="1"/>
  <c r="G45" i="17"/>
  <c r="M85" i="9"/>
  <c r="M86" i="9" s="1"/>
  <c r="H125" i="17"/>
  <c r="Z220" i="11"/>
  <c r="Z165" i="11"/>
  <c r="W231" i="12"/>
  <c r="W232" i="12" s="1"/>
  <c r="Y227" i="11"/>
  <c r="Y119" i="9"/>
  <c r="X287" i="12"/>
  <c r="Y253" i="12"/>
  <c r="G116" i="17"/>
  <c r="L150" i="9"/>
  <c r="M288" i="9"/>
  <c r="M290" i="9" s="1"/>
  <c r="M112" i="13"/>
  <c r="M127" i="13" s="1"/>
  <c r="M128" i="13" s="1"/>
  <c r="W291" i="12"/>
  <c r="W292" i="12" s="1"/>
  <c r="H75" i="17"/>
  <c r="H87" i="17"/>
  <c r="V236" i="12"/>
  <c r="W88" i="9" l="1"/>
  <c r="W89" i="9" s="1"/>
  <c r="W73" i="12"/>
  <c r="W75" i="12" s="1"/>
  <c r="W76" i="12" s="1"/>
  <c r="W77" i="12" s="1"/>
  <c r="W80" i="12" s="1"/>
  <c r="X54" i="12"/>
  <c r="X60" i="12"/>
  <c r="X61" i="12" s="1"/>
  <c r="J67" i="25"/>
  <c r="L195" i="18"/>
  <c r="L196" i="18" s="1"/>
  <c r="Y211" i="12"/>
  <c r="Y204" i="12"/>
  <c r="W234" i="12"/>
  <c r="W235" i="12"/>
  <c r="Y183" i="12"/>
  <c r="Y210" i="12"/>
  <c r="X110" i="9"/>
  <c r="X112" i="9" s="1"/>
  <c r="X228" i="12"/>
  <c r="X230" i="12" s="1"/>
  <c r="M292" i="9"/>
  <c r="M291" i="9"/>
  <c r="W294" i="12"/>
  <c r="W295" i="12"/>
  <c r="Y275" i="12"/>
  <c r="Y276" i="12" s="1"/>
  <c r="Y269" i="12"/>
  <c r="Z223" i="11"/>
  <c r="AA160" i="11"/>
  <c r="X288" i="12"/>
  <c r="X290" i="12" s="1"/>
  <c r="X114" i="9"/>
  <c r="X115" i="9" s="1"/>
  <c r="G178" i="17"/>
  <c r="G231" i="17"/>
  <c r="M324" i="11"/>
  <c r="M327" i="11" s="1"/>
  <c r="M331" i="11" s="1"/>
  <c r="M332" i="11" s="1"/>
  <c r="M366" i="11" s="1"/>
  <c r="M323" i="11"/>
  <c r="M97" i="9"/>
  <c r="L202" i="18" s="1"/>
  <c r="L203" i="18" s="1"/>
  <c r="M168" i="9"/>
  <c r="N84" i="9"/>
  <c r="H31" i="17"/>
  <c r="H169" i="17" s="1"/>
  <c r="L164" i="9"/>
  <c r="G117" i="17"/>
  <c r="Y228" i="11"/>
  <c r="Y229" i="11" s="1"/>
  <c r="W79" i="12" l="1"/>
  <c r="W81" i="12" s="1"/>
  <c r="X72" i="12"/>
  <c r="Y38" i="12"/>
  <c r="X117" i="9"/>
  <c r="Y212" i="12"/>
  <c r="Y226" i="12"/>
  <c r="Z167" i="12"/>
  <c r="Y227" i="12"/>
  <c r="Y111" i="9" s="1"/>
  <c r="Z188" i="12"/>
  <c r="W236" i="12"/>
  <c r="M293" i="9"/>
  <c r="W296" i="12"/>
  <c r="M325" i="11"/>
  <c r="M306" i="11" s="1"/>
  <c r="L165" i="9"/>
  <c r="L166" i="9" s="1"/>
  <c r="X231" i="12"/>
  <c r="X232" i="12" s="1"/>
  <c r="AA220" i="11"/>
  <c r="AA165" i="11"/>
  <c r="M284" i="11"/>
  <c r="M374" i="11" s="1"/>
  <c r="M378" i="11"/>
  <c r="M370" i="11"/>
  <c r="Z227" i="11"/>
  <c r="Z119" i="9"/>
  <c r="N19" i="15"/>
  <c r="N31" i="15" s="1"/>
  <c r="N111" i="13"/>
  <c r="N126" i="13" s="1"/>
  <c r="M108" i="9"/>
  <c r="L209" i="18" s="1"/>
  <c r="L210" i="18" s="1"/>
  <c r="H113" i="17"/>
  <c r="H35" i="17"/>
  <c r="Y287" i="12"/>
  <c r="Z253" i="12"/>
  <c r="X291" i="12"/>
  <c r="X292" i="12" s="1"/>
  <c r="G241" i="17"/>
  <c r="G238" i="17"/>
  <c r="G242" i="17"/>
  <c r="G239" i="17"/>
  <c r="G236" i="17"/>
  <c r="G237" i="17"/>
  <c r="G234" i="17"/>
  <c r="G235" i="17"/>
  <c r="G232" i="17"/>
  <c r="G233" i="17"/>
  <c r="G244" i="17"/>
  <c r="G243" i="17"/>
  <c r="G240" i="17"/>
  <c r="Y60" i="12" l="1"/>
  <c r="Y61" i="12" s="1"/>
  <c r="Y54" i="12"/>
  <c r="X73" i="12"/>
  <c r="X75" i="12" s="1"/>
  <c r="X76" i="12" s="1"/>
  <c r="X77" i="12" s="1"/>
  <c r="X79" i="12" s="1"/>
  <c r="X88" i="9"/>
  <c r="X89" i="9" s="1"/>
  <c r="X234" i="12"/>
  <c r="X235" i="12"/>
  <c r="Z211" i="12"/>
  <c r="Z204" i="12"/>
  <c r="Z183" i="12"/>
  <c r="Z210" i="12"/>
  <c r="Y228" i="12"/>
  <c r="Y230" i="12" s="1"/>
  <c r="Y110" i="9"/>
  <c r="Y112" i="9" s="1"/>
  <c r="M307" i="11"/>
  <c r="M308" i="11" s="1"/>
  <c r="N305" i="11" s="1"/>
  <c r="G247" i="17"/>
  <c r="X294" i="12"/>
  <c r="X295" i="12"/>
  <c r="Z275" i="12"/>
  <c r="Z276" i="12" s="1"/>
  <c r="Z269" i="12"/>
  <c r="N33" i="15"/>
  <c r="N220" i="9"/>
  <c r="N66" i="9"/>
  <c r="N72" i="9" s="1"/>
  <c r="M172" i="18" s="1"/>
  <c r="M173" i="18" s="1"/>
  <c r="Y288" i="12"/>
  <c r="Y290" i="12" s="1"/>
  <c r="Y114" i="9"/>
  <c r="Y115" i="9" s="1"/>
  <c r="H34" i="17"/>
  <c r="H171" i="17"/>
  <c r="H39" i="17"/>
  <c r="M380" i="11"/>
  <c r="M121" i="9" s="1"/>
  <c r="N365" i="11"/>
  <c r="Z228" i="11"/>
  <c r="Z229" i="11" s="1"/>
  <c r="H115" i="17"/>
  <c r="M76" i="9"/>
  <c r="L179" i="18" s="1"/>
  <c r="L180" i="18" s="1"/>
  <c r="AA223" i="11"/>
  <c r="AB160" i="11"/>
  <c r="X80" i="12" l="1"/>
  <c r="X81" i="12" s="1"/>
  <c r="Y72" i="12"/>
  <c r="Z38" i="12"/>
  <c r="Z212" i="12"/>
  <c r="Z226" i="12"/>
  <c r="AA167" i="12"/>
  <c r="Z227" i="12"/>
  <c r="Z111" i="9" s="1"/>
  <c r="AA188" i="12"/>
  <c r="H42" i="17"/>
  <c r="M382" i="11"/>
  <c r="X236" i="12"/>
  <c r="Y117" i="9"/>
  <c r="Y291" i="12"/>
  <c r="Y292" i="12" s="1"/>
  <c r="AA227" i="11"/>
  <c r="AA119" i="9"/>
  <c r="N74" i="9"/>
  <c r="I21" i="17"/>
  <c r="I22" i="17" s="1"/>
  <c r="I23" i="17" s="1"/>
  <c r="AB220" i="11"/>
  <c r="AB165" i="11"/>
  <c r="N277" i="9"/>
  <c r="N279" i="9" s="1"/>
  <c r="N240" i="9"/>
  <c r="M230" i="18" s="1"/>
  <c r="M231" i="18" s="1"/>
  <c r="I71" i="17"/>
  <c r="X296" i="12"/>
  <c r="H24" i="17"/>
  <c r="H25" i="17" s="1"/>
  <c r="H26" i="17" s="1"/>
  <c r="M78" i="9"/>
  <c r="L186" i="18" s="1"/>
  <c r="L187" i="18" s="1"/>
  <c r="Y231" i="12"/>
  <c r="Y232" i="12" s="1"/>
  <c r="N377" i="11"/>
  <c r="Z287" i="12"/>
  <c r="AA253" i="12"/>
  <c r="Z60" i="12" l="1"/>
  <c r="Z61" i="12" s="1"/>
  <c r="Z54" i="12"/>
  <c r="Y88" i="9"/>
  <c r="Y89" i="9" s="1"/>
  <c r="Y73" i="12"/>
  <c r="Y75" i="12" s="1"/>
  <c r="Y76" i="12" s="1"/>
  <c r="Y77" i="12" s="1"/>
  <c r="Y79" i="12" s="1"/>
  <c r="AA211" i="12"/>
  <c r="AA204" i="12"/>
  <c r="AA183" i="12"/>
  <c r="AA210" i="12"/>
  <c r="Y235" i="12"/>
  <c r="Y234" i="12"/>
  <c r="Z228" i="12"/>
  <c r="Z230" i="12" s="1"/>
  <c r="Z110" i="9"/>
  <c r="Z112" i="9" s="1"/>
  <c r="AB223" i="11"/>
  <c r="AC160" i="11"/>
  <c r="Y294" i="12"/>
  <c r="Y295" i="12"/>
  <c r="AA275" i="12"/>
  <c r="AA276" i="12" s="1"/>
  <c r="AA269" i="12"/>
  <c r="N275" i="9"/>
  <c r="N278" i="9" s="1"/>
  <c r="N283" i="9" s="1"/>
  <c r="N286" i="9" s="1"/>
  <c r="I122" i="17"/>
  <c r="I76" i="17"/>
  <c r="N248" i="11"/>
  <c r="N288" i="11" s="1"/>
  <c r="N301" i="11" s="1"/>
  <c r="N320" i="11" s="1"/>
  <c r="I109" i="17"/>
  <c r="M383" i="11"/>
  <c r="M384" i="11" s="1"/>
  <c r="Z288" i="12"/>
  <c r="Z290" i="12" s="1"/>
  <c r="Z114" i="9"/>
  <c r="Z115" i="9" s="1"/>
  <c r="M80" i="9"/>
  <c r="M158" i="9"/>
  <c r="M110" i="13"/>
  <c r="M124" i="13" s="1"/>
  <c r="H110" i="17"/>
  <c r="AA228" i="11"/>
  <c r="AA229" i="11" s="1"/>
  <c r="Y80" i="12" l="1"/>
  <c r="Y81" i="12" s="1"/>
  <c r="Z72" i="12"/>
  <c r="AA38" i="12"/>
  <c r="AA212" i="12"/>
  <c r="AA226" i="12"/>
  <c r="AB167" i="12"/>
  <c r="AA227" i="12"/>
  <c r="AA111" i="9" s="1"/>
  <c r="AB188" i="12"/>
  <c r="Y236" i="12"/>
  <c r="Y296" i="12"/>
  <c r="Z117" i="9"/>
  <c r="N112" i="13"/>
  <c r="N127" i="13" s="1"/>
  <c r="N128" i="13" s="1"/>
  <c r="Z231" i="12"/>
  <c r="Z232" i="12" s="1"/>
  <c r="N324" i="11"/>
  <c r="N327" i="11" s="1"/>
  <c r="N331" i="11" s="1"/>
  <c r="N323" i="11"/>
  <c r="AA287" i="12"/>
  <c r="AB253" i="12"/>
  <c r="AC220" i="11"/>
  <c r="AC165" i="11"/>
  <c r="M132" i="13"/>
  <c r="M134" i="13" s="1"/>
  <c r="M135" i="13" s="1"/>
  <c r="M125" i="13"/>
  <c r="AB227" i="11"/>
  <c r="AB119" i="9"/>
  <c r="Z291" i="12"/>
  <c r="Z292" i="12" s="1"/>
  <c r="I75" i="17"/>
  <c r="AA54" i="12" l="1"/>
  <c r="AA60" i="12"/>
  <c r="AA61" i="12" s="1"/>
  <c r="Z88" i="9"/>
  <c r="Z89" i="9" s="1"/>
  <c r="Z73" i="12"/>
  <c r="Z75" i="12" s="1"/>
  <c r="Z76" i="12" s="1"/>
  <c r="Z77" i="12" s="1"/>
  <c r="Z79" i="12" s="1"/>
  <c r="AB211" i="12"/>
  <c r="AB204" i="12"/>
  <c r="Z235" i="12"/>
  <c r="Z234" i="12"/>
  <c r="AB210" i="12"/>
  <c r="AB183" i="12"/>
  <c r="AA228" i="12"/>
  <c r="AA230" i="12" s="1"/>
  <c r="AA110" i="9"/>
  <c r="AA112" i="9" s="1"/>
  <c r="N325" i="11"/>
  <c r="N307" i="11" s="1"/>
  <c r="AB228" i="11"/>
  <c r="AB229" i="11" s="1"/>
  <c r="AB275" i="12"/>
  <c r="AB276" i="12" s="1"/>
  <c r="AB269" i="12"/>
  <c r="AA288" i="12"/>
  <c r="AA290" i="12" s="1"/>
  <c r="AA114" i="9"/>
  <c r="AA115" i="9" s="1"/>
  <c r="N332" i="11"/>
  <c r="N366" i="11" s="1"/>
  <c r="N339" i="11"/>
  <c r="N341" i="11" s="1"/>
  <c r="M136" i="13"/>
  <c r="Z294" i="12"/>
  <c r="Z295" i="12"/>
  <c r="AC223" i="11"/>
  <c r="AD160" i="11"/>
  <c r="Z80" i="12" l="1"/>
  <c r="Z81" i="12" s="1"/>
  <c r="AA72" i="12"/>
  <c r="AB38" i="12"/>
  <c r="AA117" i="9"/>
  <c r="AB212" i="12"/>
  <c r="AB226" i="12"/>
  <c r="AC167" i="12"/>
  <c r="AB227" i="12"/>
  <c r="AB111" i="9" s="1"/>
  <c r="AC188" i="12"/>
  <c r="N306" i="11"/>
  <c r="N308" i="11" s="1"/>
  <c r="O305" i="11" s="1"/>
  <c r="Z236" i="12"/>
  <c r="Z296" i="12"/>
  <c r="N271" i="11"/>
  <c r="N345" i="11"/>
  <c r="N284" i="11"/>
  <c r="N374" i="11" s="1"/>
  <c r="N378" i="11"/>
  <c r="N370" i="11"/>
  <c r="AC227" i="11"/>
  <c r="AC119" i="9"/>
  <c r="M160" i="13"/>
  <c r="N139" i="13"/>
  <c r="N162" i="13" s="1"/>
  <c r="N163" i="13" s="1"/>
  <c r="N263" i="9" s="1"/>
  <c r="AB287" i="12"/>
  <c r="AC253" i="12"/>
  <c r="AA231" i="12"/>
  <c r="AA232" i="12" s="1"/>
  <c r="AD220" i="11"/>
  <c r="AD165" i="11"/>
  <c r="AA291" i="12"/>
  <c r="AA292" i="12" s="1"/>
  <c r="AB54" i="12" l="1"/>
  <c r="AB60" i="12"/>
  <c r="AB61" i="12" s="1"/>
  <c r="AA73" i="12"/>
  <c r="AA75" i="12" s="1"/>
  <c r="AA76" i="12" s="1"/>
  <c r="AA77" i="12" s="1"/>
  <c r="AA79" i="12" s="1"/>
  <c r="AA88" i="9"/>
  <c r="AA89" i="9" s="1"/>
  <c r="AC211" i="12"/>
  <c r="AC204" i="12"/>
  <c r="AC210" i="12"/>
  <c r="AC183" i="12"/>
  <c r="AA235" i="12"/>
  <c r="AA234" i="12"/>
  <c r="AB228" i="12"/>
  <c r="AB230" i="12" s="1"/>
  <c r="AB110" i="9"/>
  <c r="AB112" i="9" s="1"/>
  <c r="AA295" i="12"/>
  <c r="AA294" i="12"/>
  <c r="M159" i="9"/>
  <c r="M160" i="9" s="1"/>
  <c r="M164" i="13"/>
  <c r="N380" i="11"/>
  <c r="N121" i="9" s="1"/>
  <c r="O365" i="11"/>
  <c r="N76" i="9"/>
  <c r="M179" i="18" s="1"/>
  <c r="M180" i="18" s="1"/>
  <c r="N287" i="9"/>
  <c r="N288" i="9" s="1"/>
  <c r="N269" i="9"/>
  <c r="M244" i="18" s="1"/>
  <c r="M245" i="18" s="1"/>
  <c r="I84" i="17"/>
  <c r="O348" i="11"/>
  <c r="O368" i="11" s="1"/>
  <c r="O369" i="11" s="1"/>
  <c r="O379" i="11" s="1"/>
  <c r="O235" i="9" s="1"/>
  <c r="Q340" i="11"/>
  <c r="AC228" i="11"/>
  <c r="AC229" i="11" s="1"/>
  <c r="AC275" i="12"/>
  <c r="AC276" i="12" s="1"/>
  <c r="AC269" i="12"/>
  <c r="AD223" i="11"/>
  <c r="AE160" i="11"/>
  <c r="AB288" i="12"/>
  <c r="AB290" i="12" s="1"/>
  <c r="AB114" i="9"/>
  <c r="AB115" i="9" s="1"/>
  <c r="AA80" i="12" l="1"/>
  <c r="AA81" i="12" s="1"/>
  <c r="AC38" i="12"/>
  <c r="AB72" i="12"/>
  <c r="J74" i="17"/>
  <c r="AC212" i="12"/>
  <c r="AC226" i="12"/>
  <c r="AD167" i="12"/>
  <c r="AC227" i="12"/>
  <c r="AC111" i="9" s="1"/>
  <c r="AD188" i="12"/>
  <c r="AA236" i="12"/>
  <c r="AA296" i="12"/>
  <c r="N382" i="11"/>
  <c r="N383" i="11" s="1"/>
  <c r="N384" i="11" s="1"/>
  <c r="I86" i="17"/>
  <c r="I124" i="17"/>
  <c r="N271" i="9"/>
  <c r="K66" i="25" s="1"/>
  <c r="N157" i="9"/>
  <c r="M162" i="9"/>
  <c r="H118" i="17"/>
  <c r="H54" i="17"/>
  <c r="H55" i="17" s="1"/>
  <c r="N159" i="13"/>
  <c r="M132" i="9"/>
  <c r="M141" i="13"/>
  <c r="AB291" i="12"/>
  <c r="AB292" i="12" s="1"/>
  <c r="I24" i="17"/>
  <c r="I25" i="17" s="1"/>
  <c r="I26" i="17" s="1"/>
  <c r="N78" i="9"/>
  <c r="M186" i="18" s="1"/>
  <c r="M187" i="18" s="1"/>
  <c r="AB117" i="9"/>
  <c r="AD227" i="11"/>
  <c r="AD119" i="9"/>
  <c r="AB231" i="12"/>
  <c r="AB232" i="12" s="1"/>
  <c r="AE220" i="11"/>
  <c r="AE165" i="11"/>
  <c r="O377" i="11"/>
  <c r="AC287" i="12"/>
  <c r="AD253" i="12"/>
  <c r="I42" i="17"/>
  <c r="AB88" i="9" l="1"/>
  <c r="AB89" i="9" s="1"/>
  <c r="AB73" i="12"/>
  <c r="AB75" i="12" s="1"/>
  <c r="AB76" i="12" s="1"/>
  <c r="AB77" i="12" s="1"/>
  <c r="AB80" i="12" s="1"/>
  <c r="AC54" i="12"/>
  <c r="AC60" i="12"/>
  <c r="AC61" i="12" s="1"/>
  <c r="K68" i="25"/>
  <c r="H119" i="17"/>
  <c r="AD204" i="12"/>
  <c r="AD211" i="12"/>
  <c r="AB235" i="12"/>
  <c r="AB234" i="12"/>
  <c r="AD210" i="12"/>
  <c r="AD183" i="12"/>
  <c r="AC228" i="12"/>
  <c r="AC230" i="12" s="1"/>
  <c r="AC110" i="9"/>
  <c r="AC112" i="9" s="1"/>
  <c r="AB295" i="12"/>
  <c r="AB294" i="12"/>
  <c r="M142" i="13"/>
  <c r="M143" i="13"/>
  <c r="N109" i="13"/>
  <c r="N123" i="13" s="1"/>
  <c r="AE223" i="11"/>
  <c r="AF160" i="11"/>
  <c r="H44" i="17"/>
  <c r="H176" i="17" s="1"/>
  <c r="M137" i="9"/>
  <c r="N290" i="9"/>
  <c r="N85" i="9"/>
  <c r="N86" i="9" s="1"/>
  <c r="I125" i="17"/>
  <c r="AD269" i="12"/>
  <c r="AD275" i="12"/>
  <c r="AD276" i="12" s="1"/>
  <c r="N80" i="9"/>
  <c r="N158" i="9"/>
  <c r="N110" i="13"/>
  <c r="N124" i="13" s="1"/>
  <c r="N132" i="13" s="1"/>
  <c r="N134" i="13" s="1"/>
  <c r="N135" i="13" s="1"/>
  <c r="I110" i="17"/>
  <c r="AD228" i="11"/>
  <c r="AD229" i="11" s="1"/>
  <c r="AC288" i="12"/>
  <c r="AC290" i="12" s="1"/>
  <c r="AC114" i="9"/>
  <c r="AC115" i="9" s="1"/>
  <c r="I85" i="17"/>
  <c r="I87" i="17"/>
  <c r="AB79" i="12" l="1"/>
  <c r="AC72" i="12"/>
  <c r="AD38" i="12"/>
  <c r="K67" i="25"/>
  <c r="M195" i="18"/>
  <c r="M196" i="18" s="1"/>
  <c r="AD212" i="12"/>
  <c r="AD226" i="12"/>
  <c r="AE167" i="12"/>
  <c r="AD227" i="12"/>
  <c r="AD111" i="9" s="1"/>
  <c r="AE188" i="12"/>
  <c r="M144" i="13"/>
  <c r="M146" i="13" s="1"/>
  <c r="AC117" i="9"/>
  <c r="AB296" i="12"/>
  <c r="N125" i="13"/>
  <c r="N136" i="13" s="1"/>
  <c r="N168" i="9"/>
  <c r="N97" i="9"/>
  <c r="M202" i="18" s="1"/>
  <c r="M203" i="18" s="1"/>
  <c r="O84" i="9"/>
  <c r="I31" i="17"/>
  <c r="I169" i="17" s="1"/>
  <c r="N292" i="9"/>
  <c r="N291" i="9"/>
  <c r="M148" i="9"/>
  <c r="L216" i="18" s="1"/>
  <c r="L217" i="18" s="1"/>
  <c r="H46" i="17"/>
  <c r="AF165" i="11"/>
  <c r="AF220" i="11"/>
  <c r="AB81" i="12"/>
  <c r="AC231" i="12"/>
  <c r="AC232" i="12" s="1"/>
  <c r="AC291" i="12"/>
  <c r="AC292" i="12" s="1"/>
  <c r="AE227" i="11"/>
  <c r="AE119" i="9"/>
  <c r="AD287" i="12"/>
  <c r="AE253" i="12"/>
  <c r="AB236" i="12"/>
  <c r="AD54" i="12" l="1"/>
  <c r="AD60" i="12"/>
  <c r="AD61" i="12" s="1"/>
  <c r="AC73" i="12"/>
  <c r="AC75" i="12" s="1"/>
  <c r="AC76" i="12" s="1"/>
  <c r="AC77" i="12" s="1"/>
  <c r="AC80" i="12" s="1"/>
  <c r="AC88" i="9"/>
  <c r="AC89" i="9" s="1"/>
  <c r="AE211" i="12"/>
  <c r="AE204" i="12"/>
  <c r="AC234" i="12"/>
  <c r="AC235" i="12"/>
  <c r="AE210" i="12"/>
  <c r="AE183" i="12"/>
  <c r="AD110" i="9"/>
  <c r="AD112" i="9" s="1"/>
  <c r="AD228" i="12"/>
  <c r="AD230" i="12" s="1"/>
  <c r="M147" i="13"/>
  <c r="M148" i="13" s="1"/>
  <c r="N293" i="9"/>
  <c r="AC295" i="12"/>
  <c r="AC294" i="12"/>
  <c r="H177" i="17"/>
  <c r="H50" i="17"/>
  <c r="H51" i="17" s="1"/>
  <c r="H45" i="17"/>
  <c r="H116" i="17"/>
  <c r="M150" i="9"/>
  <c r="O19" i="15"/>
  <c r="O31" i="15" s="1"/>
  <c r="O111" i="13"/>
  <c r="O126" i="13" s="1"/>
  <c r="N160" i="13"/>
  <c r="O139" i="13"/>
  <c r="O162" i="13" s="1"/>
  <c r="O163" i="13" s="1"/>
  <c r="O263" i="9" s="1"/>
  <c r="AE275" i="12"/>
  <c r="AE276" i="12" s="1"/>
  <c r="AE269" i="12"/>
  <c r="N108" i="9"/>
  <c r="M209" i="18" s="1"/>
  <c r="M210" i="18" s="1"/>
  <c r="I35" i="17"/>
  <c r="I113" i="17"/>
  <c r="AE228" i="11"/>
  <c r="AE229" i="11" s="1"/>
  <c r="AF223" i="11"/>
  <c r="AG160" i="11"/>
  <c r="AD288" i="12"/>
  <c r="AD290" i="12" s="1"/>
  <c r="AD114" i="9"/>
  <c r="AD115" i="9" s="1"/>
  <c r="AC79" i="12" l="1"/>
  <c r="AC81" i="12" s="1"/>
  <c r="AD72" i="12"/>
  <c r="AE38" i="12"/>
  <c r="AE212" i="12"/>
  <c r="AE226" i="12"/>
  <c r="AF167" i="12"/>
  <c r="AE227" i="12"/>
  <c r="AE111" i="9" s="1"/>
  <c r="AF188" i="12"/>
  <c r="AC296" i="12"/>
  <c r="AC236" i="12"/>
  <c r="AG165" i="11"/>
  <c r="AG220" i="11"/>
  <c r="I115" i="17"/>
  <c r="O33" i="15"/>
  <c r="O220" i="9"/>
  <c r="O66" i="9"/>
  <c r="O72" i="9" s="1"/>
  <c r="N172" i="18" s="1"/>
  <c r="N173" i="18" s="1"/>
  <c r="AD291" i="12"/>
  <c r="AD292" i="12" s="1"/>
  <c r="AE287" i="12"/>
  <c r="AF253" i="12"/>
  <c r="I34" i="17"/>
  <c r="I171" i="17"/>
  <c r="I39" i="17"/>
  <c r="M164" i="9"/>
  <c r="H117" i="17"/>
  <c r="AD231" i="12"/>
  <c r="AD232" i="12" s="1"/>
  <c r="H231" i="17"/>
  <c r="H178" i="17"/>
  <c r="O287" i="9"/>
  <c r="O269" i="9"/>
  <c r="N244" i="18" s="1"/>
  <c r="N245" i="18" s="1"/>
  <c r="J84" i="17"/>
  <c r="AF227" i="11"/>
  <c r="AF119" i="9"/>
  <c r="N159" i="9"/>
  <c r="N160" i="9" s="1"/>
  <c r="N164" i="13"/>
  <c r="AD117" i="9"/>
  <c r="AE54" i="12" l="1"/>
  <c r="AE60" i="12"/>
  <c r="AE61" i="12" s="1"/>
  <c r="AD88" i="9"/>
  <c r="AD89" i="9" s="1"/>
  <c r="AD73" i="12"/>
  <c r="AD75" i="12" s="1"/>
  <c r="AD76" i="12" s="1"/>
  <c r="AD77" i="12" s="1"/>
  <c r="AD80" i="12" s="1"/>
  <c r="AF211" i="12"/>
  <c r="AF204" i="12"/>
  <c r="AD234" i="12"/>
  <c r="AD235" i="12"/>
  <c r="AF210" i="12"/>
  <c r="AF183" i="12"/>
  <c r="AE110" i="9"/>
  <c r="AE112" i="9" s="1"/>
  <c r="AE228" i="12"/>
  <c r="AE230" i="12" s="1"/>
  <c r="H244" i="17"/>
  <c r="AD295" i="12"/>
  <c r="AD294" i="12"/>
  <c r="M165" i="9"/>
  <c r="M166" i="9" s="1"/>
  <c r="O159" i="13"/>
  <c r="N132" i="9"/>
  <c r="N141" i="13"/>
  <c r="J86" i="17"/>
  <c r="J85" i="17" s="1"/>
  <c r="J124" i="17"/>
  <c r="AE288" i="12"/>
  <c r="AE290" i="12" s="1"/>
  <c r="AE114" i="9"/>
  <c r="AE115" i="9" s="1"/>
  <c r="AF228" i="11"/>
  <c r="AF229" i="11" s="1"/>
  <c r="O157" i="9"/>
  <c r="N162" i="9"/>
  <c r="I118" i="17"/>
  <c r="I54" i="17"/>
  <c r="I55" i="17" s="1"/>
  <c r="O277" i="9"/>
  <c r="O279" i="9" s="1"/>
  <c r="O240" i="9"/>
  <c r="N230" i="18" s="1"/>
  <c r="N231" i="18" s="1"/>
  <c r="J71" i="17"/>
  <c r="AG223" i="11"/>
  <c r="AH160" i="11"/>
  <c r="H239" i="17"/>
  <c r="H234" i="17"/>
  <c r="H235" i="17"/>
  <c r="H242" i="17"/>
  <c r="H238" i="17"/>
  <c r="H237" i="17"/>
  <c r="H232" i="17"/>
  <c r="H233" i="17"/>
  <c r="H243" i="17"/>
  <c r="H236" i="17"/>
  <c r="H240" i="17"/>
  <c r="H241" i="17"/>
  <c r="AF269" i="12"/>
  <c r="AF275" i="12"/>
  <c r="AF276" i="12" s="1"/>
  <c r="O74" i="9"/>
  <c r="J21" i="17"/>
  <c r="J22" i="17" s="1"/>
  <c r="J23" i="17" s="1"/>
  <c r="AD79" i="12" l="1"/>
  <c r="AD81" i="12" s="1"/>
  <c r="AF38" i="12"/>
  <c r="AE72" i="12"/>
  <c r="I119" i="17"/>
  <c r="AF212" i="12"/>
  <c r="AF226" i="12"/>
  <c r="AG167" i="12"/>
  <c r="AF227" i="12"/>
  <c r="AF111" i="9" s="1"/>
  <c r="AG188" i="12"/>
  <c r="AE117" i="9"/>
  <c r="AD296" i="12"/>
  <c r="H247" i="17"/>
  <c r="I44" i="17"/>
  <c r="I176" i="17" s="1"/>
  <c r="N137" i="9"/>
  <c r="AH165" i="11"/>
  <c r="AH220" i="11"/>
  <c r="AE231" i="12"/>
  <c r="AE232" i="12" s="1"/>
  <c r="AE291" i="12"/>
  <c r="AE292" i="12" s="1"/>
  <c r="O248" i="11"/>
  <c r="O288" i="11" s="1"/>
  <c r="O301" i="11" s="1"/>
  <c r="O320" i="11" s="1"/>
  <c r="J109" i="17"/>
  <c r="AG227" i="11"/>
  <c r="AG119" i="9"/>
  <c r="O109" i="13"/>
  <c r="O123" i="13" s="1"/>
  <c r="AF287" i="12"/>
  <c r="AG253" i="12"/>
  <c r="O271" i="9"/>
  <c r="L66" i="25" s="1"/>
  <c r="O275" i="9"/>
  <c r="O278" i="9" s="1"/>
  <c r="O283" i="9" s="1"/>
  <c r="O286" i="9" s="1"/>
  <c r="J76" i="17"/>
  <c r="J122" i="17"/>
  <c r="N143" i="13"/>
  <c r="N142" i="13"/>
  <c r="AD236" i="12"/>
  <c r="N74" i="17"/>
  <c r="AE88" i="9" l="1"/>
  <c r="AE89" i="9" s="1"/>
  <c r="AE73" i="12"/>
  <c r="AE75" i="12" s="1"/>
  <c r="AE76" i="12" s="1"/>
  <c r="AE77" i="12" s="1"/>
  <c r="AE79" i="12" s="1"/>
  <c r="AF60" i="12"/>
  <c r="AF61" i="12" s="1"/>
  <c r="AF54" i="12"/>
  <c r="L68" i="25"/>
  <c r="AE234" i="12"/>
  <c r="AE235" i="12"/>
  <c r="AG211" i="12"/>
  <c r="AG204" i="12"/>
  <c r="AG210" i="12"/>
  <c r="AG183" i="12"/>
  <c r="AF110" i="9"/>
  <c r="AF112" i="9" s="1"/>
  <c r="AF228" i="12"/>
  <c r="AF230" i="12" s="1"/>
  <c r="N144" i="13"/>
  <c r="N146" i="13" s="1"/>
  <c r="AE294" i="12"/>
  <c r="AE295" i="12"/>
  <c r="J87" i="17"/>
  <c r="J75" i="17"/>
  <c r="O288" i="9"/>
  <c r="O290" i="9" s="1"/>
  <c r="O112" i="13"/>
  <c r="O127" i="13" s="1"/>
  <c r="O128" i="13" s="1"/>
  <c r="AG228" i="11"/>
  <c r="AG229" i="11" s="1"/>
  <c r="O324" i="11"/>
  <c r="O327" i="11" s="1"/>
  <c r="O331" i="11" s="1"/>
  <c r="O332" i="11" s="1"/>
  <c r="O366" i="11" s="1"/>
  <c r="O323" i="11"/>
  <c r="AG269" i="12"/>
  <c r="AG275" i="12"/>
  <c r="AG276" i="12" s="1"/>
  <c r="AF288" i="12"/>
  <c r="AF290" i="12" s="1"/>
  <c r="AF114" i="9"/>
  <c r="AF115" i="9" s="1"/>
  <c r="AH223" i="11"/>
  <c r="AI160" i="11"/>
  <c r="O85" i="9"/>
  <c r="O86" i="9" s="1"/>
  <c r="J125" i="17"/>
  <c r="N148" i="9"/>
  <c r="M216" i="18" s="1"/>
  <c r="M217" i="18" s="1"/>
  <c r="I46" i="17"/>
  <c r="AE80" i="12" l="1"/>
  <c r="AE81" i="12" s="1"/>
  <c r="AG38" i="12"/>
  <c r="AF72" i="12"/>
  <c r="L67" i="25"/>
  <c r="N195" i="18"/>
  <c r="N196" i="18" s="1"/>
  <c r="AG212" i="12"/>
  <c r="AG226" i="12"/>
  <c r="AH167" i="12"/>
  <c r="AG227" i="12"/>
  <c r="AG111" i="9" s="1"/>
  <c r="AH188" i="12"/>
  <c r="AE236" i="12"/>
  <c r="AE296" i="12"/>
  <c r="AF117" i="9"/>
  <c r="N147" i="13"/>
  <c r="N148" i="13" s="1"/>
  <c r="O325" i="11"/>
  <c r="O306" i="11" s="1"/>
  <c r="O292" i="9"/>
  <c r="O291" i="9"/>
  <c r="O378" i="11"/>
  <c r="O284" i="11"/>
  <c r="O374" i="11" s="1"/>
  <c r="O370" i="11"/>
  <c r="O168" i="9"/>
  <c r="O97" i="9"/>
  <c r="N202" i="18" s="1"/>
  <c r="N203" i="18" s="1"/>
  <c r="P84" i="9"/>
  <c r="J31" i="17"/>
  <c r="J169" i="17" s="1"/>
  <c r="AI220" i="11"/>
  <c r="AI165" i="11"/>
  <c r="AF231" i="12"/>
  <c r="AF232" i="12" s="1"/>
  <c r="I50" i="17"/>
  <c r="I51" i="17" s="1"/>
  <c r="I177" i="17"/>
  <c r="I45" i="17"/>
  <c r="AH227" i="11"/>
  <c r="AH119" i="9"/>
  <c r="AG287" i="12"/>
  <c r="AH253" i="12"/>
  <c r="I116" i="17"/>
  <c r="N150" i="9"/>
  <c r="AF291" i="12"/>
  <c r="AF292" i="12" s="1"/>
  <c r="AF88" i="9" l="1"/>
  <c r="AF89" i="9" s="1"/>
  <c r="AF73" i="12"/>
  <c r="AF75" i="12" s="1"/>
  <c r="AF76" i="12" s="1"/>
  <c r="AF77" i="12" s="1"/>
  <c r="AF80" i="12" s="1"/>
  <c r="AG60" i="12"/>
  <c r="AG61" i="12" s="1"/>
  <c r="AG54" i="12"/>
  <c r="O307" i="11"/>
  <c r="O308" i="11" s="1"/>
  <c r="P305" i="11" s="1"/>
  <c r="AF234" i="12"/>
  <c r="AF235" i="12"/>
  <c r="AH211" i="12"/>
  <c r="AH204" i="12"/>
  <c r="AH183" i="12"/>
  <c r="AH210" i="12"/>
  <c r="AG228" i="12"/>
  <c r="AG230" i="12" s="1"/>
  <c r="AG110" i="9"/>
  <c r="AG112" i="9" s="1"/>
  <c r="O293" i="9"/>
  <c r="AF294" i="12"/>
  <c r="AF295" i="12"/>
  <c r="AG288" i="12"/>
  <c r="AG290" i="12" s="1"/>
  <c r="AG114" i="9"/>
  <c r="AG115" i="9" s="1"/>
  <c r="AI223" i="11"/>
  <c r="AJ160" i="11"/>
  <c r="N164" i="9"/>
  <c r="I117" i="17"/>
  <c r="AH228" i="11"/>
  <c r="AH229" i="11" s="1"/>
  <c r="O380" i="11"/>
  <c r="O121" i="9" s="1"/>
  <c r="P365" i="11"/>
  <c r="O76" i="9"/>
  <c r="N179" i="18" s="1"/>
  <c r="N180" i="18" s="1"/>
  <c r="P19" i="15"/>
  <c r="P31" i="15" s="1"/>
  <c r="P111" i="13"/>
  <c r="P126" i="13" s="1"/>
  <c r="I178" i="17"/>
  <c r="I231" i="17"/>
  <c r="O108" i="9"/>
  <c r="N209" i="18" s="1"/>
  <c r="N210" i="18" s="1"/>
  <c r="J35" i="17"/>
  <c r="J113" i="17"/>
  <c r="AH275" i="12"/>
  <c r="AH276" i="12" s="1"/>
  <c r="AH269" i="12"/>
  <c r="AF79" i="12" l="1"/>
  <c r="AF81" i="12" s="1"/>
  <c r="AG72" i="12"/>
  <c r="AH38" i="12"/>
  <c r="AH212" i="12"/>
  <c r="AH226" i="12"/>
  <c r="AI167" i="12"/>
  <c r="AH227" i="12"/>
  <c r="AH111" i="9" s="1"/>
  <c r="AI188" i="12"/>
  <c r="AG117" i="9"/>
  <c r="AF236" i="12"/>
  <c r="P377" i="11"/>
  <c r="J171" i="17"/>
  <c r="J39" i="17"/>
  <c r="J34" i="17"/>
  <c r="J115" i="17"/>
  <c r="AH287" i="12"/>
  <c r="AI253" i="12"/>
  <c r="I244" i="17"/>
  <c r="I241" i="17"/>
  <c r="I235" i="17"/>
  <c r="I232" i="17"/>
  <c r="I243" i="17"/>
  <c r="I236" i="17"/>
  <c r="I242" i="17"/>
  <c r="I233" i="17"/>
  <c r="I239" i="17"/>
  <c r="I238" i="17"/>
  <c r="I237" i="17"/>
  <c r="I240" i="17"/>
  <c r="I234" i="17"/>
  <c r="AG231" i="12"/>
  <c r="AG232" i="12" s="1"/>
  <c r="AG291" i="12"/>
  <c r="AG292" i="12" s="1"/>
  <c r="O382" i="11"/>
  <c r="N165" i="9"/>
  <c r="N166" i="9" s="1"/>
  <c r="J42" i="17"/>
  <c r="J24" i="17"/>
  <c r="J25" i="17" s="1"/>
  <c r="J26" i="17" s="1"/>
  <c r="O78" i="9"/>
  <c r="N186" i="18" s="1"/>
  <c r="N187" i="18" s="1"/>
  <c r="AJ165" i="11"/>
  <c r="AJ220" i="11"/>
  <c r="P33" i="15"/>
  <c r="P220" i="9"/>
  <c r="P66" i="9"/>
  <c r="P72" i="9" s="1"/>
  <c r="O172" i="18" s="1"/>
  <c r="O173" i="18" s="1"/>
  <c r="AI227" i="11"/>
  <c r="AI119" i="9"/>
  <c r="AF296" i="12"/>
  <c r="AH60" i="12" l="1"/>
  <c r="AH61" i="12" s="1"/>
  <c r="AH54" i="12"/>
  <c r="AG73" i="12"/>
  <c r="AG75" i="12" s="1"/>
  <c r="AG76" i="12" s="1"/>
  <c r="AG77" i="12" s="1"/>
  <c r="AG79" i="12" s="1"/>
  <c r="AG88" i="9"/>
  <c r="AG89" i="9" s="1"/>
  <c r="AI211" i="12"/>
  <c r="AI204" i="12"/>
  <c r="AG235" i="12"/>
  <c r="AG234" i="12"/>
  <c r="AI183" i="12"/>
  <c r="AI210" i="12"/>
  <c r="AH228" i="12"/>
  <c r="AH230" i="12" s="1"/>
  <c r="AH110" i="9"/>
  <c r="AH112" i="9" s="1"/>
  <c r="I247" i="17"/>
  <c r="P74" i="9"/>
  <c r="K21" i="17"/>
  <c r="K22" i="17" s="1"/>
  <c r="K23" i="17" s="1"/>
  <c r="P277" i="9"/>
  <c r="P279" i="9" s="1"/>
  <c r="P240" i="9"/>
  <c r="O230" i="18" s="1"/>
  <c r="O231" i="18" s="1"/>
  <c r="K71" i="17"/>
  <c r="AI228" i="11"/>
  <c r="AI229" i="11" s="1"/>
  <c r="O80" i="9"/>
  <c r="O158" i="9"/>
  <c r="O110" i="13"/>
  <c r="O124" i="13" s="1"/>
  <c r="J110" i="17"/>
  <c r="AG294" i="12"/>
  <c r="AG295" i="12"/>
  <c r="AJ223" i="11"/>
  <c r="AK160" i="11"/>
  <c r="AI269" i="12"/>
  <c r="AI275" i="12"/>
  <c r="AI276" i="12" s="1"/>
  <c r="O383" i="11"/>
  <c r="O384" i="11" s="1"/>
  <c r="AH288" i="12"/>
  <c r="AH290" i="12" s="1"/>
  <c r="AH114" i="9"/>
  <c r="AH115" i="9" s="1"/>
  <c r="AG80" i="12" l="1"/>
  <c r="AG81" i="12" s="1"/>
  <c r="AH72" i="12"/>
  <c r="AI38" i="12"/>
  <c r="AI212" i="12"/>
  <c r="AI226" i="12"/>
  <c r="AJ167" i="12"/>
  <c r="AI227" i="12"/>
  <c r="AI111" i="9" s="1"/>
  <c r="AJ188" i="12"/>
  <c r="AG236" i="12"/>
  <c r="AG296" i="12"/>
  <c r="AH117" i="9"/>
  <c r="AJ227" i="11"/>
  <c r="AJ119" i="9"/>
  <c r="AI287" i="12"/>
  <c r="AJ253" i="12"/>
  <c r="P248" i="11"/>
  <c r="P288" i="11" s="1"/>
  <c r="P301" i="11" s="1"/>
  <c r="P320" i="11" s="1"/>
  <c r="K109" i="17"/>
  <c r="P275" i="9"/>
  <c r="P278" i="9" s="1"/>
  <c r="P283" i="9" s="1"/>
  <c r="P286" i="9" s="1"/>
  <c r="K76" i="17"/>
  <c r="K122" i="17"/>
  <c r="O132" i="13"/>
  <c r="O134" i="13" s="1"/>
  <c r="O135" i="13" s="1"/>
  <c r="O125" i="13"/>
  <c r="AK220" i="11"/>
  <c r="AK165" i="11"/>
  <c r="AH231" i="12"/>
  <c r="AH232" i="12" s="1"/>
  <c r="AH291" i="12"/>
  <c r="AH292" i="12" s="1"/>
  <c r="AI54" i="12" l="1"/>
  <c r="AI60" i="12"/>
  <c r="AI61" i="12" s="1"/>
  <c r="AH73" i="12"/>
  <c r="AH75" i="12" s="1"/>
  <c r="AH76" i="12" s="1"/>
  <c r="AH77" i="12" s="1"/>
  <c r="AH79" i="12" s="1"/>
  <c r="AH88" i="9"/>
  <c r="AH89" i="9" s="1"/>
  <c r="AH235" i="12"/>
  <c r="AH234" i="12"/>
  <c r="AJ211" i="12"/>
  <c r="AJ204" i="12"/>
  <c r="AJ183" i="12"/>
  <c r="AJ210" i="12"/>
  <c r="AI228" i="12"/>
  <c r="AI230" i="12" s="1"/>
  <c r="AI110" i="9"/>
  <c r="AI112" i="9" s="1"/>
  <c r="AJ275" i="12"/>
  <c r="AJ276" i="12" s="1"/>
  <c r="AJ269" i="12"/>
  <c r="AI288" i="12"/>
  <c r="AI290" i="12" s="1"/>
  <c r="AI114" i="9"/>
  <c r="AI115" i="9" s="1"/>
  <c r="K75" i="17"/>
  <c r="AK223" i="11"/>
  <c r="AL160" i="11"/>
  <c r="AJ228" i="11"/>
  <c r="AJ229" i="11" s="1"/>
  <c r="O136" i="13"/>
  <c r="P112" i="13"/>
  <c r="P127" i="13" s="1"/>
  <c r="P128" i="13" s="1"/>
  <c r="P323" i="11"/>
  <c r="P324" i="11"/>
  <c r="P327" i="11" s="1"/>
  <c r="P331" i="11" s="1"/>
  <c r="P332" i="11" s="1"/>
  <c r="P366" i="11" s="1"/>
  <c r="AH294" i="12"/>
  <c r="AH295" i="12"/>
  <c r="AH80" i="12" l="1"/>
  <c r="AH81" i="12" s="1"/>
  <c r="AJ38" i="12"/>
  <c r="AI72" i="12"/>
  <c r="AI117" i="9"/>
  <c r="AJ212" i="12"/>
  <c r="AJ226" i="12"/>
  <c r="AK167" i="12"/>
  <c r="AJ227" i="12"/>
  <c r="AJ111" i="9" s="1"/>
  <c r="AK188" i="12"/>
  <c r="AH236" i="12"/>
  <c r="P378" i="11"/>
  <c r="P284" i="11"/>
  <c r="P374" i="11" s="1"/>
  <c r="P370" i="11"/>
  <c r="O160" i="13"/>
  <c r="P139" i="13"/>
  <c r="P162" i="13" s="1"/>
  <c r="P163" i="13" s="1"/>
  <c r="P263" i="9" s="1"/>
  <c r="AI291" i="12"/>
  <c r="AI292" i="12" s="1"/>
  <c r="AH296" i="12"/>
  <c r="AL220" i="11"/>
  <c r="AL165" i="11"/>
  <c r="AJ287" i="12"/>
  <c r="AK253" i="12"/>
  <c r="AI231" i="12"/>
  <c r="AI232" i="12" s="1"/>
  <c r="P325" i="11"/>
  <c r="AK227" i="11"/>
  <c r="AK119" i="9"/>
  <c r="AI73" i="12" l="1"/>
  <c r="AI75" i="12" s="1"/>
  <c r="AI76" i="12" s="1"/>
  <c r="AI77" i="12" s="1"/>
  <c r="AI80" i="12" s="1"/>
  <c r="AI88" i="9"/>
  <c r="AI89" i="9" s="1"/>
  <c r="AJ54" i="12"/>
  <c r="AJ60" i="12"/>
  <c r="AJ61" i="12" s="1"/>
  <c r="AI235" i="12"/>
  <c r="AI234" i="12"/>
  <c r="AK211" i="12"/>
  <c r="AK204" i="12"/>
  <c r="AK183" i="12"/>
  <c r="AK210" i="12"/>
  <c r="AJ228" i="12"/>
  <c r="AJ230" i="12" s="1"/>
  <c r="AJ110" i="9"/>
  <c r="AJ112" i="9" s="1"/>
  <c r="AI295" i="12"/>
  <c r="AI294" i="12"/>
  <c r="P287" i="9"/>
  <c r="P288" i="9" s="1"/>
  <c r="P269" i="9"/>
  <c r="O244" i="18" s="1"/>
  <c r="O245" i="18" s="1"/>
  <c r="K84" i="17"/>
  <c r="AL223" i="11"/>
  <c r="AM160" i="11"/>
  <c r="O159" i="9"/>
  <c r="O160" i="9" s="1"/>
  <c r="O164" i="13"/>
  <c r="P380" i="11"/>
  <c r="P121" i="9" s="1"/>
  <c r="Q365" i="11"/>
  <c r="AK228" i="11"/>
  <c r="AK229" i="11" s="1"/>
  <c r="AK275" i="12"/>
  <c r="AK276" i="12" s="1"/>
  <c r="AK269" i="12"/>
  <c r="P76" i="9"/>
  <c r="O179" i="18" s="1"/>
  <c r="O180" i="18" s="1"/>
  <c r="P307" i="11"/>
  <c r="P306" i="11"/>
  <c r="AJ288" i="12"/>
  <c r="AJ290" i="12" s="1"/>
  <c r="AJ114" i="9"/>
  <c r="AJ115" i="9" s="1"/>
  <c r="AI79" i="12" l="1"/>
  <c r="AI81" i="12" s="1"/>
  <c r="AK38" i="12"/>
  <c r="AJ72" i="12"/>
  <c r="AK212" i="12"/>
  <c r="AK226" i="12"/>
  <c r="AL167" i="12"/>
  <c r="AK227" i="12"/>
  <c r="AK111" i="9" s="1"/>
  <c r="AL188" i="12"/>
  <c r="AI236" i="12"/>
  <c r="AI296" i="12"/>
  <c r="P308" i="11"/>
  <c r="Q305" i="11" s="1"/>
  <c r="AL227" i="11"/>
  <c r="AL119" i="9"/>
  <c r="K86" i="17"/>
  <c r="K124" i="17"/>
  <c r="P271" i="9"/>
  <c r="M66" i="25" s="1"/>
  <c r="AJ117" i="9"/>
  <c r="K24" i="17"/>
  <c r="K25" i="17" s="1"/>
  <c r="K26" i="17" s="1"/>
  <c r="P78" i="9"/>
  <c r="O186" i="18" s="1"/>
  <c r="O187" i="18" s="1"/>
  <c r="Q377" i="11"/>
  <c r="P382" i="11"/>
  <c r="K42" i="17"/>
  <c r="AK287" i="12"/>
  <c r="AL253" i="12"/>
  <c r="P159" i="13"/>
  <c r="O132" i="9"/>
  <c r="O141" i="13"/>
  <c r="P157" i="9"/>
  <c r="O162" i="9"/>
  <c r="J118" i="17"/>
  <c r="J54" i="17"/>
  <c r="J55" i="17" s="1"/>
  <c r="AJ291" i="12"/>
  <c r="AJ292" i="12" s="1"/>
  <c r="AJ231" i="12"/>
  <c r="AJ232" i="12" s="1"/>
  <c r="AM220" i="11"/>
  <c r="AM165" i="11"/>
  <c r="AJ88" i="9" l="1"/>
  <c r="AJ89" i="9" s="1"/>
  <c r="AJ73" i="12"/>
  <c r="AJ75" i="12" s="1"/>
  <c r="AJ76" i="12" s="1"/>
  <c r="AJ77" i="12" s="1"/>
  <c r="AJ80" i="12" s="1"/>
  <c r="AK54" i="12"/>
  <c r="AK60" i="12"/>
  <c r="AK61" i="12" s="1"/>
  <c r="M68" i="25"/>
  <c r="J119" i="17"/>
  <c r="AJ235" i="12"/>
  <c r="AJ234" i="12"/>
  <c r="AL204" i="12"/>
  <c r="AL211" i="12"/>
  <c r="AL210" i="12"/>
  <c r="AL183" i="12"/>
  <c r="AK228" i="12"/>
  <c r="AK230" i="12" s="1"/>
  <c r="AK110" i="9"/>
  <c r="AK112" i="9" s="1"/>
  <c r="AJ295" i="12"/>
  <c r="AJ294" i="12"/>
  <c r="P290" i="9"/>
  <c r="P85" i="9"/>
  <c r="P86" i="9" s="1"/>
  <c r="K125" i="17"/>
  <c r="O143" i="13"/>
  <c r="O142" i="13"/>
  <c r="J44" i="17"/>
  <c r="J176" i="17" s="1"/>
  <c r="O137" i="9"/>
  <c r="P383" i="11"/>
  <c r="P384" i="11" s="1"/>
  <c r="K85" i="17"/>
  <c r="K87" i="17"/>
  <c r="AM223" i="11"/>
  <c r="AN160" i="11"/>
  <c r="AL269" i="12"/>
  <c r="AL275" i="12"/>
  <c r="AL276" i="12" s="1"/>
  <c r="P109" i="13"/>
  <c r="P123" i="13" s="1"/>
  <c r="AK288" i="12"/>
  <c r="AK290" i="12" s="1"/>
  <c r="AK114" i="9"/>
  <c r="AK115" i="9" s="1"/>
  <c r="P80" i="9"/>
  <c r="P158" i="9"/>
  <c r="P110" i="13"/>
  <c r="P124" i="13" s="1"/>
  <c r="P132" i="13" s="1"/>
  <c r="P134" i="13" s="1"/>
  <c r="P135" i="13" s="1"/>
  <c r="K110" i="17"/>
  <c r="AL228" i="11"/>
  <c r="AL229" i="11" s="1"/>
  <c r="AJ79" i="12" l="1"/>
  <c r="AJ81" i="12" s="1"/>
  <c r="AL38" i="12"/>
  <c r="AK72" i="12"/>
  <c r="M67" i="25"/>
  <c r="O195" i="18"/>
  <c r="O196" i="18" s="1"/>
  <c r="AL226" i="12"/>
  <c r="AM167" i="12"/>
  <c r="AL212" i="12"/>
  <c r="AL227" i="12"/>
  <c r="AL111" i="9" s="1"/>
  <c r="AM188" i="12"/>
  <c r="AJ296" i="12"/>
  <c r="O144" i="13"/>
  <c r="O146" i="13" s="1"/>
  <c r="AM227" i="11"/>
  <c r="AM119" i="9"/>
  <c r="P168" i="9"/>
  <c r="P97" i="9"/>
  <c r="O202" i="18" s="1"/>
  <c r="O203" i="18" s="1"/>
  <c r="Q84" i="9"/>
  <c r="K31" i="17"/>
  <c r="K169" i="17" s="1"/>
  <c r="P292" i="9"/>
  <c r="P291" i="9"/>
  <c r="AL287" i="12"/>
  <c r="AM253" i="12"/>
  <c r="P125" i="13"/>
  <c r="P136" i="13" s="1"/>
  <c r="AK117" i="9"/>
  <c r="AN165" i="11"/>
  <c r="AN220" i="11"/>
  <c r="AK291" i="12"/>
  <c r="AK292" i="12" s="1"/>
  <c r="AK231" i="12"/>
  <c r="AK232" i="12" s="1"/>
  <c r="O148" i="9"/>
  <c r="N216" i="18" s="1"/>
  <c r="N217" i="18" s="1"/>
  <c r="J46" i="17"/>
  <c r="AJ236" i="12"/>
  <c r="AK73" i="12" l="1"/>
  <c r="AK75" i="12" s="1"/>
  <c r="AK76" i="12" s="1"/>
  <c r="AK77" i="12" s="1"/>
  <c r="AK80" i="12" s="1"/>
  <c r="AK88" i="9"/>
  <c r="AK89" i="9" s="1"/>
  <c r="AL54" i="12"/>
  <c r="AL60" i="12"/>
  <c r="AL61" i="12" s="1"/>
  <c r="AM211" i="12"/>
  <c r="AM204" i="12"/>
  <c r="AK234" i="12"/>
  <c r="AK235" i="12"/>
  <c r="AM210" i="12"/>
  <c r="AM183" i="12"/>
  <c r="AL110" i="9"/>
  <c r="AL112" i="9" s="1"/>
  <c r="AL228" i="12"/>
  <c r="AL230" i="12" s="1"/>
  <c r="O147" i="13"/>
  <c r="O148" i="13" s="1"/>
  <c r="P293" i="9"/>
  <c r="AK295" i="12"/>
  <c r="AK294" i="12"/>
  <c r="P160" i="13"/>
  <c r="Q139" i="13"/>
  <c r="Q162" i="13" s="1"/>
  <c r="Q163" i="13" s="1"/>
  <c r="Q263" i="9" s="1"/>
  <c r="AL288" i="12"/>
  <c r="AL290" i="12" s="1"/>
  <c r="AL114" i="9"/>
  <c r="AL115" i="9" s="1"/>
  <c r="AM228" i="11"/>
  <c r="AM229" i="11" s="1"/>
  <c r="Q19" i="15"/>
  <c r="Q31" i="15" s="1"/>
  <c r="Q111" i="13"/>
  <c r="Q126" i="13" s="1"/>
  <c r="P108" i="9"/>
  <c r="O209" i="18" s="1"/>
  <c r="O210" i="18" s="1"/>
  <c r="K113" i="17"/>
  <c r="K35" i="17"/>
  <c r="J116" i="17"/>
  <c r="O150" i="9"/>
  <c r="AM275" i="12"/>
  <c r="AM276" i="12" s="1"/>
  <c r="AM269" i="12"/>
  <c r="AN223" i="11"/>
  <c r="AO160" i="11"/>
  <c r="J177" i="17"/>
  <c r="J45" i="17"/>
  <c r="J50" i="17"/>
  <c r="J51" i="17" s="1"/>
  <c r="AK79" i="12" l="1"/>
  <c r="AK81" i="12" s="1"/>
  <c r="AL72" i="12"/>
  <c r="AM38" i="12"/>
  <c r="AM212" i="12"/>
  <c r="AM226" i="12"/>
  <c r="AN167" i="12"/>
  <c r="AM227" i="12"/>
  <c r="AM111" i="9" s="1"/>
  <c r="AN188" i="12"/>
  <c r="AK296" i="12"/>
  <c r="AL117" i="9"/>
  <c r="Q33" i="15"/>
  <c r="Q220" i="9"/>
  <c r="Q66" i="9"/>
  <c r="Q72" i="9" s="1"/>
  <c r="P172" i="18" s="1"/>
  <c r="P173" i="18" s="1"/>
  <c r="AL231" i="12"/>
  <c r="AL232" i="12" s="1"/>
  <c r="K34" i="17"/>
  <c r="K39" i="17"/>
  <c r="K171" i="17"/>
  <c r="AO165" i="11"/>
  <c r="AO220" i="11"/>
  <c r="K115" i="17"/>
  <c r="AN227" i="11"/>
  <c r="AN119" i="9"/>
  <c r="AM287" i="12"/>
  <c r="AN253" i="12"/>
  <c r="AL291" i="12"/>
  <c r="AL292" i="12" s="1"/>
  <c r="Q287" i="9"/>
  <c r="Q269" i="9"/>
  <c r="P244" i="18" s="1"/>
  <c r="P245" i="18" s="1"/>
  <c r="L84" i="17"/>
  <c r="O164" i="9"/>
  <c r="J117" i="17"/>
  <c r="J178" i="17"/>
  <c r="J231" i="17"/>
  <c r="P159" i="9"/>
  <c r="P160" i="9" s="1"/>
  <c r="P164" i="13"/>
  <c r="AK236" i="12"/>
  <c r="AM54" i="12" l="1"/>
  <c r="AM60" i="12"/>
  <c r="AM61" i="12" s="1"/>
  <c r="AL73" i="12"/>
  <c r="AL75" i="12" s="1"/>
  <c r="AL76" i="12" s="1"/>
  <c r="AL77" i="12" s="1"/>
  <c r="AL79" i="12" s="1"/>
  <c r="AL88" i="9"/>
  <c r="AL89" i="9" s="1"/>
  <c r="AN211" i="12"/>
  <c r="AN204" i="12"/>
  <c r="AL234" i="12"/>
  <c r="AL235" i="12"/>
  <c r="AN210" i="12"/>
  <c r="AN183" i="12"/>
  <c r="AM110" i="9"/>
  <c r="AM112" i="9" s="1"/>
  <c r="AM228" i="12"/>
  <c r="AM230" i="12" s="1"/>
  <c r="AL295" i="12"/>
  <c r="AL294" i="12"/>
  <c r="O165" i="9"/>
  <c r="O166" i="9" s="1"/>
  <c r="L124" i="17"/>
  <c r="L86" i="17"/>
  <c r="L85" i="17" s="1"/>
  <c r="AN228" i="11"/>
  <c r="AN229" i="11" s="1"/>
  <c r="Q159" i="13"/>
  <c r="P132" i="9"/>
  <c r="P141" i="13"/>
  <c r="J241" i="17"/>
  <c r="J238" i="17"/>
  <c r="J235" i="17"/>
  <c r="J232" i="17"/>
  <c r="J239" i="17"/>
  <c r="J237" i="17"/>
  <c r="J236" i="17"/>
  <c r="J244" i="17"/>
  <c r="J233" i="17"/>
  <c r="J242" i="17"/>
  <c r="J234" i="17"/>
  <c r="J240" i="17"/>
  <c r="J243" i="17"/>
  <c r="AN275" i="12"/>
  <c r="AN276" i="12" s="1"/>
  <c r="AN269" i="12"/>
  <c r="Q74" i="9"/>
  <c r="L21" i="17"/>
  <c r="L22" i="17" s="1"/>
  <c r="L23" i="17" s="1"/>
  <c r="Q157" i="9"/>
  <c r="P162" i="9"/>
  <c r="K54" i="17"/>
  <c r="K55" i="17" s="1"/>
  <c r="K118" i="17"/>
  <c r="AM288" i="12"/>
  <c r="AM290" i="12" s="1"/>
  <c r="AM114" i="9"/>
  <c r="AM115" i="9" s="1"/>
  <c r="AO223" i="11"/>
  <c r="AP160" i="11"/>
  <c r="Q277" i="9"/>
  <c r="Q279" i="9" s="1"/>
  <c r="Q240" i="9"/>
  <c r="P230" i="18" s="1"/>
  <c r="P231" i="18" s="1"/>
  <c r="L71" i="17"/>
  <c r="AL80" i="12" l="1"/>
  <c r="AL81" i="12" s="1"/>
  <c r="AM72" i="12"/>
  <c r="AN38" i="12"/>
  <c r="K119" i="17"/>
  <c r="AN212" i="12"/>
  <c r="AN226" i="12"/>
  <c r="AO167" i="12"/>
  <c r="AN227" i="12"/>
  <c r="AN111" i="9" s="1"/>
  <c r="AO188" i="12"/>
  <c r="AL296" i="12"/>
  <c r="J247" i="17"/>
  <c r="Q109" i="13"/>
  <c r="Q123" i="13" s="1"/>
  <c r="K44" i="17"/>
  <c r="K176" i="17" s="1"/>
  <c r="P137" i="9"/>
  <c r="AO227" i="11"/>
  <c r="AO119" i="9"/>
  <c r="Q248" i="11"/>
  <c r="Q288" i="11" s="1"/>
  <c r="Q301" i="11" s="1"/>
  <c r="Q320" i="11" s="1"/>
  <c r="L109" i="17"/>
  <c r="AP165" i="11"/>
  <c r="AP220" i="11"/>
  <c r="AN287" i="12"/>
  <c r="AO253" i="12"/>
  <c r="AM291" i="12"/>
  <c r="AM292" i="12" s="1"/>
  <c r="AL236" i="12"/>
  <c r="AM117" i="9"/>
  <c r="Q271" i="9"/>
  <c r="N66" i="25" s="1"/>
  <c r="Q275" i="9"/>
  <c r="Q278" i="9" s="1"/>
  <c r="Q283" i="9" s="1"/>
  <c r="Q286" i="9" s="1"/>
  <c r="L122" i="17"/>
  <c r="L76" i="17"/>
  <c r="P142" i="13"/>
  <c r="P143" i="13"/>
  <c r="AM231" i="12"/>
  <c r="AM232" i="12" s="1"/>
  <c r="AN54" i="12" l="1"/>
  <c r="AN60" i="12"/>
  <c r="AN61" i="12" s="1"/>
  <c r="AM73" i="12"/>
  <c r="AM75" i="12" s="1"/>
  <c r="AM76" i="12" s="1"/>
  <c r="AM77" i="12" s="1"/>
  <c r="AM80" i="12" s="1"/>
  <c r="AM88" i="9"/>
  <c r="AM89" i="9" s="1"/>
  <c r="N68" i="25"/>
  <c r="AO204" i="12"/>
  <c r="AO211" i="12"/>
  <c r="AO210" i="12"/>
  <c r="AO183" i="12"/>
  <c r="AM234" i="12"/>
  <c r="AM235" i="12"/>
  <c r="AN110" i="9"/>
  <c r="AN112" i="9" s="1"/>
  <c r="AN228" i="12"/>
  <c r="AN230" i="12" s="1"/>
  <c r="P144" i="13"/>
  <c r="P147" i="13" s="1"/>
  <c r="AM294" i="12"/>
  <c r="AM295" i="12"/>
  <c r="AO275" i="12"/>
  <c r="AO276" i="12" s="1"/>
  <c r="AO269" i="12"/>
  <c r="AO228" i="11"/>
  <c r="AO229" i="11" s="1"/>
  <c r="Q288" i="9"/>
  <c r="Q290" i="9" s="1"/>
  <c r="Q112" i="13"/>
  <c r="Q127" i="13" s="1"/>
  <c r="Q128" i="13" s="1"/>
  <c r="AN288" i="12"/>
  <c r="AN290" i="12" s="1"/>
  <c r="AN114" i="9"/>
  <c r="AN115" i="9" s="1"/>
  <c r="L75" i="17"/>
  <c r="L87" i="17"/>
  <c r="Q85" i="9"/>
  <c r="Q86" i="9" s="1"/>
  <c r="L125" i="17"/>
  <c r="P148" i="9"/>
  <c r="O216" i="18" s="1"/>
  <c r="O217" i="18" s="1"/>
  <c r="K46" i="17"/>
  <c r="AP223" i="11"/>
  <c r="AQ160" i="11"/>
  <c r="Q324" i="11"/>
  <c r="Q327" i="11" s="1"/>
  <c r="Q331" i="11" s="1"/>
  <c r="Q323" i="11"/>
  <c r="AM79" i="12" l="1"/>
  <c r="AO38" i="12"/>
  <c r="AN72" i="12"/>
  <c r="N67" i="25"/>
  <c r="P195" i="18"/>
  <c r="P196" i="18" s="1"/>
  <c r="AO212" i="12"/>
  <c r="AO226" i="12"/>
  <c r="AP167" i="12"/>
  <c r="AO227" i="12"/>
  <c r="AO111" i="9" s="1"/>
  <c r="AP188" i="12"/>
  <c r="P146" i="13"/>
  <c r="P148" i="13" s="1"/>
  <c r="AM81" i="12"/>
  <c r="Q325" i="11"/>
  <c r="Q307" i="11" s="1"/>
  <c r="Q332" i="11"/>
  <c r="Q366" i="11" s="1"/>
  <c r="Q339" i="11"/>
  <c r="Q341" i="11" s="1"/>
  <c r="Q291" i="9"/>
  <c r="Q292" i="9"/>
  <c r="K50" i="17"/>
  <c r="K51" i="17" s="1"/>
  <c r="K45" i="17"/>
  <c r="K177" i="17"/>
  <c r="AN291" i="12"/>
  <c r="AN292" i="12" s="1"/>
  <c r="K116" i="17"/>
  <c r="P150" i="9"/>
  <c r="AM236" i="12"/>
  <c r="AN231" i="12"/>
  <c r="AN232" i="12" s="1"/>
  <c r="Q168" i="9"/>
  <c r="Q97" i="9"/>
  <c r="P202" i="18" s="1"/>
  <c r="P203" i="18" s="1"/>
  <c r="R84" i="9"/>
  <c r="L31" i="17"/>
  <c r="L169" i="17" s="1"/>
  <c r="AM296" i="12"/>
  <c r="AN117" i="9"/>
  <c r="AQ220" i="11"/>
  <c r="AQ165" i="11"/>
  <c r="AP227" i="11"/>
  <c r="AP119" i="9"/>
  <c r="AO287" i="12"/>
  <c r="AP253" i="12"/>
  <c r="AN88" i="9" l="1"/>
  <c r="AN89" i="9" s="1"/>
  <c r="AN73" i="12"/>
  <c r="AN75" i="12" s="1"/>
  <c r="AN76" i="12" s="1"/>
  <c r="AN77" i="12" s="1"/>
  <c r="AN79" i="12" s="1"/>
  <c r="AO60" i="12"/>
  <c r="AO61" i="12" s="1"/>
  <c r="AO54" i="12"/>
  <c r="AP211" i="12"/>
  <c r="AP204" i="12"/>
  <c r="AN234" i="12"/>
  <c r="AN235" i="12"/>
  <c r="AP183" i="12"/>
  <c r="AP210" i="12"/>
  <c r="AO228" i="12"/>
  <c r="AO230" i="12" s="1"/>
  <c r="AO110" i="9"/>
  <c r="AO112" i="9" s="1"/>
  <c r="Q306" i="11"/>
  <c r="Q308" i="11" s="1"/>
  <c r="R305" i="11" s="1"/>
  <c r="Q293" i="9"/>
  <c r="K178" i="17"/>
  <c r="K231" i="17"/>
  <c r="AO288" i="12"/>
  <c r="AO290" i="12" s="1"/>
  <c r="AO114" i="9"/>
  <c r="AO115" i="9" s="1"/>
  <c r="R111" i="13"/>
  <c r="R126" i="13" s="1"/>
  <c r="R19" i="15"/>
  <c r="R31" i="15" s="1"/>
  <c r="P164" i="9"/>
  <c r="K117" i="17"/>
  <c r="AQ223" i="11"/>
  <c r="AR160" i="11"/>
  <c r="Q108" i="9"/>
  <c r="P209" i="18" s="1"/>
  <c r="P210" i="18" s="1"/>
  <c r="L35" i="17"/>
  <c r="L113" i="17"/>
  <c r="AN294" i="12"/>
  <c r="AN295" i="12"/>
  <c r="Q271" i="11"/>
  <c r="Q345" i="11"/>
  <c r="AP275" i="12"/>
  <c r="AP276" i="12" s="1"/>
  <c r="AP269" i="12"/>
  <c r="AP228" i="11"/>
  <c r="AP229" i="11" s="1"/>
  <c r="Q378" i="11"/>
  <c r="Q284" i="11"/>
  <c r="Q374" i="11" s="1"/>
  <c r="Q370" i="11"/>
  <c r="AN80" i="12" l="1"/>
  <c r="AN81" i="12" s="1"/>
  <c r="AP38" i="12"/>
  <c r="AO72" i="12"/>
  <c r="AP212" i="12"/>
  <c r="AP226" i="12"/>
  <c r="AQ167" i="12"/>
  <c r="AP227" i="12"/>
  <c r="AP111" i="9" s="1"/>
  <c r="AQ188" i="12"/>
  <c r="AN296" i="12"/>
  <c r="AO117" i="9"/>
  <c r="AO231" i="12"/>
  <c r="AO232" i="12" s="1"/>
  <c r="Q76" i="9"/>
  <c r="P179" i="18" s="1"/>
  <c r="P180" i="18" s="1"/>
  <c r="AQ227" i="11"/>
  <c r="AQ119" i="9"/>
  <c r="R348" i="11"/>
  <c r="R368" i="11" s="1"/>
  <c r="R369" i="11" s="1"/>
  <c r="R379" i="11" s="1"/>
  <c r="R235" i="9" s="1"/>
  <c r="T340" i="11"/>
  <c r="P165" i="9"/>
  <c r="P166" i="9" s="1"/>
  <c r="R33" i="15"/>
  <c r="R66" i="9"/>
  <c r="R72" i="9" s="1"/>
  <c r="Q172" i="18" s="1"/>
  <c r="Q173" i="18" s="1"/>
  <c r="R220" i="9"/>
  <c r="AO291" i="12"/>
  <c r="AO292" i="12" s="1"/>
  <c r="Q380" i="11"/>
  <c r="Q121" i="9" s="1"/>
  <c r="R365" i="11"/>
  <c r="K236" i="17"/>
  <c r="K233" i="17"/>
  <c r="K234" i="17"/>
  <c r="K243" i="17"/>
  <c r="K241" i="17"/>
  <c r="K244" i="17"/>
  <c r="K239" i="17"/>
  <c r="K242" i="17"/>
  <c r="K237" i="17"/>
  <c r="K240" i="17"/>
  <c r="K235" i="17"/>
  <c r="K232" i="17"/>
  <c r="K238" i="17"/>
  <c r="L115" i="17"/>
  <c r="AR220" i="11"/>
  <c r="AR165" i="11"/>
  <c r="AP287" i="12"/>
  <c r="AQ253" i="12"/>
  <c r="L171" i="17"/>
  <c r="L34" i="17"/>
  <c r="L39" i="17"/>
  <c r="AN236" i="12"/>
  <c r="AO88" i="9" l="1"/>
  <c r="AO89" i="9" s="1"/>
  <c r="AO73" i="12"/>
  <c r="AO75" i="12" s="1"/>
  <c r="AO76" i="12" s="1"/>
  <c r="AO77" i="12" s="1"/>
  <c r="AO80" i="12" s="1"/>
  <c r="AP60" i="12"/>
  <c r="AP61" i="12" s="1"/>
  <c r="AP54" i="12"/>
  <c r="M74" i="17"/>
  <c r="AO235" i="12"/>
  <c r="AO234" i="12"/>
  <c r="AQ211" i="12"/>
  <c r="AQ204" i="12"/>
  <c r="AQ210" i="12"/>
  <c r="AQ183" i="12"/>
  <c r="AP228" i="12"/>
  <c r="AP230" i="12" s="1"/>
  <c r="AP110" i="9"/>
  <c r="AP112" i="9" s="1"/>
  <c r="K247" i="17"/>
  <c r="Q382" i="11"/>
  <c r="Q383" i="11" s="1"/>
  <c r="Q384" i="11" s="1"/>
  <c r="AR223" i="11"/>
  <c r="AS160" i="11"/>
  <c r="R277" i="9"/>
  <c r="R279" i="9" s="1"/>
  <c r="R240" i="9"/>
  <c r="Q230" i="18" s="1"/>
  <c r="Q231" i="18" s="1"/>
  <c r="M71" i="17"/>
  <c r="L24" i="17"/>
  <c r="L25" i="17" s="1"/>
  <c r="L26" i="17" s="1"/>
  <c r="Q78" i="9"/>
  <c r="P186" i="18" s="1"/>
  <c r="P187" i="18" s="1"/>
  <c r="R377" i="11"/>
  <c r="R74" i="9"/>
  <c r="M21" i="17"/>
  <c r="M22" i="17" s="1"/>
  <c r="M23" i="17" s="1"/>
  <c r="AQ269" i="12"/>
  <c r="AQ275" i="12"/>
  <c r="AQ276" i="12" s="1"/>
  <c r="AO294" i="12"/>
  <c r="AO295" i="12"/>
  <c r="L42" i="17"/>
  <c r="AP288" i="12"/>
  <c r="AP290" i="12" s="1"/>
  <c r="AP114" i="9"/>
  <c r="AP115" i="9" s="1"/>
  <c r="AQ228" i="11"/>
  <c r="AQ229" i="11" s="1"/>
  <c r="AO79" i="12" l="1"/>
  <c r="AP72" i="12"/>
  <c r="AQ38" i="12"/>
  <c r="AQ212" i="12"/>
  <c r="AQ226" i="12"/>
  <c r="AR167" i="12"/>
  <c r="AQ227" i="12"/>
  <c r="AQ111" i="9" s="1"/>
  <c r="AR188" i="12"/>
  <c r="AO81" i="12"/>
  <c r="AO296" i="12"/>
  <c r="AP291" i="12"/>
  <c r="AP292" i="12" s="1"/>
  <c r="AQ287" i="12"/>
  <c r="AR253" i="12"/>
  <c r="R275" i="9"/>
  <c r="R278" i="9" s="1"/>
  <c r="R283" i="9" s="1"/>
  <c r="R286" i="9" s="1"/>
  <c r="M76" i="17"/>
  <c r="M122" i="17"/>
  <c r="R248" i="11"/>
  <c r="R288" i="11" s="1"/>
  <c r="R301" i="11" s="1"/>
  <c r="R320" i="11" s="1"/>
  <c r="M109" i="17"/>
  <c r="AP231" i="12"/>
  <c r="AP232" i="12" s="1"/>
  <c r="AS220" i="11"/>
  <c r="AS165" i="11"/>
  <c r="AS223" i="11" s="1"/>
  <c r="AR227" i="11"/>
  <c r="AR119" i="9"/>
  <c r="AP117" i="9"/>
  <c r="Q80" i="9"/>
  <c r="Q158" i="9"/>
  <c r="Q110" i="13"/>
  <c r="Q124" i="13" s="1"/>
  <c r="L110" i="17"/>
  <c r="AO236" i="12"/>
  <c r="AQ60" i="12" l="1"/>
  <c r="AQ61" i="12" s="1"/>
  <c r="AQ54" i="12"/>
  <c r="AP88" i="9"/>
  <c r="AP89" i="9" s="1"/>
  <c r="AP73" i="12"/>
  <c r="AP75" i="12" s="1"/>
  <c r="AP76" i="12" s="1"/>
  <c r="AP77" i="12" s="1"/>
  <c r="AP80" i="12" s="1"/>
  <c r="AR211" i="12"/>
  <c r="AR204" i="12"/>
  <c r="AR210" i="12"/>
  <c r="AR183" i="12"/>
  <c r="AP235" i="12"/>
  <c r="AP234" i="12"/>
  <c r="AQ228" i="12"/>
  <c r="AQ230" i="12" s="1"/>
  <c r="AQ110" i="9"/>
  <c r="AQ112" i="9" s="1"/>
  <c r="AP294" i="12"/>
  <c r="AP295" i="12"/>
  <c r="M75" i="17"/>
  <c r="R112" i="13"/>
  <c r="R127" i="13" s="1"/>
  <c r="R128" i="13" s="1"/>
  <c r="Q132" i="13"/>
  <c r="Q134" i="13" s="1"/>
  <c r="Q135" i="13" s="1"/>
  <c r="Q125" i="13"/>
  <c r="AR228" i="11"/>
  <c r="AR229" i="11" s="1"/>
  <c r="AR269" i="12"/>
  <c r="AR275" i="12"/>
  <c r="AR276" i="12" s="1"/>
  <c r="AQ288" i="12"/>
  <c r="AQ290" i="12" s="1"/>
  <c r="AQ114" i="9"/>
  <c r="AQ115" i="9" s="1"/>
  <c r="R323" i="11"/>
  <c r="R324" i="11"/>
  <c r="R327" i="11" s="1"/>
  <c r="R331" i="11" s="1"/>
  <c r="R332" i="11" s="1"/>
  <c r="R366" i="11" s="1"/>
  <c r="AS227" i="11"/>
  <c r="AS119" i="9"/>
  <c r="AP79" i="12" l="1"/>
  <c r="AP81" i="12" s="1"/>
  <c r="AR38" i="12"/>
  <c r="AQ72" i="12"/>
  <c r="AR212" i="12"/>
  <c r="AR226" i="12"/>
  <c r="AS167" i="12"/>
  <c r="AR227" i="12"/>
  <c r="AR111" i="9" s="1"/>
  <c r="AS188" i="12"/>
  <c r="AQ117" i="9"/>
  <c r="R284" i="11"/>
  <c r="R374" i="11" s="1"/>
  <c r="R378" i="11"/>
  <c r="R370" i="11"/>
  <c r="AQ231" i="12"/>
  <c r="AQ232" i="12" s="1"/>
  <c r="AQ291" i="12"/>
  <c r="AQ292" i="12" s="1"/>
  <c r="AS228" i="11"/>
  <c r="AS229" i="11" s="1"/>
  <c r="I229" i="11" s="1"/>
  <c r="K30" i="2" s="1"/>
  <c r="M30" i="2" s="1"/>
  <c r="R325" i="11"/>
  <c r="AR287" i="12"/>
  <c r="AS253" i="12"/>
  <c r="AP296" i="12"/>
  <c r="Q136" i="13"/>
  <c r="AP236" i="12"/>
  <c r="AQ73" i="12" l="1"/>
  <c r="AQ75" i="12" s="1"/>
  <c r="AQ76" i="12" s="1"/>
  <c r="AQ77" i="12" s="1"/>
  <c r="AQ79" i="12" s="1"/>
  <c r="AQ88" i="9"/>
  <c r="AQ89" i="9" s="1"/>
  <c r="AR54" i="12"/>
  <c r="AR60" i="12"/>
  <c r="AR61" i="12" s="1"/>
  <c r="AQ235" i="12"/>
  <c r="AQ234" i="12"/>
  <c r="AS211" i="12"/>
  <c r="AS204" i="12"/>
  <c r="AS227" i="12" s="1"/>
  <c r="AS111" i="9" s="1"/>
  <c r="AS183" i="12"/>
  <c r="AS226" i="12" s="1"/>
  <c r="AS210" i="12"/>
  <c r="AR228" i="12"/>
  <c r="AR230" i="12" s="1"/>
  <c r="AR110" i="9"/>
  <c r="AR112" i="9" s="1"/>
  <c r="AQ295" i="12"/>
  <c r="AQ294" i="12"/>
  <c r="Q160" i="13"/>
  <c r="R139" i="13"/>
  <c r="R162" i="13" s="1"/>
  <c r="R163" i="13" s="1"/>
  <c r="R263" i="9" s="1"/>
  <c r="AR288" i="12"/>
  <c r="AR290" i="12" s="1"/>
  <c r="AR114" i="9"/>
  <c r="AR115" i="9" s="1"/>
  <c r="R307" i="11"/>
  <c r="R306" i="11"/>
  <c r="R380" i="11"/>
  <c r="R121" i="9" s="1"/>
  <c r="S365" i="11"/>
  <c r="AS269" i="12"/>
  <c r="AS287" i="12" s="1"/>
  <c r="AS275" i="12"/>
  <c r="AS276" i="12" s="1"/>
  <c r="R76" i="9"/>
  <c r="Q179" i="18" s="1"/>
  <c r="Q180" i="18" s="1"/>
  <c r="AQ80" i="12" l="1"/>
  <c r="AQ81" i="12" s="1"/>
  <c r="AS38" i="12"/>
  <c r="AR72" i="12"/>
  <c r="AS212" i="12"/>
  <c r="AS228" i="12"/>
  <c r="AS110" i="9"/>
  <c r="AS112" i="9" s="1"/>
  <c r="AQ296" i="12"/>
  <c r="R308" i="11"/>
  <c r="S305" i="11" s="1"/>
  <c r="R382" i="11"/>
  <c r="R383" i="11" s="1"/>
  <c r="R384" i="11" s="1"/>
  <c r="AR291" i="12"/>
  <c r="AR292" i="12" s="1"/>
  <c r="R287" i="9"/>
  <c r="R288" i="9" s="1"/>
  <c r="R269" i="9"/>
  <c r="Q244" i="18" s="1"/>
  <c r="Q245" i="18" s="1"/>
  <c r="M84" i="17"/>
  <c r="Q159" i="9"/>
  <c r="Q160" i="9" s="1"/>
  <c r="Q164" i="13"/>
  <c r="S377" i="11"/>
  <c r="AS288" i="12"/>
  <c r="AS290" i="12" s="1"/>
  <c r="AS114" i="9"/>
  <c r="AS115" i="9" s="1"/>
  <c r="M42" i="17"/>
  <c r="AQ236" i="12"/>
  <c r="M24" i="17"/>
  <c r="M25" i="17" s="1"/>
  <c r="M26" i="17" s="1"/>
  <c r="R78" i="9"/>
  <c r="Q186" i="18" s="1"/>
  <c r="Q187" i="18" s="1"/>
  <c r="AR117" i="9"/>
  <c r="AR231" i="12"/>
  <c r="AR232" i="12" s="1"/>
  <c r="AR88" i="9" l="1"/>
  <c r="AR89" i="9" s="1"/>
  <c r="AR73" i="12"/>
  <c r="AR75" i="12" s="1"/>
  <c r="AR76" i="12" s="1"/>
  <c r="AR77" i="12" s="1"/>
  <c r="AR79" i="12" s="1"/>
  <c r="AS54" i="12"/>
  <c r="AS72" i="12" s="1"/>
  <c r="AS60" i="12"/>
  <c r="AS61" i="12" s="1"/>
  <c r="AS230" i="12"/>
  <c r="AS231" i="12" s="1"/>
  <c r="AS232" i="12" s="1"/>
  <c r="AR235" i="12"/>
  <c r="AR234" i="12"/>
  <c r="AS117" i="9"/>
  <c r="AR295" i="12"/>
  <c r="AR294" i="12"/>
  <c r="AS291" i="12"/>
  <c r="AS292" i="12" s="1"/>
  <c r="R80" i="9"/>
  <c r="R158" i="9"/>
  <c r="R110" i="13"/>
  <c r="R124" i="13" s="1"/>
  <c r="R132" i="13" s="1"/>
  <c r="R134" i="13" s="1"/>
  <c r="R135" i="13" s="1"/>
  <c r="M110" i="17"/>
  <c r="M124" i="17"/>
  <c r="M86" i="17"/>
  <c r="R271" i="9"/>
  <c r="O66" i="25" s="1"/>
  <c r="R159" i="13"/>
  <c r="Q132" i="9"/>
  <c r="Q141" i="13"/>
  <c r="R157" i="9"/>
  <c r="Q162" i="9"/>
  <c r="L118" i="17"/>
  <c r="L54" i="17"/>
  <c r="L55" i="17" s="1"/>
  <c r="AR80" i="12" l="1"/>
  <c r="AR81" i="12" s="1"/>
  <c r="AS73" i="12"/>
  <c r="AS75" i="12" s="1"/>
  <c r="AS76" i="12" s="1"/>
  <c r="AS77" i="12" s="1"/>
  <c r="AS79" i="12" s="1"/>
  <c r="AS88" i="9"/>
  <c r="AS89" i="9" s="1"/>
  <c r="O68" i="25"/>
  <c r="L119" i="17"/>
  <c r="AS234" i="12"/>
  <c r="AS235" i="12"/>
  <c r="AR296" i="12"/>
  <c r="I232" i="12"/>
  <c r="K22" i="2" s="1"/>
  <c r="M22" i="2" s="1"/>
  <c r="AS295" i="12"/>
  <c r="AS294" i="12"/>
  <c r="I292" i="12"/>
  <c r="K23" i="2" s="1"/>
  <c r="M23" i="2" s="1"/>
  <c r="Q143" i="13"/>
  <c r="Q142" i="13"/>
  <c r="M85" i="17"/>
  <c r="M87" i="17"/>
  <c r="L44" i="17"/>
  <c r="L176" i="17" s="1"/>
  <c r="Q137" i="9"/>
  <c r="AR236" i="12"/>
  <c r="R109" i="13"/>
  <c r="R123" i="13" s="1"/>
  <c r="R125" i="13" s="1"/>
  <c r="R136" i="13" s="1"/>
  <c r="R290" i="9"/>
  <c r="R85" i="9"/>
  <c r="R86" i="9" s="1"/>
  <c r="M125" i="17"/>
  <c r="AS80" i="12" l="1"/>
  <c r="AS81" i="12" s="1"/>
  <c r="I81" i="12" s="1"/>
  <c r="K74" i="2" s="1"/>
  <c r="M74" i="2" s="1"/>
  <c r="I77" i="12"/>
  <c r="K20" i="2" s="1"/>
  <c r="M20" i="2" s="1"/>
  <c r="O67" i="25"/>
  <c r="Q195" i="18"/>
  <c r="Q196" i="18" s="1"/>
  <c r="Q144" i="13"/>
  <c r="Q147" i="13" s="1"/>
  <c r="R292" i="9"/>
  <c r="R291" i="9"/>
  <c r="R160" i="13"/>
  <c r="S139" i="13"/>
  <c r="S162" i="13" s="1"/>
  <c r="S163" i="13" s="1"/>
  <c r="S263" i="9" s="1"/>
  <c r="AS296" i="12"/>
  <c r="I296" i="12" s="1"/>
  <c r="K77" i="2" s="1"/>
  <c r="M77" i="2" s="1"/>
  <c r="R97" i="9"/>
  <c r="Q202" i="18" s="1"/>
  <c r="Q203" i="18" s="1"/>
  <c r="R168" i="9"/>
  <c r="S84" i="9"/>
  <c r="M31" i="17"/>
  <c r="M169" i="17" s="1"/>
  <c r="Q148" i="9"/>
  <c r="P216" i="18" s="1"/>
  <c r="P217" i="18" s="1"/>
  <c r="L46" i="17"/>
  <c r="AS236" i="12"/>
  <c r="I236" i="12" s="1"/>
  <c r="K76" i="2" s="1"/>
  <c r="M76" i="2" s="1"/>
  <c r="R293" i="9" l="1"/>
  <c r="Q146" i="13"/>
  <c r="Q148" i="13" s="1"/>
  <c r="S287" i="9"/>
  <c r="S269" i="9"/>
  <c r="R244" i="18" s="1"/>
  <c r="R245" i="18" s="1"/>
  <c r="N84" i="17"/>
  <c r="L45" i="17"/>
  <c r="L50" i="17"/>
  <c r="L51" i="17" s="1"/>
  <c r="L177" i="17"/>
  <c r="R159" i="9"/>
  <c r="R160" i="9" s="1"/>
  <c r="R164" i="13"/>
  <c r="L116" i="17"/>
  <c r="Q150" i="9"/>
  <c r="S111" i="13"/>
  <c r="S126" i="13" s="1"/>
  <c r="S19" i="15"/>
  <c r="S31" i="15" s="1"/>
  <c r="R108" i="9"/>
  <c r="Q209" i="18" s="1"/>
  <c r="Q210" i="18" s="1"/>
  <c r="M113" i="17"/>
  <c r="M35" i="17"/>
  <c r="M171" i="17" l="1"/>
  <c r="M39" i="17"/>
  <c r="M34" i="17"/>
  <c r="S33" i="15"/>
  <c r="S220" i="9"/>
  <c r="S66" i="9"/>
  <c r="S72" i="9" s="1"/>
  <c r="R172" i="18" s="1"/>
  <c r="R173" i="18" s="1"/>
  <c r="L178" i="17"/>
  <c r="L231" i="17"/>
  <c r="S157" i="9"/>
  <c r="R162" i="9"/>
  <c r="M118" i="17"/>
  <c r="M54" i="17"/>
  <c r="M55" i="17" s="1"/>
  <c r="Q164" i="9"/>
  <c r="L117" i="17"/>
  <c r="N124" i="17"/>
  <c r="N86" i="17"/>
  <c r="S159" i="13"/>
  <c r="R132" i="9"/>
  <c r="R141" i="13"/>
  <c r="M115" i="17"/>
  <c r="M119" i="17" l="1"/>
  <c r="L240" i="17"/>
  <c r="L237" i="17"/>
  <c r="L238" i="17"/>
  <c r="L235" i="17"/>
  <c r="L236" i="17"/>
  <c r="L233" i="17"/>
  <c r="L234" i="17"/>
  <c r="L244" i="17"/>
  <c r="L241" i="17"/>
  <c r="L232" i="17"/>
  <c r="L243" i="17"/>
  <c r="L239" i="17"/>
  <c r="L242" i="17"/>
  <c r="S74" i="9"/>
  <c r="N21" i="17"/>
  <c r="S277" i="9"/>
  <c r="S279" i="9" s="1"/>
  <c r="S240" i="9"/>
  <c r="R230" i="18" s="1"/>
  <c r="R231" i="18" s="1"/>
  <c r="N71" i="17"/>
  <c r="R143" i="13"/>
  <c r="R142" i="13"/>
  <c r="M44" i="17"/>
  <c r="M176" i="17" s="1"/>
  <c r="R137" i="9"/>
  <c r="Q165" i="9"/>
  <c r="Q166" i="9" s="1"/>
  <c r="N85" i="17"/>
  <c r="S109" i="13"/>
  <c r="S123" i="13" s="1"/>
  <c r="R144" i="13" l="1"/>
  <c r="R147" i="13" s="1"/>
  <c r="L247" i="17"/>
  <c r="R148" i="9"/>
  <c r="Q216" i="18" s="1"/>
  <c r="Q217" i="18" s="1"/>
  <c r="M46" i="17"/>
  <c r="S248" i="11"/>
  <c r="S288" i="11" s="1"/>
  <c r="S301" i="11" s="1"/>
  <c r="S320" i="11" s="1"/>
  <c r="N109" i="17"/>
  <c r="N22" i="17"/>
  <c r="N23" i="17" s="1"/>
  <c r="S271" i="9"/>
  <c r="P66" i="25" s="1"/>
  <c r="S275" i="9"/>
  <c r="S278" i="9" s="1"/>
  <c r="S283" i="9" s="1"/>
  <c r="S286" i="9" s="1"/>
  <c r="N76" i="17"/>
  <c r="N122" i="17"/>
  <c r="P68" i="25" l="1"/>
  <c r="R146" i="13"/>
  <c r="R148" i="13" s="1"/>
  <c r="S323" i="11"/>
  <c r="S324" i="11"/>
  <c r="S327" i="11" s="1"/>
  <c r="S331" i="11" s="1"/>
  <c r="S332" i="11" s="1"/>
  <c r="S366" i="11" s="1"/>
  <c r="N75" i="17"/>
  <c r="N87" i="17"/>
  <c r="M177" i="17"/>
  <c r="M45" i="17"/>
  <c r="M50" i="17"/>
  <c r="M51" i="17" s="1"/>
  <c r="S288" i="9"/>
  <c r="S290" i="9" s="1"/>
  <c r="S112" i="13"/>
  <c r="S127" i="13" s="1"/>
  <c r="S128" i="13" s="1"/>
  <c r="S85" i="9"/>
  <c r="S86" i="9" s="1"/>
  <c r="N125" i="17"/>
  <c r="M116" i="17"/>
  <c r="R150" i="9"/>
  <c r="P67" i="25" l="1"/>
  <c r="R195" i="18"/>
  <c r="R196" i="18" s="1"/>
  <c r="S284" i="11"/>
  <c r="S374" i="11" s="1"/>
  <c r="S378" i="11"/>
  <c r="S370" i="11"/>
  <c r="S97" i="9"/>
  <c r="R202" i="18" s="1"/>
  <c r="R203" i="18" s="1"/>
  <c r="S168" i="9"/>
  <c r="T84" i="9"/>
  <c r="N31" i="17"/>
  <c r="N169" i="17" s="1"/>
  <c r="R164" i="9"/>
  <c r="M117" i="17"/>
  <c r="S292" i="9"/>
  <c r="S291" i="9"/>
  <c r="M178" i="17"/>
  <c r="M231" i="17"/>
  <c r="S325" i="11"/>
  <c r="S293" i="9" l="1"/>
  <c r="M244" i="17"/>
  <c r="M243" i="17"/>
  <c r="M239" i="17"/>
  <c r="M242" i="17"/>
  <c r="M233" i="17"/>
  <c r="M238" i="17"/>
  <c r="M235" i="17"/>
  <c r="M237" i="17"/>
  <c r="M232" i="17"/>
  <c r="M240" i="17"/>
  <c r="M241" i="17"/>
  <c r="M236" i="17"/>
  <c r="M234" i="17"/>
  <c r="T111" i="13"/>
  <c r="T126" i="13" s="1"/>
  <c r="T19" i="15"/>
  <c r="T31" i="15" s="1"/>
  <c r="S108" i="9"/>
  <c r="R209" i="18" s="1"/>
  <c r="R210" i="18" s="1"/>
  <c r="N113" i="17"/>
  <c r="N35" i="17"/>
  <c r="S380" i="11"/>
  <c r="S121" i="9" s="1"/>
  <c r="T365" i="11"/>
  <c r="S306" i="11"/>
  <c r="S307" i="11"/>
  <c r="R165" i="9"/>
  <c r="R166" i="9" s="1"/>
  <c r="S76" i="9"/>
  <c r="R179" i="18" s="1"/>
  <c r="R180" i="18" s="1"/>
  <c r="M247" i="17" l="1"/>
  <c r="T377" i="11"/>
  <c r="N42" i="17"/>
  <c r="N171" i="17"/>
  <c r="N39" i="17"/>
  <c r="N34" i="17"/>
  <c r="S382" i="11"/>
  <c r="S308" i="11"/>
  <c r="T305" i="11" s="1"/>
  <c r="N115" i="17"/>
  <c r="N24" i="17"/>
  <c r="S78" i="9"/>
  <c r="R186" i="18" s="1"/>
  <c r="R187" i="18" s="1"/>
  <c r="T33" i="15"/>
  <c r="T220" i="9"/>
  <c r="T66" i="9"/>
  <c r="T72" i="9" s="1"/>
  <c r="S172" i="18" s="1"/>
  <c r="S173" i="18" s="1"/>
  <c r="T277" i="9" l="1"/>
  <c r="T279" i="9" s="1"/>
  <c r="O71" i="17"/>
  <c r="S80" i="9"/>
  <c r="S158" i="9"/>
  <c r="S110" i="13"/>
  <c r="S124" i="13" s="1"/>
  <c r="N110" i="17"/>
  <c r="N25" i="17"/>
  <c r="N26" i="17" s="1"/>
  <c r="S383" i="11"/>
  <c r="S384" i="11" s="1"/>
  <c r="T74" i="9"/>
  <c r="O21" i="17"/>
  <c r="S132" i="13" l="1"/>
  <c r="S134" i="13" s="1"/>
  <c r="S135" i="13" s="1"/>
  <c r="S125" i="13"/>
  <c r="O22" i="17"/>
  <c r="O23" i="17" s="1"/>
  <c r="T248" i="11"/>
  <c r="T288" i="11" s="1"/>
  <c r="T301" i="11" s="1"/>
  <c r="T320" i="11" s="1"/>
  <c r="O109" i="17"/>
  <c r="T324" i="11" l="1"/>
  <c r="T327" i="11" s="1"/>
  <c r="T331" i="11" s="1"/>
  <c r="T323" i="11"/>
  <c r="S136" i="13"/>
  <c r="T325" i="11" l="1"/>
  <c r="U322" i="11" s="1"/>
  <c r="S160" i="13"/>
  <c r="T139" i="13"/>
  <c r="T162" i="13" s="1"/>
  <c r="T163" i="13" s="1"/>
  <c r="T263" i="9" s="1"/>
  <c r="T332" i="11"/>
  <c r="T366" i="11" s="1"/>
  <c r="T353" i="11"/>
  <c r="T339" i="11"/>
  <c r="T341" i="11" s="1"/>
  <c r="T307" i="11" l="1"/>
  <c r="T306" i="11"/>
  <c r="T284" i="11"/>
  <c r="T374" i="11" s="1"/>
  <c r="T378" i="11"/>
  <c r="T271" i="11"/>
  <c r="T345" i="11"/>
  <c r="V322" i="11"/>
  <c r="T287" i="9"/>
  <c r="T269" i="9"/>
  <c r="S244" i="18" s="1"/>
  <c r="S245" i="18" s="1"/>
  <c r="O84" i="17"/>
  <c r="S159" i="9"/>
  <c r="S160" i="9" s="1"/>
  <c r="S164" i="13"/>
  <c r="T308" i="11" l="1"/>
  <c r="U305" i="11" s="1"/>
  <c r="T157" i="9"/>
  <c r="S162" i="9"/>
  <c r="N118" i="17"/>
  <c r="N54" i="17"/>
  <c r="N55" i="17" s="1"/>
  <c r="T354" i="11"/>
  <c r="T355" i="11" s="1"/>
  <c r="U348" i="11"/>
  <c r="O86" i="17"/>
  <c r="O124" i="17"/>
  <c r="T76" i="9"/>
  <c r="S179" i="18" s="1"/>
  <c r="S180" i="18" s="1"/>
  <c r="T159" i="13"/>
  <c r="S132" i="9"/>
  <c r="S141" i="13"/>
  <c r="W322" i="11"/>
  <c r="N119" i="17" l="1"/>
  <c r="T278" i="11"/>
  <c r="T356" i="11"/>
  <c r="T358" i="11" s="1"/>
  <c r="T357" i="11"/>
  <c r="T359" i="11" s="1"/>
  <c r="X322" i="11"/>
  <c r="N44" i="17"/>
  <c r="N176" i="17" s="1"/>
  <c r="S137" i="9"/>
  <c r="O85" i="17"/>
  <c r="S143" i="13"/>
  <c r="S142" i="13"/>
  <c r="O24" i="17"/>
  <c r="T78" i="9"/>
  <c r="S186" i="18" s="1"/>
  <c r="S187" i="18" s="1"/>
  <c r="T109" i="13"/>
  <c r="T123" i="13" s="1"/>
  <c r="T360" i="11" l="1"/>
  <c r="AD361" i="11" s="1"/>
  <c r="S144" i="13"/>
  <c r="S147" i="13" s="1"/>
  <c r="T80" i="9"/>
  <c r="T158" i="9"/>
  <c r="T110" i="13"/>
  <c r="T124" i="13" s="1"/>
  <c r="T132" i="13" s="1"/>
  <c r="T134" i="13" s="1"/>
  <c r="O110" i="17"/>
  <c r="S148" i="9"/>
  <c r="R216" i="18" s="1"/>
  <c r="R217" i="18" s="1"/>
  <c r="N46" i="17"/>
  <c r="O25" i="17"/>
  <c r="O26" i="17" s="1"/>
  <c r="Y322" i="11"/>
  <c r="X361" i="11" l="1"/>
  <c r="V361" i="11"/>
  <c r="V368" i="11" s="1"/>
  <c r="V369" i="11" s="1"/>
  <c r="V379" i="11" s="1"/>
  <c r="V235" i="9" s="1"/>
  <c r="T361" i="11"/>
  <c r="T368" i="11" s="1"/>
  <c r="T369" i="11" s="1"/>
  <c r="T379" i="11" s="1"/>
  <c r="T235" i="9" s="1"/>
  <c r="AE361" i="11"/>
  <c r="AE368" i="11" s="1"/>
  <c r="AE369" i="11" s="1"/>
  <c r="AE379" i="11" s="1"/>
  <c r="AE235" i="9" s="1"/>
  <c r="W361" i="11"/>
  <c r="W368" i="11" s="1"/>
  <c r="W369" i="11" s="1"/>
  <c r="W379" i="11" s="1"/>
  <c r="W235" i="9" s="1"/>
  <c r="U361" i="11"/>
  <c r="U368" i="11" s="1"/>
  <c r="U369" i="11" s="1"/>
  <c r="U379" i="11" s="1"/>
  <c r="U235" i="9" s="1"/>
  <c r="AC361" i="11"/>
  <c r="AC368" i="11" s="1"/>
  <c r="AC369" i="11" s="1"/>
  <c r="AC379" i="11" s="1"/>
  <c r="AC235" i="9" s="1"/>
  <c r="Y361" i="11"/>
  <c r="Y368" i="11" s="1"/>
  <c r="Y369" i="11" s="1"/>
  <c r="Y379" i="11" s="1"/>
  <c r="Y235" i="9" s="1"/>
  <c r="AB361" i="11"/>
  <c r="AB368" i="11" s="1"/>
  <c r="AB369" i="11" s="1"/>
  <c r="AB379" i="11" s="1"/>
  <c r="AB235" i="9" s="1"/>
  <c r="Z361" i="11"/>
  <c r="Z368" i="11" s="1"/>
  <c r="Z369" i="11" s="1"/>
  <c r="Z379" i="11" s="1"/>
  <c r="Z235" i="9" s="1"/>
  <c r="AA361" i="11"/>
  <c r="S146" i="13"/>
  <c r="S148" i="13" s="1"/>
  <c r="N116" i="17"/>
  <c r="S150" i="9"/>
  <c r="Z322" i="11"/>
  <c r="T125" i="13"/>
  <c r="N177" i="17"/>
  <c r="N50" i="17"/>
  <c r="N51" i="17" s="1"/>
  <c r="N45" i="17"/>
  <c r="P74" i="17" l="1"/>
  <c r="T370" i="11"/>
  <c r="U365" i="11" s="1"/>
  <c r="S164" i="9"/>
  <c r="N117" i="17"/>
  <c r="AA322" i="11"/>
  <c r="N178" i="17"/>
  <c r="N231" i="17"/>
  <c r="O74" i="17"/>
  <c r="T240" i="9"/>
  <c r="S230" i="18" s="1"/>
  <c r="S231" i="18" s="1"/>
  <c r="Q74" i="17" l="1"/>
  <c r="E211" i="17" s="1"/>
  <c r="W77" i="17" s="1"/>
  <c r="T380" i="11"/>
  <c r="T121" i="9" s="1"/>
  <c r="AB322" i="11"/>
  <c r="U377" i="11"/>
  <c r="T271" i="9"/>
  <c r="Q66" i="25" s="1"/>
  <c r="T275" i="9"/>
  <c r="T278" i="9" s="1"/>
  <c r="T283" i="9" s="1"/>
  <c r="T286" i="9" s="1"/>
  <c r="O76" i="17"/>
  <c r="O122" i="17"/>
  <c r="N237" i="17"/>
  <c r="N241" i="17"/>
  <c r="N232" i="17"/>
  <c r="N242" i="17"/>
  <c r="N235" i="17"/>
  <c r="N240" i="17"/>
  <c r="N233" i="17"/>
  <c r="N243" i="17"/>
  <c r="N236" i="17"/>
  <c r="N238" i="17"/>
  <c r="N234" i="17"/>
  <c r="N244" i="17"/>
  <c r="N239" i="17"/>
  <c r="S165" i="9"/>
  <c r="S166" i="9" s="1"/>
  <c r="Q68" i="25" l="1"/>
  <c r="J211" i="17"/>
  <c r="H211" i="17"/>
  <c r="T382" i="11"/>
  <c r="T383" i="11" s="1"/>
  <c r="T384" i="11" s="1"/>
  <c r="N247" i="17"/>
  <c r="T288" i="9"/>
  <c r="T290" i="9" s="1"/>
  <c r="T112" i="13"/>
  <c r="T127" i="13" s="1"/>
  <c r="T128" i="13" s="1"/>
  <c r="AC322" i="11"/>
  <c r="T85" i="9"/>
  <c r="T86" i="9" s="1"/>
  <c r="O125" i="17"/>
  <c r="O87" i="17"/>
  <c r="O75" i="17"/>
  <c r="O42" i="17"/>
  <c r="Q67" i="25" l="1"/>
  <c r="S195" i="18"/>
  <c r="S196" i="18" s="1"/>
  <c r="T292" i="9"/>
  <c r="T291" i="9"/>
  <c r="AD322" i="11"/>
  <c r="T135" i="13"/>
  <c r="T136" i="13"/>
  <c r="T168" i="9"/>
  <c r="T97" i="9"/>
  <c r="S202" i="18" s="1"/>
  <c r="S203" i="18" s="1"/>
  <c r="U84" i="9"/>
  <c r="O31" i="17"/>
  <c r="O169" i="17" s="1"/>
  <c r="T293" i="9" l="1"/>
  <c r="T160" i="13"/>
  <c r="U139" i="13"/>
  <c r="U162" i="13" s="1"/>
  <c r="U163" i="13" s="1"/>
  <c r="U263" i="9" s="1"/>
  <c r="AE322" i="11"/>
  <c r="U111" i="13"/>
  <c r="U126" i="13" s="1"/>
  <c r="U19" i="15"/>
  <c r="U31" i="15" s="1"/>
  <c r="T108" i="9"/>
  <c r="S209" i="18" s="1"/>
  <c r="S210" i="18" s="1"/>
  <c r="O35" i="17"/>
  <c r="O113" i="17"/>
  <c r="O115" i="17" l="1"/>
  <c r="U33" i="15"/>
  <c r="U220" i="9"/>
  <c r="U66" i="9"/>
  <c r="U72" i="9" s="1"/>
  <c r="T172" i="18" s="1"/>
  <c r="T173" i="18" s="1"/>
  <c r="AF322" i="11"/>
  <c r="U287" i="9"/>
  <c r="U269" i="9"/>
  <c r="T244" i="18" s="1"/>
  <c r="T245" i="18" s="1"/>
  <c r="P84" i="17"/>
  <c r="Q84" i="17" s="1"/>
  <c r="E219" i="17" s="1"/>
  <c r="O171" i="17"/>
  <c r="O39" i="17"/>
  <c r="O34" i="17"/>
  <c r="T159" i="9"/>
  <c r="T160" i="9" s="1"/>
  <c r="T164" i="13"/>
  <c r="U74" i="9" l="1"/>
  <c r="P21" i="17"/>
  <c r="U157" i="9"/>
  <c r="T162" i="9"/>
  <c r="O118" i="17"/>
  <c r="O54" i="17"/>
  <c r="O55" i="17" s="1"/>
  <c r="U277" i="9"/>
  <c r="U279" i="9" s="1"/>
  <c r="U240" i="9"/>
  <c r="T230" i="18" s="1"/>
  <c r="T231" i="18" s="1"/>
  <c r="P71" i="17"/>
  <c r="Q71" i="17" s="1"/>
  <c r="E208" i="17" s="1"/>
  <c r="K219" i="17"/>
  <c r="L219" i="17"/>
  <c r="J219" i="17"/>
  <c r="W85" i="17"/>
  <c r="H219" i="17"/>
  <c r="U159" i="13"/>
  <c r="T132" i="9"/>
  <c r="T141" i="13"/>
  <c r="P86" i="17"/>
  <c r="P124" i="17"/>
  <c r="O119" i="17" l="1"/>
  <c r="P85" i="17"/>
  <c r="Q85" i="17" s="1"/>
  <c r="E220" i="17" s="1"/>
  <c r="Q86" i="17"/>
  <c r="E226" i="17" s="1"/>
  <c r="U109" i="13"/>
  <c r="U123" i="13" s="1"/>
  <c r="U275" i="9"/>
  <c r="U278" i="9" s="1"/>
  <c r="U283" i="9" s="1"/>
  <c r="U286" i="9" s="1"/>
  <c r="U271" i="9"/>
  <c r="R66" i="25" s="1"/>
  <c r="P122" i="17"/>
  <c r="P76" i="17"/>
  <c r="T143" i="13"/>
  <c r="T142" i="13"/>
  <c r="P22" i="17"/>
  <c r="P23" i="17" s="1"/>
  <c r="Q21" i="17"/>
  <c r="O44" i="17"/>
  <c r="O176" i="17" s="1"/>
  <c r="T137" i="9"/>
  <c r="J208" i="17"/>
  <c r="F211" i="17"/>
  <c r="W74" i="17"/>
  <c r="H208" i="17"/>
  <c r="F209" i="17"/>
  <c r="K208" i="17"/>
  <c r="F210" i="17"/>
  <c r="F208" i="17"/>
  <c r="L208" i="17"/>
  <c r="U248" i="11"/>
  <c r="U288" i="11" s="1"/>
  <c r="U301" i="11" s="1"/>
  <c r="P109" i="17"/>
  <c r="R68" i="25" l="1"/>
  <c r="K209" i="17"/>
  <c r="L209" i="17"/>
  <c r="H209" i="17"/>
  <c r="J209" i="17"/>
  <c r="L211" i="17"/>
  <c r="K211" i="17"/>
  <c r="T144" i="13"/>
  <c r="T147" i="13" s="1"/>
  <c r="I211" i="17"/>
  <c r="G210" i="17"/>
  <c r="U288" i="9"/>
  <c r="U290" i="9" s="1"/>
  <c r="U112" i="13"/>
  <c r="U127" i="13" s="1"/>
  <c r="U128" i="13" s="1"/>
  <c r="I209" i="17"/>
  <c r="G208" i="17"/>
  <c r="I208" i="17"/>
  <c r="U320" i="11"/>
  <c r="I210" i="17"/>
  <c r="G209" i="17"/>
  <c r="Q22" i="17"/>
  <c r="Q23" i="17" s="1"/>
  <c r="T148" i="9"/>
  <c r="S216" i="18" s="1"/>
  <c r="S217" i="18" s="1"/>
  <c r="O46" i="17"/>
  <c r="F226" i="17"/>
  <c r="G226" i="17"/>
  <c r="G211" i="17"/>
  <c r="K220" i="17"/>
  <c r="J220" i="17"/>
  <c r="L220" i="17"/>
  <c r="H220" i="17"/>
  <c r="W86" i="17"/>
  <c r="U85" i="9"/>
  <c r="U86" i="9" s="1"/>
  <c r="P125" i="17"/>
  <c r="P87" i="17"/>
  <c r="Q87" i="17" s="1"/>
  <c r="E227" i="17" s="1"/>
  <c r="P75" i="17"/>
  <c r="Q75" i="17" s="1"/>
  <c r="E212" i="17" s="1"/>
  <c r="Q76" i="17"/>
  <c r="E224" i="17" s="1"/>
  <c r="R67" i="25" l="1"/>
  <c r="T195" i="18"/>
  <c r="T196" i="18" s="1"/>
  <c r="T146" i="13"/>
  <c r="T148" i="13" s="1"/>
  <c r="U97" i="9"/>
  <c r="T202" i="18" s="1"/>
  <c r="T203" i="18" s="1"/>
  <c r="U168" i="9"/>
  <c r="V84" i="9"/>
  <c r="P31" i="17"/>
  <c r="U292" i="9"/>
  <c r="U291" i="9"/>
  <c r="F224" i="17"/>
  <c r="G224" i="17"/>
  <c r="O116" i="17"/>
  <c r="T150" i="9"/>
  <c r="O177" i="17"/>
  <c r="O45" i="17"/>
  <c r="O50" i="17"/>
  <c r="O51" i="17" s="1"/>
  <c r="W78" i="17"/>
  <c r="W87" i="17" s="1"/>
  <c r="F218" i="17"/>
  <c r="F221" i="17"/>
  <c r="M221" i="17" s="1"/>
  <c r="F215" i="17"/>
  <c r="F212" i="17"/>
  <c r="H212" i="17" s="1"/>
  <c r="F217" i="17"/>
  <c r="E246" i="17"/>
  <c r="F216" i="17"/>
  <c r="F214" i="17"/>
  <c r="F220" i="17"/>
  <c r="F213" i="17"/>
  <c r="F219" i="17"/>
  <c r="F227" i="17"/>
  <c r="G227" i="17"/>
  <c r="U324" i="11"/>
  <c r="U327" i="11" s="1"/>
  <c r="U331" i="11" s="1"/>
  <c r="U332" i="11" s="1"/>
  <c r="U366" i="11" s="1"/>
  <c r="U323" i="11"/>
  <c r="L213" i="17" l="1"/>
  <c r="K213" i="17"/>
  <c r="J215" i="17"/>
  <c r="H215" i="17"/>
  <c r="K212" i="17"/>
  <c r="L212" i="17"/>
  <c r="J212" i="17"/>
  <c r="U293" i="9"/>
  <c r="G220" i="17"/>
  <c r="U284" i="11"/>
  <c r="U374" i="11" s="1"/>
  <c r="U378" i="11"/>
  <c r="U370" i="11"/>
  <c r="I213" i="17"/>
  <c r="G212" i="17"/>
  <c r="I212" i="17"/>
  <c r="I216" i="17"/>
  <c r="G215" i="17"/>
  <c r="G219" i="17"/>
  <c r="I220" i="17"/>
  <c r="O178" i="17"/>
  <c r="O231" i="17"/>
  <c r="G213" i="17"/>
  <c r="I214" i="17"/>
  <c r="G218" i="17"/>
  <c r="I219" i="17"/>
  <c r="P169" i="17"/>
  <c r="Q31" i="17"/>
  <c r="E192" i="17"/>
  <c r="E193" i="17" s="1"/>
  <c r="E245" i="17" s="1"/>
  <c r="E247" i="17" s="1"/>
  <c r="G217" i="17"/>
  <c r="I218" i="17"/>
  <c r="U325" i="11"/>
  <c r="I215" i="17"/>
  <c r="G214" i="17"/>
  <c r="T164" i="9"/>
  <c r="O117" i="17"/>
  <c r="V19" i="15"/>
  <c r="V31" i="15" s="1"/>
  <c r="V111" i="13"/>
  <c r="V126" i="13" s="1"/>
  <c r="I217" i="17"/>
  <c r="G216" i="17"/>
  <c r="U108" i="9"/>
  <c r="T209" i="18" s="1"/>
  <c r="T210" i="18" s="1"/>
  <c r="P35" i="17"/>
  <c r="P113" i="17"/>
  <c r="O239" i="17" l="1"/>
  <c r="O238" i="17"/>
  <c r="O243" i="17"/>
  <c r="O233" i="17"/>
  <c r="O244" i="17"/>
  <c r="O242" i="17"/>
  <c r="O234" i="17"/>
  <c r="O240" i="17"/>
  <c r="O232" i="17"/>
  <c r="O237" i="17"/>
  <c r="O241" i="17"/>
  <c r="O235" i="17"/>
  <c r="O236" i="17"/>
  <c r="U380" i="11"/>
  <c r="U121" i="9" s="1"/>
  <c r="V365" i="11"/>
  <c r="V33" i="15"/>
  <c r="V220" i="9"/>
  <c r="V66" i="9"/>
  <c r="V72" i="9" s="1"/>
  <c r="V74" i="9" s="1"/>
  <c r="P115" i="17"/>
  <c r="U307" i="11"/>
  <c r="U306" i="11"/>
  <c r="P34" i="17"/>
  <c r="Q34" i="17" s="1"/>
  <c r="P39" i="17"/>
  <c r="Q35" i="17"/>
  <c r="E182" i="17" s="1"/>
  <c r="P171" i="17"/>
  <c r="T165" i="9"/>
  <c r="T166" i="9" s="1"/>
  <c r="U76" i="9"/>
  <c r="T179" i="18" s="1"/>
  <c r="T180" i="18" s="1"/>
  <c r="U308" i="11" l="1"/>
  <c r="V305" i="11" s="1"/>
  <c r="O247" i="17"/>
  <c r="U382" i="11"/>
  <c r="P24" i="17"/>
  <c r="U78" i="9"/>
  <c r="T186" i="18" s="1"/>
  <c r="T187" i="18" s="1"/>
  <c r="V248" i="11"/>
  <c r="V288" i="11" s="1"/>
  <c r="V301" i="11" s="1"/>
  <c r="F183" i="17"/>
  <c r="F182" i="17"/>
  <c r="J182" i="17" s="1"/>
  <c r="V277" i="9"/>
  <c r="V279" i="9" s="1"/>
  <c r="V240" i="9"/>
  <c r="Q39" i="17"/>
  <c r="P42" i="17"/>
  <c r="V377" i="11"/>
  <c r="J183" i="17" l="1"/>
  <c r="H183" i="17"/>
  <c r="L182" i="17"/>
  <c r="K182" i="17"/>
  <c r="H182" i="17"/>
  <c r="V320" i="11"/>
  <c r="G183" i="17"/>
  <c r="U80" i="9"/>
  <c r="U158" i="9"/>
  <c r="U110" i="13"/>
  <c r="U124" i="13" s="1"/>
  <c r="P110" i="17"/>
  <c r="Q42" i="17"/>
  <c r="Q24" i="17"/>
  <c r="P25" i="17"/>
  <c r="P26" i="17" s="1"/>
  <c r="V275" i="9"/>
  <c r="V278" i="9" s="1"/>
  <c r="V283" i="9" s="1"/>
  <c r="V286" i="9" s="1"/>
  <c r="I183" i="17"/>
  <c r="U383" i="11"/>
  <c r="U384" i="11" s="1"/>
  <c r="V112" i="13" l="1"/>
  <c r="V127" i="13" s="1"/>
  <c r="V128" i="13" s="1"/>
  <c r="Q25" i="17"/>
  <c r="Q26" i="17" s="1"/>
  <c r="V324" i="11"/>
  <c r="V327" i="11" s="1"/>
  <c r="V331" i="11" s="1"/>
  <c r="V332" i="11" s="1"/>
  <c r="V366" i="11" s="1"/>
  <c r="V323" i="11"/>
  <c r="U132" i="13"/>
  <c r="U134" i="13" s="1"/>
  <c r="U135" i="13" s="1"/>
  <c r="U125" i="13"/>
  <c r="V284" i="11" l="1"/>
  <c r="V374" i="11" s="1"/>
  <c r="V378" i="11"/>
  <c r="V370" i="11"/>
  <c r="V325" i="11"/>
  <c r="U136" i="13"/>
  <c r="V306" i="11" l="1"/>
  <c r="V307" i="11"/>
  <c r="U160" i="13"/>
  <c r="V139" i="13"/>
  <c r="V162" i="13" s="1"/>
  <c r="V163" i="13" s="1"/>
  <c r="V263" i="9" s="1"/>
  <c r="V380" i="11"/>
  <c r="V121" i="9" s="1"/>
  <c r="W365" i="11"/>
  <c r="V76" i="9"/>
  <c r="V78" i="9" s="1"/>
  <c r="V382" i="11" l="1"/>
  <c r="V383" i="11" s="1"/>
  <c r="V384" i="11" s="1"/>
  <c r="V80" i="9"/>
  <c r="V158" i="9"/>
  <c r="V110" i="13"/>
  <c r="V124" i="13" s="1"/>
  <c r="V132" i="13" s="1"/>
  <c r="V134" i="13" s="1"/>
  <c r="V135" i="13" s="1"/>
  <c r="U159" i="9"/>
  <c r="U160" i="9" s="1"/>
  <c r="U164" i="13"/>
  <c r="W377" i="11"/>
  <c r="V287" i="9"/>
  <c r="V288" i="9" s="1"/>
  <c r="V269" i="9"/>
  <c r="V271" i="9" s="1"/>
  <c r="S66" i="25" s="1"/>
  <c r="V308" i="11"/>
  <c r="W305" i="11" s="1"/>
  <c r="S68" i="25" l="1"/>
  <c r="V157" i="9"/>
  <c r="U162" i="9"/>
  <c r="P54" i="17"/>
  <c r="P118" i="17"/>
  <c r="V290" i="9"/>
  <c r="V85" i="9"/>
  <c r="V86" i="9" s="1"/>
  <c r="S67" i="25" s="1"/>
  <c r="V159" i="13"/>
  <c r="U132" i="9"/>
  <c r="U141" i="13"/>
  <c r="P119" i="17" l="1"/>
  <c r="V292" i="9"/>
  <c r="V291" i="9"/>
  <c r="V168" i="9"/>
  <c r="V97" i="9"/>
  <c r="V108" i="9" s="1"/>
  <c r="W84" i="9"/>
  <c r="P55" i="17"/>
  <c r="Q55" i="17" s="1"/>
  <c r="Q54" i="17"/>
  <c r="U142" i="13"/>
  <c r="U143" i="13"/>
  <c r="P44" i="17"/>
  <c r="U137" i="9"/>
  <c r="V109" i="13"/>
  <c r="V123" i="13" s="1"/>
  <c r="V125" i="13" s="1"/>
  <c r="V136" i="13" s="1"/>
  <c r="V293" i="9" l="1"/>
  <c r="U144" i="13"/>
  <c r="U146" i="13" s="1"/>
  <c r="U148" i="9"/>
  <c r="T216" i="18" s="1"/>
  <c r="T217" i="18" s="1"/>
  <c r="P46" i="17"/>
  <c r="Q44" i="17"/>
  <c r="P176" i="17"/>
  <c r="V160" i="13"/>
  <c r="W139" i="13"/>
  <c r="W162" i="13" s="1"/>
  <c r="W163" i="13" s="1"/>
  <c r="W263" i="9" s="1"/>
  <c r="W19" i="15"/>
  <c r="W31" i="15" s="1"/>
  <c r="W111" i="13"/>
  <c r="W126" i="13" s="1"/>
  <c r="U147" i="13" l="1"/>
  <c r="U148" i="13" s="1"/>
  <c r="V159" i="9"/>
  <c r="V160" i="9" s="1"/>
  <c r="V164" i="13"/>
  <c r="W33" i="15"/>
  <c r="W220" i="9"/>
  <c r="W66" i="9"/>
  <c r="W72" i="9" s="1"/>
  <c r="W74" i="9" s="1"/>
  <c r="P116" i="17"/>
  <c r="U150" i="9"/>
  <c r="Q46" i="17"/>
  <c r="E184" i="17" s="1"/>
  <c r="P45" i="17"/>
  <c r="Q45" i="17" s="1"/>
  <c r="P177" i="17"/>
  <c r="P50" i="17"/>
  <c r="W287" i="9"/>
  <c r="W269" i="9"/>
  <c r="W248" i="11" l="1"/>
  <c r="W288" i="11" s="1"/>
  <c r="W301" i="11" s="1"/>
  <c r="Q50" i="17"/>
  <c r="P51" i="17"/>
  <c r="W159" i="13"/>
  <c r="V132" i="9"/>
  <c r="V137" i="9" s="1"/>
  <c r="V148" i="9" s="1"/>
  <c r="V150" i="9" s="1"/>
  <c r="V141" i="13"/>
  <c r="W277" i="9"/>
  <c r="W279" i="9" s="1"/>
  <c r="W240" i="9"/>
  <c r="W157" i="9"/>
  <c r="V162" i="9"/>
  <c r="U164" i="9"/>
  <c r="P117" i="17"/>
  <c r="E186" i="17"/>
  <c r="F186" i="17"/>
  <c r="M186" i="17" s="1"/>
  <c r="F184" i="17"/>
  <c r="K184" i="17" s="1"/>
  <c r="F185" i="17"/>
  <c r="L185" i="17" l="1"/>
  <c r="K185" i="17"/>
  <c r="H184" i="17"/>
  <c r="J184" i="17"/>
  <c r="L184" i="17"/>
  <c r="G185" i="17"/>
  <c r="V164" i="9"/>
  <c r="V165" i="9" s="1"/>
  <c r="V166" i="9" s="1"/>
  <c r="P178" i="17"/>
  <c r="Q51" i="17"/>
  <c r="P231" i="17"/>
  <c r="U165" i="9"/>
  <c r="U166" i="9" s="1"/>
  <c r="W320" i="11"/>
  <c r="V142" i="13"/>
  <c r="V143" i="13"/>
  <c r="I185" i="17"/>
  <c r="G184" i="17"/>
  <c r="I184" i="17"/>
  <c r="W109" i="13"/>
  <c r="W123" i="13" s="1"/>
  <c r="W271" i="9"/>
  <c r="T66" i="25" s="1"/>
  <c r="W275" i="9"/>
  <c r="W278" i="9" s="1"/>
  <c r="W283" i="9" s="1"/>
  <c r="W286" i="9" s="1"/>
  <c r="T68" i="25" l="1"/>
  <c r="V144" i="13"/>
  <c r="V147" i="13" s="1"/>
  <c r="W324" i="11"/>
  <c r="W327" i="11" s="1"/>
  <c r="W331" i="11" s="1"/>
  <c r="W323" i="11"/>
  <c r="P238" i="17"/>
  <c r="P233" i="17"/>
  <c r="P241" i="17"/>
  <c r="P244" i="17"/>
  <c r="P239" i="17"/>
  <c r="P242" i="17"/>
  <c r="P236" i="17"/>
  <c r="P234" i="17"/>
  <c r="P232" i="17"/>
  <c r="P237" i="17"/>
  <c r="P235" i="17"/>
  <c r="P243" i="17"/>
  <c r="P240" i="17"/>
  <c r="W288" i="9"/>
  <c r="W290" i="9" s="1"/>
  <c r="W112" i="13"/>
  <c r="W127" i="13" s="1"/>
  <c r="W128" i="13" s="1"/>
  <c r="W85" i="9"/>
  <c r="W86" i="9" s="1"/>
  <c r="T67" i="25" s="1"/>
  <c r="V146" i="13" l="1"/>
  <c r="V148" i="13" s="1"/>
  <c r="W325" i="11"/>
  <c r="W307" i="11" s="1"/>
  <c r="P247" i="17"/>
  <c r="D247" i="17" s="1"/>
  <c r="K10" i="2" s="1"/>
  <c r="M10" i="2" s="1"/>
  <c r="W168" i="9"/>
  <c r="W97" i="9"/>
  <c r="W108" i="9" s="1"/>
  <c r="X84" i="9"/>
  <c r="W332" i="11"/>
  <c r="W366" i="11" s="1"/>
  <c r="W339" i="11"/>
  <c r="W341" i="11" s="1"/>
  <c r="W292" i="9"/>
  <c r="W291" i="9"/>
  <c r="W306" i="11" l="1"/>
  <c r="W308" i="11" s="1"/>
  <c r="X305" i="11" s="1"/>
  <c r="W293" i="9"/>
  <c r="W271" i="11"/>
  <c r="W345" i="11"/>
  <c r="W284" i="11"/>
  <c r="W374" i="11" s="1"/>
  <c r="W378" i="11"/>
  <c r="W370" i="11"/>
  <c r="X19" i="15"/>
  <c r="X31" i="15" s="1"/>
  <c r="X111" i="13"/>
  <c r="X126" i="13" s="1"/>
  <c r="W76" i="9" l="1"/>
  <c r="W78" i="9" s="1"/>
  <c r="X33" i="15"/>
  <c r="X220" i="9"/>
  <c r="X66" i="9"/>
  <c r="X72" i="9" s="1"/>
  <c r="X74" i="9" s="1"/>
  <c r="X348" i="11"/>
  <c r="X368" i="11" s="1"/>
  <c r="X369" i="11" s="1"/>
  <c r="X379" i="11" s="1"/>
  <c r="X235" i="9" s="1"/>
  <c r="Z340" i="11"/>
  <c r="W380" i="11"/>
  <c r="W121" i="9" s="1"/>
  <c r="X365" i="11"/>
  <c r="X248" i="11" l="1"/>
  <c r="X288" i="11" s="1"/>
  <c r="X301" i="11" s="1"/>
  <c r="X377" i="11"/>
  <c r="X277" i="9"/>
  <c r="X279" i="9" s="1"/>
  <c r="X240" i="9"/>
  <c r="W80" i="9"/>
  <c r="W158" i="9"/>
  <c r="W110" i="13"/>
  <c r="W124" i="13" s="1"/>
  <c r="W382" i="11"/>
  <c r="X275" i="9" l="1"/>
  <c r="X278" i="9" s="1"/>
  <c r="X283" i="9" s="1"/>
  <c r="X286" i="9" s="1"/>
  <c r="X320" i="11"/>
  <c r="W383" i="11"/>
  <c r="W384" i="11" s="1"/>
  <c r="W132" i="13"/>
  <c r="W134" i="13" s="1"/>
  <c r="W135" i="13" s="1"/>
  <c r="W125" i="13"/>
  <c r="X323" i="11" l="1"/>
  <c r="X324" i="11"/>
  <c r="X327" i="11" s="1"/>
  <c r="X331" i="11" s="1"/>
  <c r="X332" i="11" s="1"/>
  <c r="X366" i="11" s="1"/>
  <c r="W136" i="13"/>
  <c r="X112" i="13"/>
  <c r="X127" i="13" s="1"/>
  <c r="X128" i="13" s="1"/>
  <c r="X325" i="11" l="1"/>
  <c r="X306" i="11" s="1"/>
  <c r="X378" i="11"/>
  <c r="X284" i="11"/>
  <c r="X374" i="11" s="1"/>
  <c r="X370" i="11"/>
  <c r="W160" i="13"/>
  <c r="X139" i="13"/>
  <c r="X162" i="13" s="1"/>
  <c r="X163" i="13" s="1"/>
  <c r="X263" i="9" s="1"/>
  <c r="X307" i="11" l="1"/>
  <c r="X308" i="11" s="1"/>
  <c r="Y305" i="11" s="1"/>
  <c r="X287" i="9"/>
  <c r="X288" i="9" s="1"/>
  <c r="X269" i="9"/>
  <c r="X271" i="9" s="1"/>
  <c r="U66" i="25" s="1"/>
  <c r="W159" i="9"/>
  <c r="W160" i="9" s="1"/>
  <c r="W164" i="13"/>
  <c r="X380" i="11"/>
  <c r="X121" i="9" s="1"/>
  <c r="Y365" i="11"/>
  <c r="X76" i="9"/>
  <c r="X78" i="9" s="1"/>
  <c r="U68" i="25" l="1"/>
  <c r="Y377" i="11"/>
  <c r="X290" i="9"/>
  <c r="X85" i="9"/>
  <c r="X86" i="9" s="1"/>
  <c r="U67" i="25" s="1"/>
  <c r="X159" i="13"/>
  <c r="W132" i="9"/>
  <c r="W137" i="9" s="1"/>
  <c r="W148" i="9" s="1"/>
  <c r="W150" i="9" s="1"/>
  <c r="W141" i="13"/>
  <c r="X157" i="9"/>
  <c r="W162" i="9"/>
  <c r="X382" i="11"/>
  <c r="X80" i="9"/>
  <c r="X158" i="9"/>
  <c r="X110" i="13"/>
  <c r="X124" i="13" s="1"/>
  <c r="X132" i="13" s="1"/>
  <c r="X134" i="13" s="1"/>
  <c r="X135" i="13" s="1"/>
  <c r="W164" i="9" l="1"/>
  <c r="W165" i="9" s="1"/>
  <c r="W166" i="9" s="1"/>
  <c r="W142" i="13"/>
  <c r="W143" i="13"/>
  <c r="X97" i="9"/>
  <c r="X108" i="9" s="1"/>
  <c r="X168" i="9"/>
  <c r="Y84" i="9"/>
  <c r="X292" i="9"/>
  <c r="X291" i="9"/>
  <c r="X383" i="11"/>
  <c r="X384" i="11" s="1"/>
  <c r="X109" i="13"/>
  <c r="X123" i="13" s="1"/>
  <c r="X125" i="13" s="1"/>
  <c r="X136" i="13" s="1"/>
  <c r="W144" i="13" l="1"/>
  <c r="W147" i="13" s="1"/>
  <c r="X293" i="9"/>
  <c r="Y19" i="15"/>
  <c r="Y31" i="15" s="1"/>
  <c r="Y111" i="13"/>
  <c r="Y126" i="13" s="1"/>
  <c r="X160" i="13"/>
  <c r="Y139" i="13"/>
  <c r="Y162" i="13" s="1"/>
  <c r="Y163" i="13" s="1"/>
  <c r="Y263" i="9" s="1"/>
  <c r="W146" i="13" l="1"/>
  <c r="W148" i="13" s="1"/>
  <c r="Y287" i="9"/>
  <c r="Y269" i="9"/>
  <c r="X159" i="9"/>
  <c r="X160" i="9" s="1"/>
  <c r="X164" i="13"/>
  <c r="Y33" i="15"/>
  <c r="Y220" i="9"/>
  <c r="Y66" i="9"/>
  <c r="Y72" i="9" s="1"/>
  <c r="Y74" i="9" s="1"/>
  <c r="Y248" i="11" l="1"/>
  <c r="Y288" i="11" s="1"/>
  <c r="Y301" i="11" s="1"/>
  <c r="Y320" i="11" s="1"/>
  <c r="Y277" i="9"/>
  <c r="Y279" i="9" s="1"/>
  <c r="Y240" i="9"/>
  <c r="Y157" i="9"/>
  <c r="X162" i="9"/>
  <c r="Y159" i="13"/>
  <c r="X132" i="9"/>
  <c r="X137" i="9" s="1"/>
  <c r="X148" i="9" s="1"/>
  <c r="X150" i="9" s="1"/>
  <c r="X141" i="13"/>
  <c r="X164" i="9" l="1"/>
  <c r="X165" i="9" s="1"/>
  <c r="X166" i="9" s="1"/>
  <c r="Y109" i="13"/>
  <c r="Y123" i="13" s="1"/>
  <c r="Y324" i="11"/>
  <c r="Y327" i="11" s="1"/>
  <c r="Y331" i="11" s="1"/>
  <c r="Y332" i="11" s="1"/>
  <c r="Y366" i="11" s="1"/>
  <c r="Y323" i="11"/>
  <c r="Y271" i="9"/>
  <c r="V66" i="25" s="1"/>
  <c r="Y275" i="9"/>
  <c r="Y278" i="9" s="1"/>
  <c r="Y283" i="9" s="1"/>
  <c r="Y286" i="9" s="1"/>
  <c r="X142" i="13"/>
  <c r="X143" i="13"/>
  <c r="V68" i="25" l="1"/>
  <c r="Y325" i="11"/>
  <c r="Y306" i="11" s="1"/>
  <c r="X144" i="13"/>
  <c r="X146" i="13" s="1"/>
  <c r="Y378" i="11"/>
  <c r="Y284" i="11"/>
  <c r="Y374" i="11" s="1"/>
  <c r="Y370" i="11"/>
  <c r="Y288" i="9"/>
  <c r="Y290" i="9" s="1"/>
  <c r="Y112" i="13"/>
  <c r="Y127" i="13" s="1"/>
  <c r="Y128" i="13" s="1"/>
  <c r="Y85" i="9"/>
  <c r="Y86" i="9" s="1"/>
  <c r="V67" i="25" s="1"/>
  <c r="Y307" i="11" l="1"/>
  <c r="Y308" i="11" s="1"/>
  <c r="Z305" i="11" s="1"/>
  <c r="X147" i="13"/>
  <c r="X148" i="13" s="1"/>
  <c r="Y168" i="9"/>
  <c r="Y97" i="9"/>
  <c r="Y108" i="9" s="1"/>
  <c r="Z84" i="9"/>
  <c r="Y76" i="9"/>
  <c r="Y78" i="9" s="1"/>
  <c r="Y380" i="11"/>
  <c r="Y121" i="9" s="1"/>
  <c r="Z365" i="11"/>
  <c r="Y292" i="9"/>
  <c r="Y291" i="9"/>
  <c r="Y293" i="9" l="1"/>
  <c r="Y80" i="9"/>
  <c r="Y158" i="9"/>
  <c r="Y110" i="13"/>
  <c r="Y124" i="13" s="1"/>
  <c r="Z111" i="13"/>
  <c r="Z126" i="13" s="1"/>
  <c r="Z19" i="15"/>
  <c r="Z31" i="15" s="1"/>
  <c r="Z377" i="11"/>
  <c r="Y382" i="11"/>
  <c r="Z33" i="15" l="1"/>
  <c r="Z66" i="9"/>
  <c r="Z72" i="9" s="1"/>
  <c r="Z74" i="9" s="1"/>
  <c r="Z220" i="9"/>
  <c r="Y383" i="11"/>
  <c r="Y384" i="11" s="1"/>
  <c r="Y132" i="13"/>
  <c r="Y134" i="13" s="1"/>
  <c r="Y135" i="13" s="1"/>
  <c r="Y125" i="13"/>
  <c r="Z277" i="9" l="1"/>
  <c r="Z279" i="9" s="1"/>
  <c r="Z240" i="9"/>
  <c r="Z248" i="11"/>
  <c r="Z288" i="11" s="1"/>
  <c r="Z301" i="11" s="1"/>
  <c r="Z320" i="11" s="1"/>
  <c r="Y136" i="13"/>
  <c r="Y160" i="13" l="1"/>
  <c r="Z139" i="13"/>
  <c r="Z162" i="13" s="1"/>
  <c r="Z163" i="13" s="1"/>
  <c r="Z263" i="9" s="1"/>
  <c r="Z275" i="9"/>
  <c r="Z278" i="9" s="1"/>
  <c r="Z283" i="9" s="1"/>
  <c r="Z286" i="9" s="1"/>
  <c r="Z324" i="11"/>
  <c r="Z327" i="11" s="1"/>
  <c r="Z331" i="11" s="1"/>
  <c r="Z323" i="11"/>
  <c r="Z325" i="11" l="1"/>
  <c r="Z306" i="11" s="1"/>
  <c r="Z332" i="11"/>
  <c r="Z366" i="11" s="1"/>
  <c r="Z339" i="11"/>
  <c r="Z341" i="11" s="1"/>
  <c r="Z287" i="9"/>
  <c r="Z288" i="9" s="1"/>
  <c r="Z269" i="9"/>
  <c r="Z271" i="9" s="1"/>
  <c r="W66" i="25" s="1"/>
  <c r="Z112" i="13"/>
  <c r="Z127" i="13" s="1"/>
  <c r="Z128" i="13" s="1"/>
  <c r="Y159" i="9"/>
  <c r="Y160" i="9" s="1"/>
  <c r="Y164" i="13"/>
  <c r="W68" i="25" l="1"/>
  <c r="Z307" i="11"/>
  <c r="Z308" i="11" s="1"/>
  <c r="AA305" i="11" s="1"/>
  <c r="Z290" i="9"/>
  <c r="Z85" i="9"/>
  <c r="Z86" i="9" s="1"/>
  <c r="W67" i="25" s="1"/>
  <c r="Z271" i="11"/>
  <c r="Z345" i="11"/>
  <c r="Z159" i="13"/>
  <c r="Y132" i="9"/>
  <c r="Y137" i="9" s="1"/>
  <c r="Y148" i="9" s="1"/>
  <c r="Y150" i="9" s="1"/>
  <c r="Y141" i="13"/>
  <c r="Z157" i="9"/>
  <c r="Y162" i="9"/>
  <c r="Z284" i="11"/>
  <c r="Z374" i="11" s="1"/>
  <c r="Z378" i="11"/>
  <c r="Z370" i="11"/>
  <c r="Y164" i="9" l="1"/>
  <c r="Y165" i="9" s="1"/>
  <c r="Y166" i="9" s="1"/>
  <c r="Y143" i="13"/>
  <c r="Y142" i="13"/>
  <c r="Z380" i="11"/>
  <c r="Z121" i="9" s="1"/>
  <c r="AA365" i="11"/>
  <c r="Z76" i="9"/>
  <c r="Z78" i="9" s="1"/>
  <c r="AA348" i="11"/>
  <c r="AA368" i="11" s="1"/>
  <c r="AA369" i="11" s="1"/>
  <c r="AA379" i="11" s="1"/>
  <c r="AA235" i="9" s="1"/>
  <c r="AC340" i="11"/>
  <c r="Z97" i="9"/>
  <c r="Z108" i="9" s="1"/>
  <c r="Z168" i="9"/>
  <c r="AA84" i="9"/>
  <c r="Z109" i="13"/>
  <c r="Z123" i="13" s="1"/>
  <c r="Z292" i="9"/>
  <c r="Z291" i="9"/>
  <c r="Z293" i="9" l="1"/>
  <c r="Y144" i="13"/>
  <c r="Y147" i="13" s="1"/>
  <c r="AA377" i="11"/>
  <c r="Z80" i="9"/>
  <c r="Z158" i="9"/>
  <c r="Z110" i="13"/>
  <c r="Z124" i="13" s="1"/>
  <c r="Z132" i="13" s="1"/>
  <c r="Z134" i="13" s="1"/>
  <c r="Z135" i="13" s="1"/>
  <c r="AA111" i="13"/>
  <c r="AA126" i="13" s="1"/>
  <c r="AA19" i="15"/>
  <c r="AA31" i="15" s="1"/>
  <c r="Z382" i="11"/>
  <c r="Y146" i="13" l="1"/>
  <c r="Y148" i="13" s="1"/>
  <c r="Z125" i="13"/>
  <c r="Z136" i="13" s="1"/>
  <c r="Z383" i="11"/>
  <c r="Z384" i="11" s="1"/>
  <c r="AA33" i="15"/>
  <c r="AA220" i="9"/>
  <c r="AA66" i="9"/>
  <c r="AA72" i="9" s="1"/>
  <c r="AA74" i="9" s="1"/>
  <c r="AA277" i="9" l="1"/>
  <c r="AA279" i="9" s="1"/>
  <c r="AA240" i="9"/>
  <c r="AA248" i="11"/>
  <c r="AA288" i="11" s="1"/>
  <c r="AA301" i="11" s="1"/>
  <c r="AA320" i="11" s="1"/>
  <c r="Z160" i="13"/>
  <c r="AA139" i="13"/>
  <c r="AA162" i="13" s="1"/>
  <c r="AA163" i="13" s="1"/>
  <c r="AA263" i="9" s="1"/>
  <c r="AA324" i="11" l="1"/>
  <c r="AA327" i="11" s="1"/>
  <c r="AA331" i="11" s="1"/>
  <c r="AA332" i="11" s="1"/>
  <c r="AA366" i="11" s="1"/>
  <c r="AA323" i="11"/>
  <c r="AA287" i="9"/>
  <c r="AA269" i="9"/>
  <c r="AA271" i="9" s="1"/>
  <c r="X66" i="25" s="1"/>
  <c r="AA275" i="9"/>
  <c r="AA278" i="9" s="1"/>
  <c r="AA283" i="9" s="1"/>
  <c r="AA286" i="9" s="1"/>
  <c r="Z159" i="9"/>
  <c r="Z160" i="9" s="1"/>
  <c r="Z164" i="13"/>
  <c r="X68" i="25" l="1"/>
  <c r="AA325" i="11"/>
  <c r="AA306" i="11" s="1"/>
  <c r="AA284" i="11"/>
  <c r="AA374" i="11" s="1"/>
  <c r="AA378" i="11"/>
  <c r="AA370" i="11"/>
  <c r="AA85" i="9"/>
  <c r="AA86" i="9" s="1"/>
  <c r="X67" i="25" s="1"/>
  <c r="AA157" i="9"/>
  <c r="Z162" i="9"/>
  <c r="AA288" i="9"/>
  <c r="AA290" i="9" s="1"/>
  <c r="AA112" i="13"/>
  <c r="AA127" i="13" s="1"/>
  <c r="AA128" i="13" s="1"/>
  <c r="AA159" i="13"/>
  <c r="Z132" i="9"/>
  <c r="Z137" i="9" s="1"/>
  <c r="Z148" i="9" s="1"/>
  <c r="Z150" i="9" s="1"/>
  <c r="Z141" i="13"/>
  <c r="AA307" i="11" l="1"/>
  <c r="AA308" i="11" s="1"/>
  <c r="AB305" i="11" s="1"/>
  <c r="Z164" i="9"/>
  <c r="Z165" i="9" s="1"/>
  <c r="Z166" i="9" s="1"/>
  <c r="AA292" i="9"/>
  <c r="AA291" i="9"/>
  <c r="Z143" i="13"/>
  <c r="Z142" i="13"/>
  <c r="AA109" i="13"/>
  <c r="AA123" i="13" s="1"/>
  <c r="AA168" i="9"/>
  <c r="AA97" i="9"/>
  <c r="AA108" i="9" s="1"/>
  <c r="AB84" i="9"/>
  <c r="AA380" i="11"/>
  <c r="AA121" i="9" s="1"/>
  <c r="AB365" i="11"/>
  <c r="AA76" i="9"/>
  <c r="AA78" i="9" s="1"/>
  <c r="AA293" i="9" l="1"/>
  <c r="Z144" i="13"/>
  <c r="Z146" i="13" s="1"/>
  <c r="AB377" i="11"/>
  <c r="AB111" i="13"/>
  <c r="AB126" i="13" s="1"/>
  <c r="AB19" i="15"/>
  <c r="AB31" i="15" s="1"/>
  <c r="AA382" i="11"/>
  <c r="AA80" i="9"/>
  <c r="AA158" i="9"/>
  <c r="AA110" i="13"/>
  <c r="AA124" i="13" s="1"/>
  <c r="AA132" i="13" s="1"/>
  <c r="AA134" i="13" s="1"/>
  <c r="AA135" i="13" s="1"/>
  <c r="Z147" i="13" l="1"/>
  <c r="Z148" i="13" s="1"/>
  <c r="AA383" i="11"/>
  <c r="AA384" i="11" s="1"/>
  <c r="AB33" i="15"/>
  <c r="AB220" i="9"/>
  <c r="AB66" i="9"/>
  <c r="AB72" i="9" s="1"/>
  <c r="AB74" i="9" s="1"/>
  <c r="AA125" i="13"/>
  <c r="AA136" i="13" s="1"/>
  <c r="AA160" i="13" l="1"/>
  <c r="AB139" i="13"/>
  <c r="AB162" i="13" s="1"/>
  <c r="AB163" i="13" s="1"/>
  <c r="AB263" i="9" s="1"/>
  <c r="AB277" i="9"/>
  <c r="AB279" i="9" s="1"/>
  <c r="AB240" i="9"/>
  <c r="AB248" i="11"/>
  <c r="AB288" i="11" s="1"/>
  <c r="AB301" i="11" s="1"/>
  <c r="AB320" i="11" s="1"/>
  <c r="AB275" i="9" l="1"/>
  <c r="AB278" i="9" s="1"/>
  <c r="AB283" i="9" s="1"/>
  <c r="AB286" i="9" s="1"/>
  <c r="AB287" i="9"/>
  <c r="AB269" i="9"/>
  <c r="AB271" i="9" s="1"/>
  <c r="Y66" i="25" s="1"/>
  <c r="AB324" i="11"/>
  <c r="AB327" i="11" s="1"/>
  <c r="AB331" i="11" s="1"/>
  <c r="AB332" i="11" s="1"/>
  <c r="AB366" i="11" s="1"/>
  <c r="AB323" i="11"/>
  <c r="AA159" i="9"/>
  <c r="AA160" i="9" s="1"/>
  <c r="AA164" i="13"/>
  <c r="Y68" i="25" l="1"/>
  <c r="AB325" i="11"/>
  <c r="AB307" i="11" s="1"/>
  <c r="AB85" i="9"/>
  <c r="AB86" i="9" s="1"/>
  <c r="Y67" i="25" s="1"/>
  <c r="AB284" i="11"/>
  <c r="AB374" i="11" s="1"/>
  <c r="AB378" i="11"/>
  <c r="AB370" i="11"/>
  <c r="AB157" i="9"/>
  <c r="AA162" i="9"/>
  <c r="AB288" i="9"/>
  <c r="AB290" i="9" s="1"/>
  <c r="AB112" i="13"/>
  <c r="AB127" i="13" s="1"/>
  <c r="AB128" i="13" s="1"/>
  <c r="AB159" i="13"/>
  <c r="AA132" i="9"/>
  <c r="AA137" i="9" s="1"/>
  <c r="AA148" i="9" s="1"/>
  <c r="AA150" i="9" s="1"/>
  <c r="AA141" i="13"/>
  <c r="AB306" i="11" l="1"/>
  <c r="AB308" i="11" s="1"/>
  <c r="AC305" i="11" s="1"/>
  <c r="AA164" i="9"/>
  <c r="AA165" i="9" s="1"/>
  <c r="AA166" i="9" s="1"/>
  <c r="AB292" i="9"/>
  <c r="AB291" i="9"/>
  <c r="AB380" i="11"/>
  <c r="AB121" i="9" s="1"/>
  <c r="AC365" i="11"/>
  <c r="AB109" i="13"/>
  <c r="AB123" i="13" s="1"/>
  <c r="AA143" i="13"/>
  <c r="AA142" i="13"/>
  <c r="AB168" i="9"/>
  <c r="AB97" i="9"/>
  <c r="AB108" i="9" s="1"/>
  <c r="AC84" i="9"/>
  <c r="AB76" i="9"/>
  <c r="AB78" i="9" s="1"/>
  <c r="AB382" i="11" l="1"/>
  <c r="AB383" i="11" s="1"/>
  <c r="AB384" i="11" s="1"/>
  <c r="AA144" i="13"/>
  <c r="AA147" i="13" s="1"/>
  <c r="AB293" i="9"/>
  <c r="AC377" i="11"/>
  <c r="AC111" i="13"/>
  <c r="AC126" i="13" s="1"/>
  <c r="AC19" i="15"/>
  <c r="AC31" i="15" s="1"/>
  <c r="AB80" i="9"/>
  <c r="AB158" i="9"/>
  <c r="AB110" i="13"/>
  <c r="AB124" i="13" s="1"/>
  <c r="AB132" i="13" s="1"/>
  <c r="AB134" i="13" s="1"/>
  <c r="AB135" i="13" s="1"/>
  <c r="AA146" i="13" l="1"/>
  <c r="AA148" i="13" s="1"/>
  <c r="AB125" i="13"/>
  <c r="AB136" i="13" s="1"/>
  <c r="AC33" i="15"/>
  <c r="AC220" i="9"/>
  <c r="AC66" i="9"/>
  <c r="AC72" i="9" s="1"/>
  <c r="AC74" i="9" s="1"/>
  <c r="AC277" i="9" l="1"/>
  <c r="AC279" i="9" s="1"/>
  <c r="AC240" i="9"/>
  <c r="AB160" i="13"/>
  <c r="AC139" i="13"/>
  <c r="AC162" i="13" s="1"/>
  <c r="AC163" i="13" s="1"/>
  <c r="AC263" i="9" s="1"/>
  <c r="AC248" i="11"/>
  <c r="AC288" i="11" s="1"/>
  <c r="AC301" i="11" s="1"/>
  <c r="AC320" i="11" s="1"/>
  <c r="AC323" i="11" l="1"/>
  <c r="AC324" i="11"/>
  <c r="AC327" i="11" s="1"/>
  <c r="AC331" i="11" s="1"/>
  <c r="AC275" i="9"/>
  <c r="AC278" i="9" s="1"/>
  <c r="AC283" i="9" s="1"/>
  <c r="AC286" i="9" s="1"/>
  <c r="AC287" i="9"/>
  <c r="AC269" i="9"/>
  <c r="AC271" i="9" s="1"/>
  <c r="Z66" i="25" s="1"/>
  <c r="AB159" i="9"/>
  <c r="AB160" i="9" s="1"/>
  <c r="AB164" i="13"/>
  <c r="Z68" i="25" l="1"/>
  <c r="AC85" i="9"/>
  <c r="AC86" i="9" s="1"/>
  <c r="Z67" i="25" s="1"/>
  <c r="AC332" i="11"/>
  <c r="AC366" i="11" s="1"/>
  <c r="AC339" i="11"/>
  <c r="AC341" i="11" s="1"/>
  <c r="AC157" i="9"/>
  <c r="AB162" i="9"/>
  <c r="AC288" i="9"/>
  <c r="AC290" i="9" s="1"/>
  <c r="AC112" i="13"/>
  <c r="AC127" i="13" s="1"/>
  <c r="AC128" i="13" s="1"/>
  <c r="AC159" i="13"/>
  <c r="AB132" i="9"/>
  <c r="AB137" i="9" s="1"/>
  <c r="AB148" i="9" s="1"/>
  <c r="AB150" i="9" s="1"/>
  <c r="AB141" i="13"/>
  <c r="AC325" i="11"/>
  <c r="AC292" i="9" l="1"/>
  <c r="AC291" i="9"/>
  <c r="AC109" i="13"/>
  <c r="AC123" i="13" s="1"/>
  <c r="AC271" i="11"/>
  <c r="AC345" i="11"/>
  <c r="AC307" i="11"/>
  <c r="AC306" i="11"/>
  <c r="AC284" i="11"/>
  <c r="AC374" i="11" s="1"/>
  <c r="AC378" i="11"/>
  <c r="AC370" i="11"/>
  <c r="AB164" i="9"/>
  <c r="AC97" i="9"/>
  <c r="AC108" i="9" s="1"/>
  <c r="AC168" i="9"/>
  <c r="AD84" i="9"/>
  <c r="AB143" i="13"/>
  <c r="AB142" i="13"/>
  <c r="AB144" i="13" l="1"/>
  <c r="AB147" i="13" s="1"/>
  <c r="AC293" i="9"/>
  <c r="AD19" i="15"/>
  <c r="AD31" i="15" s="1"/>
  <c r="AD111" i="13"/>
  <c r="AD126" i="13" s="1"/>
  <c r="AD348" i="11"/>
  <c r="AD368" i="11" s="1"/>
  <c r="AD369" i="11" s="1"/>
  <c r="AD379" i="11" s="1"/>
  <c r="AD235" i="9" s="1"/>
  <c r="AF340" i="11"/>
  <c r="AC380" i="11"/>
  <c r="AC121" i="9" s="1"/>
  <c r="AD365" i="11"/>
  <c r="AB165" i="9"/>
  <c r="AB166" i="9" s="1"/>
  <c r="AC76" i="9"/>
  <c r="AC78" i="9" s="1"/>
  <c r="AC308" i="11"/>
  <c r="AD305" i="11" s="1"/>
  <c r="AB146" i="13" l="1"/>
  <c r="AB148" i="13" s="1"/>
  <c r="AC382" i="11"/>
  <c r="AC383" i="11" s="1"/>
  <c r="AC384" i="11" s="1"/>
  <c r="AD33" i="15"/>
  <c r="AD66" i="9"/>
  <c r="AD72" i="9" s="1"/>
  <c r="AD74" i="9" s="1"/>
  <c r="AD220" i="9"/>
  <c r="AC80" i="9"/>
  <c r="AC158" i="9"/>
  <c r="AC110" i="13"/>
  <c r="AC124" i="13" s="1"/>
  <c r="AD377" i="11"/>
  <c r="AC132" i="13" l="1"/>
  <c r="AC134" i="13" s="1"/>
  <c r="AC135" i="13" s="1"/>
  <c r="AC125" i="13"/>
  <c r="AD277" i="9"/>
  <c r="AD279" i="9" s="1"/>
  <c r="AD240" i="9"/>
  <c r="AD248" i="11"/>
  <c r="AD288" i="11" s="1"/>
  <c r="AD301" i="11" s="1"/>
  <c r="AD320" i="11" s="1"/>
  <c r="AD323" i="11" l="1"/>
  <c r="AD324" i="11"/>
  <c r="AD327" i="11" s="1"/>
  <c r="AD331" i="11" s="1"/>
  <c r="AD332" i="11" s="1"/>
  <c r="AD366" i="11" s="1"/>
  <c r="AD275" i="9"/>
  <c r="AD278" i="9" s="1"/>
  <c r="AD283" i="9" s="1"/>
  <c r="AD286" i="9" s="1"/>
  <c r="AC136" i="13"/>
  <c r="AD378" i="11" l="1"/>
  <c r="AD284" i="11"/>
  <c r="AD374" i="11" s="1"/>
  <c r="AD370" i="11"/>
  <c r="AD112" i="13"/>
  <c r="AD127" i="13" s="1"/>
  <c r="AD128" i="13" s="1"/>
  <c r="AC160" i="13"/>
  <c r="AD139" i="13"/>
  <c r="AD162" i="13" s="1"/>
  <c r="AD163" i="13" s="1"/>
  <c r="AD263" i="9" s="1"/>
  <c r="AD325" i="11"/>
  <c r="AD306" i="11" l="1"/>
  <c r="AD307" i="11"/>
  <c r="AD287" i="9"/>
  <c r="AD288" i="9" s="1"/>
  <c r="AD269" i="9"/>
  <c r="AD271" i="9" s="1"/>
  <c r="AA66" i="25" s="1"/>
  <c r="AC159" i="9"/>
  <c r="AC160" i="9" s="1"/>
  <c r="AC164" i="13"/>
  <c r="AD76" i="9"/>
  <c r="AD78" i="9" s="1"/>
  <c r="AD380" i="11"/>
  <c r="AD121" i="9" s="1"/>
  <c r="AE365" i="11"/>
  <c r="AA68" i="25" l="1"/>
  <c r="AD382" i="11"/>
  <c r="AD383" i="11" s="1"/>
  <c r="AD384" i="11" s="1"/>
  <c r="AD80" i="9"/>
  <c r="AD158" i="9"/>
  <c r="AD110" i="13"/>
  <c r="AD124" i="13" s="1"/>
  <c r="AD132" i="13" s="1"/>
  <c r="AD134" i="13" s="1"/>
  <c r="AD135" i="13" s="1"/>
  <c r="AD159" i="13"/>
  <c r="AC132" i="9"/>
  <c r="AC137" i="9" s="1"/>
  <c r="AC148" i="9" s="1"/>
  <c r="AC150" i="9" s="1"/>
  <c r="AC141" i="13"/>
  <c r="AD290" i="9"/>
  <c r="AD85" i="9"/>
  <c r="AD86" i="9" s="1"/>
  <c r="AA67" i="25" s="1"/>
  <c r="AD157" i="9"/>
  <c r="AC162" i="9"/>
  <c r="AE377" i="11"/>
  <c r="AD308" i="11"/>
  <c r="AE305" i="11" s="1"/>
  <c r="AC164" i="9" l="1"/>
  <c r="AC165" i="9" s="1"/>
  <c r="AC166" i="9" s="1"/>
  <c r="AD168" i="9"/>
  <c r="AD97" i="9"/>
  <c r="AD108" i="9" s="1"/>
  <c r="AE84" i="9"/>
  <c r="AC143" i="13"/>
  <c r="AC142" i="13"/>
  <c r="AD109" i="13"/>
  <c r="AD123" i="13" s="1"/>
  <c r="AD125" i="13" s="1"/>
  <c r="AD136" i="13" s="1"/>
  <c r="AD292" i="9"/>
  <c r="AD291" i="9"/>
  <c r="AC144" i="13" l="1"/>
  <c r="AC146" i="13" s="1"/>
  <c r="AD293" i="9"/>
  <c r="AE19" i="15"/>
  <c r="AE31" i="15" s="1"/>
  <c r="AE111" i="13"/>
  <c r="AE126" i="13" s="1"/>
  <c r="AD160" i="13"/>
  <c r="AE139" i="13"/>
  <c r="AE162" i="13" s="1"/>
  <c r="AE163" i="13" s="1"/>
  <c r="AE263" i="9" s="1"/>
  <c r="AC147" i="13" l="1"/>
  <c r="AC148" i="13" s="1"/>
  <c r="AE287" i="9"/>
  <c r="AE269" i="9"/>
  <c r="AD159" i="9"/>
  <c r="AD160" i="9" s="1"/>
  <c r="AD164" i="13"/>
  <c r="AE33" i="15"/>
  <c r="AE66" i="9"/>
  <c r="AE72" i="9" s="1"/>
  <c r="AE74" i="9" s="1"/>
  <c r="AE220" i="9"/>
  <c r="AE277" i="9" l="1"/>
  <c r="AE279" i="9" s="1"/>
  <c r="AE240" i="9"/>
  <c r="AE248" i="11"/>
  <c r="AE288" i="11" s="1"/>
  <c r="AE301" i="11" s="1"/>
  <c r="AE320" i="11" s="1"/>
  <c r="AE157" i="9"/>
  <c r="AD162" i="9"/>
  <c r="AE159" i="13"/>
  <c r="AD132" i="9"/>
  <c r="AD137" i="9" s="1"/>
  <c r="AD148" i="9" s="1"/>
  <c r="AD150" i="9" s="1"/>
  <c r="AD141" i="13"/>
  <c r="AD164" i="9" l="1"/>
  <c r="AD165" i="9" s="1"/>
  <c r="AD166" i="9" s="1"/>
  <c r="AE109" i="13"/>
  <c r="AE123" i="13" s="1"/>
  <c r="AE324" i="11"/>
  <c r="AE327" i="11" s="1"/>
  <c r="AE331" i="11" s="1"/>
  <c r="AE332" i="11" s="1"/>
  <c r="AE366" i="11" s="1"/>
  <c r="AE323" i="11"/>
  <c r="AE275" i="9"/>
  <c r="AE278" i="9" s="1"/>
  <c r="AE283" i="9" s="1"/>
  <c r="AE286" i="9" s="1"/>
  <c r="AE271" i="9"/>
  <c r="AB66" i="25" s="1"/>
  <c r="AD143" i="13"/>
  <c r="AD142" i="13"/>
  <c r="AB68" i="25" l="1"/>
  <c r="AE325" i="11"/>
  <c r="AE306" i="11" s="1"/>
  <c r="AD144" i="13"/>
  <c r="AD146" i="13" s="1"/>
  <c r="AE284" i="11"/>
  <c r="AE374" i="11" s="1"/>
  <c r="AE378" i="11"/>
  <c r="AE370" i="11"/>
  <c r="AE85" i="9"/>
  <c r="AE86" i="9" s="1"/>
  <c r="AB67" i="25" s="1"/>
  <c r="AE288" i="9"/>
  <c r="AE290" i="9" s="1"/>
  <c r="AE112" i="13"/>
  <c r="AE127" i="13" s="1"/>
  <c r="AE128" i="13" s="1"/>
  <c r="AE307" i="11" l="1"/>
  <c r="AE308" i="11" s="1"/>
  <c r="AF305" i="11" s="1"/>
  <c r="AD147" i="13"/>
  <c r="AD148" i="13" s="1"/>
  <c r="AE292" i="9"/>
  <c r="AE291" i="9"/>
  <c r="AE168" i="9"/>
  <c r="AE97" i="9"/>
  <c r="AE108" i="9" s="1"/>
  <c r="AF84" i="9"/>
  <c r="AE380" i="11"/>
  <c r="AE121" i="9" s="1"/>
  <c r="AF365" i="11"/>
  <c r="AE76" i="9"/>
  <c r="AE78" i="9" s="1"/>
  <c r="AE293" i="9" l="1"/>
  <c r="AF19" i="15"/>
  <c r="AF31" i="15" s="1"/>
  <c r="AF111" i="13"/>
  <c r="AF126" i="13" s="1"/>
  <c r="AE80" i="9"/>
  <c r="AE158" i="9"/>
  <c r="AE110" i="13"/>
  <c r="AE124" i="13" s="1"/>
  <c r="AE382" i="11"/>
  <c r="AF377" i="11"/>
  <c r="AF33" i="15" l="1"/>
  <c r="AF220" i="9"/>
  <c r="AF66" i="9"/>
  <c r="AF72" i="9" s="1"/>
  <c r="AF74" i="9" s="1"/>
  <c r="AE383" i="11"/>
  <c r="AE384" i="11" s="1"/>
  <c r="AE132" i="13"/>
  <c r="AE134" i="13" s="1"/>
  <c r="AE135" i="13" s="1"/>
  <c r="AE125" i="13"/>
  <c r="AF248" i="11" l="1"/>
  <c r="AF288" i="11" s="1"/>
  <c r="AF301" i="11" s="1"/>
  <c r="AF320" i="11" s="1"/>
  <c r="AF277" i="9"/>
  <c r="AF279" i="9" s="1"/>
  <c r="AE136" i="13"/>
  <c r="AF323" i="11" l="1"/>
  <c r="AF324" i="11"/>
  <c r="AF327" i="11" s="1"/>
  <c r="AF331" i="11" s="1"/>
  <c r="AE160" i="13"/>
  <c r="AF139" i="13"/>
  <c r="AF162" i="13" s="1"/>
  <c r="AF163" i="13" s="1"/>
  <c r="AF263" i="9" s="1"/>
  <c r="AF332" i="11" l="1"/>
  <c r="AF366" i="11" s="1"/>
  <c r="AF353" i="11"/>
  <c r="AF339" i="11"/>
  <c r="AF341" i="11" s="1"/>
  <c r="AF287" i="9"/>
  <c r="AF269" i="9"/>
  <c r="AE159" i="9"/>
  <c r="AE160" i="9" s="1"/>
  <c r="AE164" i="13"/>
  <c r="AF325" i="11"/>
  <c r="AF159" i="13" l="1"/>
  <c r="AE132" i="9"/>
  <c r="AE137" i="9" s="1"/>
  <c r="AE148" i="9" s="1"/>
  <c r="AE150" i="9" s="1"/>
  <c r="AE141" i="13"/>
  <c r="AF271" i="11"/>
  <c r="AF345" i="11"/>
  <c r="AF307" i="11"/>
  <c r="AG322" i="11"/>
  <c r="AF306" i="11"/>
  <c r="AF157" i="9"/>
  <c r="AE162" i="9"/>
  <c r="AF378" i="11"/>
  <c r="AF284" i="11"/>
  <c r="AF374" i="11" s="1"/>
  <c r="AH322" i="11" l="1"/>
  <c r="AG348" i="11"/>
  <c r="AF354" i="11"/>
  <c r="AF355" i="11" s="1"/>
  <c r="AF76" i="9"/>
  <c r="AF78" i="9" s="1"/>
  <c r="AE142" i="13"/>
  <c r="AE143" i="13"/>
  <c r="AF109" i="13"/>
  <c r="AF123" i="13" s="1"/>
  <c r="AE164" i="9"/>
  <c r="AF308" i="11"/>
  <c r="AG305" i="11" s="1"/>
  <c r="AE144" i="13" l="1"/>
  <c r="AE147" i="13" s="1"/>
  <c r="AF80" i="9"/>
  <c r="AF158" i="9"/>
  <c r="AF110" i="13"/>
  <c r="AF124" i="13" s="1"/>
  <c r="AF132" i="13" s="1"/>
  <c r="AF134" i="13" s="1"/>
  <c r="AF278" i="11"/>
  <c r="AF357" i="11"/>
  <c r="AF356" i="11"/>
  <c r="AF358" i="11" s="1"/>
  <c r="AF360" i="11" s="1"/>
  <c r="AF359" i="11"/>
  <c r="AI322" i="11"/>
  <c r="AE165" i="9"/>
  <c r="AE166" i="9" s="1"/>
  <c r="AE146" i="13" l="1"/>
  <c r="AE148" i="13" s="1"/>
  <c r="AF125" i="13"/>
  <c r="AQ361" i="11"/>
  <c r="AQ368" i="11" s="1"/>
  <c r="AQ369" i="11" s="1"/>
  <c r="AQ379" i="11" s="1"/>
  <c r="AQ235" i="9" s="1"/>
  <c r="AN361" i="11"/>
  <c r="AN368" i="11" s="1"/>
  <c r="AN369" i="11" s="1"/>
  <c r="AN379" i="11" s="1"/>
  <c r="AN235" i="9" s="1"/>
  <c r="AO361" i="11"/>
  <c r="AO368" i="11" s="1"/>
  <c r="AO369" i="11" s="1"/>
  <c r="AO379" i="11" s="1"/>
  <c r="AO235" i="9" s="1"/>
  <c r="AJ361" i="11"/>
  <c r="AI361" i="11"/>
  <c r="AI368" i="11" s="1"/>
  <c r="AI369" i="11" s="1"/>
  <c r="AI379" i="11" s="1"/>
  <c r="AI235" i="9" s="1"/>
  <c r="AH361" i="11"/>
  <c r="AH368" i="11" s="1"/>
  <c r="AH369" i="11" s="1"/>
  <c r="AH379" i="11" s="1"/>
  <c r="AH235" i="9" s="1"/>
  <c r="AK361" i="11"/>
  <c r="AK368" i="11" s="1"/>
  <c r="AK369" i="11" s="1"/>
  <c r="AK379" i="11" s="1"/>
  <c r="AK235" i="9" s="1"/>
  <c r="AF361" i="11"/>
  <c r="AF368" i="11" s="1"/>
  <c r="AF369" i="11" s="1"/>
  <c r="AP361" i="11"/>
  <c r="AM361" i="11"/>
  <c r="AL361" i="11"/>
  <c r="AL368" i="11" s="1"/>
  <c r="AL369" i="11" s="1"/>
  <c r="AL379" i="11" s="1"/>
  <c r="AL235" i="9" s="1"/>
  <c r="AG361" i="11"/>
  <c r="AG368" i="11" s="1"/>
  <c r="AG369" i="11" s="1"/>
  <c r="AG379" i="11" s="1"/>
  <c r="AG235" i="9" s="1"/>
  <c r="AJ322" i="11"/>
  <c r="AK322" i="11" l="1"/>
  <c r="AF379" i="11"/>
  <c r="AF235" i="9" s="1"/>
  <c r="AF240" i="9" s="1"/>
  <c r="AF370" i="11"/>
  <c r="AF380" i="11" l="1"/>
  <c r="AG365" i="11"/>
  <c r="AF275" i="9"/>
  <c r="AF278" i="9" s="1"/>
  <c r="AF283" i="9" s="1"/>
  <c r="AF286" i="9" s="1"/>
  <c r="AF271" i="9"/>
  <c r="AC66" i="25" s="1"/>
  <c r="AL322" i="11"/>
  <c r="AC68" i="25" l="1"/>
  <c r="AF288" i="9"/>
  <c r="AF290" i="9" s="1"/>
  <c r="AF112" i="13"/>
  <c r="AF127" i="13" s="1"/>
  <c r="AF128" i="13" s="1"/>
  <c r="AM322" i="11"/>
  <c r="AF85" i="9"/>
  <c r="AF86" i="9" s="1"/>
  <c r="AC67" i="25" s="1"/>
  <c r="AG377" i="11"/>
  <c r="AF121" i="9"/>
  <c r="AF382" i="11"/>
  <c r="AF97" i="9" l="1"/>
  <c r="AF108" i="9" s="1"/>
  <c r="AF168" i="9"/>
  <c r="AG84" i="9"/>
  <c r="AN322" i="11"/>
  <c r="AF292" i="9"/>
  <c r="AF291" i="9"/>
  <c r="AF136" i="13"/>
  <c r="AF135" i="13"/>
  <c r="AF383" i="11"/>
  <c r="AF384" i="11" s="1"/>
  <c r="AF293" i="9" l="1"/>
  <c r="AO322" i="11"/>
  <c r="AG19" i="15"/>
  <c r="AG31" i="15" s="1"/>
  <c r="AG111" i="13"/>
  <c r="AG126" i="13" s="1"/>
  <c r="AF160" i="13"/>
  <c r="AG139" i="13"/>
  <c r="AG162" i="13" s="1"/>
  <c r="AG163" i="13" s="1"/>
  <c r="AG263" i="9" s="1"/>
  <c r="AG287" i="9" l="1"/>
  <c r="AG269" i="9"/>
  <c r="AG33" i="15"/>
  <c r="AG220" i="9"/>
  <c r="AG66" i="9"/>
  <c r="AG72" i="9" s="1"/>
  <c r="AG74" i="9" s="1"/>
  <c r="AF159" i="9"/>
  <c r="AF160" i="9" s="1"/>
  <c r="AF164" i="13"/>
  <c r="AP322" i="11"/>
  <c r="AG159" i="13" l="1"/>
  <c r="AF132" i="9"/>
  <c r="AF137" i="9" s="1"/>
  <c r="AF148" i="9" s="1"/>
  <c r="AF150" i="9" s="1"/>
  <c r="AF141" i="13"/>
  <c r="AG248" i="11"/>
  <c r="AG288" i="11" s="1"/>
  <c r="AG301" i="11" s="1"/>
  <c r="AG157" i="9"/>
  <c r="AF162" i="9"/>
  <c r="AG277" i="9"/>
  <c r="AG279" i="9" s="1"/>
  <c r="AG240" i="9"/>
  <c r="AQ322" i="11"/>
  <c r="AG109" i="13" l="1"/>
  <c r="AG123" i="13" s="1"/>
  <c r="AR322" i="11"/>
  <c r="AF142" i="13"/>
  <c r="AF143" i="13"/>
  <c r="AF164" i="9"/>
  <c r="AG320" i="11"/>
  <c r="AG271" i="9"/>
  <c r="AD66" i="25" s="1"/>
  <c r="AG275" i="9"/>
  <c r="AG278" i="9" s="1"/>
  <c r="AG283" i="9" s="1"/>
  <c r="AG286" i="9" s="1"/>
  <c r="AD68" i="25" l="1"/>
  <c r="AF144" i="13"/>
  <c r="AF147" i="13" s="1"/>
  <c r="AG324" i="11"/>
  <c r="AG327" i="11" s="1"/>
  <c r="AG331" i="11" s="1"/>
  <c r="AG332" i="11" s="1"/>
  <c r="AG366" i="11" s="1"/>
  <c r="AG323" i="11"/>
  <c r="AF165" i="9"/>
  <c r="AF166" i="9" s="1"/>
  <c r="AG288" i="9"/>
  <c r="AG290" i="9" s="1"/>
  <c r="AG112" i="13"/>
  <c r="AG127" i="13" s="1"/>
  <c r="AG128" i="13" s="1"/>
  <c r="AG85" i="9"/>
  <c r="AG86" i="9" s="1"/>
  <c r="AD67" i="25" s="1"/>
  <c r="AG325" i="11" l="1"/>
  <c r="AG306" i="11" s="1"/>
  <c r="AF146" i="13"/>
  <c r="AF148" i="13" s="1"/>
  <c r="AG291" i="9"/>
  <c r="AG292" i="9"/>
  <c r="AG378" i="11"/>
  <c r="AG284" i="11"/>
  <c r="AG374" i="11" s="1"/>
  <c r="AG370" i="11"/>
  <c r="AG168" i="9"/>
  <c r="AG97" i="9"/>
  <c r="AG108" i="9" s="1"/>
  <c r="AH84" i="9"/>
  <c r="AG307" i="11" l="1"/>
  <c r="AG308" i="11" s="1"/>
  <c r="AH305" i="11" s="1"/>
  <c r="AG293" i="9"/>
  <c r="AG380" i="11"/>
  <c r="AG121" i="9" s="1"/>
  <c r="AH365" i="11"/>
  <c r="AG76" i="9"/>
  <c r="AG78" i="9" s="1"/>
  <c r="AH111" i="13"/>
  <c r="AH126" i="13" s="1"/>
  <c r="AH19" i="15"/>
  <c r="AH31" i="15" s="1"/>
  <c r="AG382" i="11" l="1"/>
  <c r="AG383" i="11" s="1"/>
  <c r="AG384" i="11" s="1"/>
  <c r="AG80" i="9"/>
  <c r="AG158" i="9"/>
  <c r="AG110" i="13"/>
  <c r="AG124" i="13" s="1"/>
  <c r="AH377" i="11"/>
  <c r="AH33" i="15"/>
  <c r="AH66" i="9"/>
  <c r="AH72" i="9" s="1"/>
  <c r="AH74" i="9" s="1"/>
  <c r="AH220" i="9"/>
  <c r="AG132" i="13" l="1"/>
  <c r="AG134" i="13" s="1"/>
  <c r="AG135" i="13" s="1"/>
  <c r="AG125" i="13"/>
  <c r="AH277" i="9"/>
  <c r="AH279" i="9" s="1"/>
  <c r="AH240" i="9"/>
  <c r="AH248" i="11"/>
  <c r="AH288" i="11" s="1"/>
  <c r="AH301" i="11" s="1"/>
  <c r="AH320" i="11" l="1"/>
  <c r="AH275" i="9"/>
  <c r="AH278" i="9" s="1"/>
  <c r="AH283" i="9" s="1"/>
  <c r="AH286" i="9" s="1"/>
  <c r="AG136" i="13"/>
  <c r="AH324" i="11" l="1"/>
  <c r="AH327" i="11" s="1"/>
  <c r="AH331" i="11" s="1"/>
  <c r="AH332" i="11" s="1"/>
  <c r="AH366" i="11" s="1"/>
  <c r="AH323" i="11"/>
  <c r="AH112" i="13"/>
  <c r="AH127" i="13" s="1"/>
  <c r="AH128" i="13" s="1"/>
  <c r="AG160" i="13"/>
  <c r="AH139" i="13"/>
  <c r="AH162" i="13" s="1"/>
  <c r="AH163" i="13" s="1"/>
  <c r="AH263" i="9" s="1"/>
  <c r="AH325" i="11" l="1"/>
  <c r="AH307" i="11" s="1"/>
  <c r="AG159" i="9"/>
  <c r="AG160" i="9" s="1"/>
  <c r="AG164" i="13"/>
  <c r="AH287" i="9"/>
  <c r="AH288" i="9" s="1"/>
  <c r="AH269" i="9"/>
  <c r="AH271" i="9" s="1"/>
  <c r="AE66" i="25" s="1"/>
  <c r="AH284" i="11"/>
  <c r="AH374" i="11" s="1"/>
  <c r="AH378" i="11"/>
  <c r="AH370" i="11"/>
  <c r="AE68" i="25" l="1"/>
  <c r="AH306" i="11"/>
  <c r="AH308" i="11" s="1"/>
  <c r="AI305" i="11" s="1"/>
  <c r="AH76" i="9"/>
  <c r="AH78" i="9" s="1"/>
  <c r="AH290" i="9"/>
  <c r="AH85" i="9"/>
  <c r="AH86" i="9" s="1"/>
  <c r="AE67" i="25" s="1"/>
  <c r="AH159" i="13"/>
  <c r="AG132" i="9"/>
  <c r="AG137" i="9" s="1"/>
  <c r="AG148" i="9" s="1"/>
  <c r="AG150" i="9" s="1"/>
  <c r="AG141" i="13"/>
  <c r="AH380" i="11"/>
  <c r="AH121" i="9" s="1"/>
  <c r="AI365" i="11"/>
  <c r="AH157" i="9"/>
  <c r="AG162" i="9"/>
  <c r="AG164" i="9" l="1"/>
  <c r="AG165" i="9" s="1"/>
  <c r="AG166" i="9" s="1"/>
  <c r="AG142" i="13"/>
  <c r="AG143" i="13"/>
  <c r="AH80" i="9"/>
  <c r="AH158" i="9"/>
  <c r="AH110" i="13"/>
  <c r="AH124" i="13" s="1"/>
  <c r="AH132" i="13" s="1"/>
  <c r="AH134" i="13" s="1"/>
  <c r="AH135" i="13" s="1"/>
  <c r="AH97" i="9"/>
  <c r="AH108" i="9" s="1"/>
  <c r="AH168" i="9"/>
  <c r="AI84" i="9"/>
  <c r="AH109" i="13"/>
  <c r="AH123" i="13" s="1"/>
  <c r="AI377" i="11"/>
  <c r="AH382" i="11"/>
  <c r="AH291" i="9"/>
  <c r="AH292" i="9"/>
  <c r="AH293" i="9" l="1"/>
  <c r="AH125" i="13"/>
  <c r="AH136" i="13" s="1"/>
  <c r="AH160" i="13" s="1"/>
  <c r="AG144" i="13"/>
  <c r="AG147" i="13" s="1"/>
  <c r="AH383" i="11"/>
  <c r="AH384" i="11" s="1"/>
  <c r="AI111" i="13"/>
  <c r="AI126" i="13" s="1"/>
  <c r="AI19" i="15"/>
  <c r="AI31" i="15" s="1"/>
  <c r="AI139" i="13" l="1"/>
  <c r="AI162" i="13" s="1"/>
  <c r="AI163" i="13" s="1"/>
  <c r="AI263" i="9" s="1"/>
  <c r="AI287" i="9" s="1"/>
  <c r="AG146" i="13"/>
  <c r="AG148" i="13" s="1"/>
  <c r="AH159" i="9"/>
  <c r="AH160" i="9" s="1"/>
  <c r="AH164" i="13"/>
  <c r="AI33" i="15"/>
  <c r="AI220" i="9"/>
  <c r="AI66" i="9"/>
  <c r="AI72" i="9" s="1"/>
  <c r="AI74" i="9" s="1"/>
  <c r="AI269" i="9" l="1"/>
  <c r="AI159" i="13"/>
  <c r="AH132" i="9"/>
  <c r="AH137" i="9" s="1"/>
  <c r="AH148" i="9" s="1"/>
  <c r="AH150" i="9" s="1"/>
  <c r="AH141" i="13"/>
  <c r="AI248" i="11"/>
  <c r="AI288" i="11" s="1"/>
  <c r="AI301" i="11" s="1"/>
  <c r="AI277" i="9"/>
  <c r="AI279" i="9" s="1"/>
  <c r="AI240" i="9"/>
  <c r="AI157" i="9"/>
  <c r="AH162" i="9"/>
  <c r="AH164" i="9" l="1"/>
  <c r="AH165" i="9" s="1"/>
  <c r="AH166" i="9" s="1"/>
  <c r="AI109" i="13"/>
  <c r="AI123" i="13" s="1"/>
  <c r="AI320" i="11"/>
  <c r="AH142" i="13"/>
  <c r="AH143" i="13"/>
  <c r="AI271" i="9"/>
  <c r="AF66" i="25" s="1"/>
  <c r="AI275" i="9"/>
  <c r="AI278" i="9" s="1"/>
  <c r="AI283" i="9" s="1"/>
  <c r="AI286" i="9" s="1"/>
  <c r="AF68" i="25" l="1"/>
  <c r="AH144" i="13"/>
  <c r="AH146" i="13" s="1"/>
  <c r="AI324" i="11"/>
  <c r="AI327" i="11" s="1"/>
  <c r="AI331" i="11" s="1"/>
  <c r="AI323" i="11"/>
  <c r="AI85" i="9"/>
  <c r="AI86" i="9" s="1"/>
  <c r="AF67" i="25" s="1"/>
  <c r="AI288" i="9"/>
  <c r="AI290" i="9" s="1"/>
  <c r="AI112" i="13"/>
  <c r="AI127" i="13" s="1"/>
  <c r="AI128" i="13" s="1"/>
  <c r="AI325" i="11" l="1"/>
  <c r="AI306" i="11" s="1"/>
  <c r="AH147" i="13"/>
  <c r="AH148" i="13" s="1"/>
  <c r="AI97" i="9"/>
  <c r="AI108" i="9" s="1"/>
  <c r="AI168" i="9"/>
  <c r="AJ84" i="9"/>
  <c r="AI292" i="9"/>
  <c r="AI291" i="9"/>
  <c r="AI332" i="11"/>
  <c r="AI366" i="11" s="1"/>
  <c r="AI339" i="11"/>
  <c r="AI341" i="11" s="1"/>
  <c r="AI307" i="11" l="1"/>
  <c r="AI308" i="11" s="1"/>
  <c r="AJ305" i="11" s="1"/>
  <c r="AI293" i="9"/>
  <c r="AJ111" i="13"/>
  <c r="AJ126" i="13" s="1"/>
  <c r="AJ19" i="15"/>
  <c r="AJ31" i="15" s="1"/>
  <c r="AI271" i="11"/>
  <c r="AI345" i="11"/>
  <c r="AI284" i="11"/>
  <c r="AI374" i="11" s="1"/>
  <c r="AI378" i="11"/>
  <c r="AI370" i="11"/>
  <c r="AI76" i="9" l="1"/>
  <c r="AI78" i="9" s="1"/>
  <c r="AL340" i="11"/>
  <c r="AJ348" i="11"/>
  <c r="AJ368" i="11" s="1"/>
  <c r="AJ369" i="11" s="1"/>
  <c r="AJ379" i="11" s="1"/>
  <c r="AJ235" i="9" s="1"/>
  <c r="AJ33" i="15"/>
  <c r="AJ220" i="9"/>
  <c r="AJ66" i="9"/>
  <c r="AJ72" i="9" s="1"/>
  <c r="AJ74" i="9" s="1"/>
  <c r="AI380" i="11"/>
  <c r="AI121" i="9" s="1"/>
  <c r="AJ365" i="11"/>
  <c r="AJ377" i="11" l="1"/>
  <c r="AI80" i="9"/>
  <c r="AI158" i="9"/>
  <c r="AI110" i="13"/>
  <c r="AI124" i="13" s="1"/>
  <c r="AJ248" i="11"/>
  <c r="AJ288" i="11" s="1"/>
  <c r="AJ301" i="11" s="1"/>
  <c r="AJ277" i="9"/>
  <c r="AJ279" i="9" s="1"/>
  <c r="AJ240" i="9"/>
  <c r="AI382" i="11"/>
  <c r="AI132" i="13" l="1"/>
  <c r="AI134" i="13" s="1"/>
  <c r="AI135" i="13" s="1"/>
  <c r="AI125" i="13"/>
  <c r="AJ275" i="9"/>
  <c r="AJ278" i="9" s="1"/>
  <c r="AJ283" i="9" s="1"/>
  <c r="AJ286" i="9" s="1"/>
  <c r="AJ320" i="11"/>
  <c r="AI383" i="11"/>
  <c r="AI384" i="11" s="1"/>
  <c r="AJ324" i="11" l="1"/>
  <c r="AJ327" i="11" s="1"/>
  <c r="AJ331" i="11" s="1"/>
  <c r="AJ332" i="11" s="1"/>
  <c r="AJ366" i="11" s="1"/>
  <c r="AJ323" i="11"/>
  <c r="AJ112" i="13"/>
  <c r="AJ127" i="13" s="1"/>
  <c r="AJ128" i="13" s="1"/>
  <c r="AI136" i="13"/>
  <c r="AJ325" i="11" l="1"/>
  <c r="AJ306" i="11" s="1"/>
  <c r="AI160" i="13"/>
  <c r="AJ139" i="13"/>
  <c r="AJ162" i="13" s="1"/>
  <c r="AJ163" i="13" s="1"/>
  <c r="AJ263" i="9" s="1"/>
  <c r="AJ284" i="11"/>
  <c r="AJ374" i="11" s="1"/>
  <c r="AJ378" i="11"/>
  <c r="AJ370" i="11"/>
  <c r="AJ307" i="11" l="1"/>
  <c r="AJ308" i="11" s="1"/>
  <c r="AK305" i="11" s="1"/>
  <c r="AJ380" i="11"/>
  <c r="AJ121" i="9" s="1"/>
  <c r="AK365" i="11"/>
  <c r="AJ76" i="9"/>
  <c r="AJ78" i="9" s="1"/>
  <c r="AJ287" i="9"/>
  <c r="AJ288" i="9" s="1"/>
  <c r="AJ269" i="9"/>
  <c r="AJ271" i="9" s="1"/>
  <c r="AG66" i="25" s="1"/>
  <c r="AI159" i="9"/>
  <c r="AI160" i="9" s="1"/>
  <c r="AI164" i="13"/>
  <c r="AG68" i="25" l="1"/>
  <c r="AJ382" i="11"/>
  <c r="AJ383" i="11" s="1"/>
  <c r="AJ384" i="11" s="1"/>
  <c r="AJ157" i="9"/>
  <c r="AI162" i="9"/>
  <c r="AJ290" i="9"/>
  <c r="AJ85" i="9"/>
  <c r="AJ86" i="9" s="1"/>
  <c r="AG67" i="25" s="1"/>
  <c r="AJ80" i="9"/>
  <c r="AJ158" i="9"/>
  <c r="AJ110" i="13"/>
  <c r="AJ124" i="13" s="1"/>
  <c r="AJ132" i="13" s="1"/>
  <c r="AJ134" i="13" s="1"/>
  <c r="AJ135" i="13" s="1"/>
  <c r="AK377" i="11"/>
  <c r="AJ159" i="13"/>
  <c r="AI132" i="9"/>
  <c r="AI137" i="9" s="1"/>
  <c r="AI148" i="9" s="1"/>
  <c r="AI150" i="9" s="1"/>
  <c r="AI141" i="13"/>
  <c r="AI164" i="9" l="1"/>
  <c r="AI165" i="9" s="1"/>
  <c r="AI166" i="9" s="1"/>
  <c r="AI143" i="13"/>
  <c r="AI142" i="13"/>
  <c r="AJ292" i="9"/>
  <c r="AJ291" i="9"/>
  <c r="AJ97" i="9"/>
  <c r="AJ108" i="9" s="1"/>
  <c r="AJ168" i="9"/>
  <c r="AK84" i="9"/>
  <c r="AJ109" i="13"/>
  <c r="AJ123" i="13" s="1"/>
  <c r="AJ125" i="13" s="1"/>
  <c r="AJ136" i="13" s="1"/>
  <c r="AI144" i="13" l="1"/>
  <c r="AI147" i="13" s="1"/>
  <c r="AJ293" i="9"/>
  <c r="AJ160" i="13"/>
  <c r="AK139" i="13"/>
  <c r="AK162" i="13" s="1"/>
  <c r="AK163" i="13" s="1"/>
  <c r="AK263" i="9" s="1"/>
  <c r="AK111" i="13"/>
  <c r="AK126" i="13" s="1"/>
  <c r="AK19" i="15"/>
  <c r="AK31" i="15" s="1"/>
  <c r="AI146" i="13" l="1"/>
  <c r="AI148" i="13" s="1"/>
  <c r="AK33" i="15"/>
  <c r="AK220" i="9"/>
  <c r="AK66" i="9"/>
  <c r="AK72" i="9" s="1"/>
  <c r="AK74" i="9" s="1"/>
  <c r="AK287" i="9"/>
  <c r="AK269" i="9"/>
  <c r="AJ159" i="9"/>
  <c r="AJ160" i="9" s="1"/>
  <c r="AJ164" i="13"/>
  <c r="AK248" i="11" l="1"/>
  <c r="AK288" i="11" s="1"/>
  <c r="AK301" i="11" s="1"/>
  <c r="AK320" i="11" s="1"/>
  <c r="AK277" i="9"/>
  <c r="AK279" i="9" s="1"/>
  <c r="AK240" i="9"/>
  <c r="AK157" i="9"/>
  <c r="AJ162" i="9"/>
  <c r="AK159" i="13"/>
  <c r="AJ132" i="9"/>
  <c r="AJ137" i="9" s="1"/>
  <c r="AJ148" i="9" s="1"/>
  <c r="AJ150" i="9" s="1"/>
  <c r="AJ141" i="13"/>
  <c r="AJ164" i="9" l="1"/>
  <c r="AJ165" i="9" s="1"/>
  <c r="AJ166" i="9" s="1"/>
  <c r="AK324" i="11"/>
  <c r="AK327" i="11" s="1"/>
  <c r="AK331" i="11" s="1"/>
  <c r="AK332" i="11" s="1"/>
  <c r="AK366" i="11" s="1"/>
  <c r="AK323" i="11"/>
  <c r="AK109" i="13"/>
  <c r="AK123" i="13" s="1"/>
  <c r="AK275" i="9"/>
  <c r="AK278" i="9" s="1"/>
  <c r="AK283" i="9" s="1"/>
  <c r="AK286" i="9" s="1"/>
  <c r="AK271" i="9"/>
  <c r="AH66" i="25" s="1"/>
  <c r="AJ143" i="13"/>
  <c r="AJ142" i="13"/>
  <c r="AH68" i="25" l="1"/>
  <c r="AK325" i="11"/>
  <c r="AK307" i="11" s="1"/>
  <c r="AJ144" i="13"/>
  <c r="AJ146" i="13" s="1"/>
  <c r="AK284" i="11"/>
  <c r="AK374" i="11" s="1"/>
  <c r="AK378" i="11"/>
  <c r="AK370" i="11"/>
  <c r="AK85" i="9"/>
  <c r="AK86" i="9" s="1"/>
  <c r="AH67" i="25" s="1"/>
  <c r="AK288" i="9"/>
  <c r="AK290" i="9" s="1"/>
  <c r="AK112" i="13"/>
  <c r="AK127" i="13" s="1"/>
  <c r="AK128" i="13" s="1"/>
  <c r="AK306" i="11" l="1"/>
  <c r="AK308" i="11" s="1"/>
  <c r="AL305" i="11" s="1"/>
  <c r="AJ147" i="13"/>
  <c r="AJ148" i="13" s="1"/>
  <c r="AK292" i="9"/>
  <c r="AK291" i="9"/>
  <c r="AK380" i="11"/>
  <c r="AK121" i="9" s="1"/>
  <c r="AL365" i="11"/>
  <c r="AK76" i="9"/>
  <c r="AK78" i="9" s="1"/>
  <c r="AK97" i="9"/>
  <c r="AK108" i="9" s="1"/>
  <c r="AK168" i="9"/>
  <c r="AL84" i="9"/>
  <c r="AK382" i="11" l="1"/>
  <c r="AK383" i="11" s="1"/>
  <c r="AK384" i="11" s="1"/>
  <c r="AK293" i="9"/>
  <c r="AK80" i="9"/>
  <c r="AK158" i="9"/>
  <c r="AK110" i="13"/>
  <c r="AK124" i="13" s="1"/>
  <c r="AL377" i="11"/>
  <c r="AL19" i="15"/>
  <c r="AL31" i="15" s="1"/>
  <c r="AL111" i="13"/>
  <c r="AL126" i="13" s="1"/>
  <c r="AL33" i="15" l="1"/>
  <c r="AL220" i="9"/>
  <c r="AL66" i="9"/>
  <c r="AL72" i="9" s="1"/>
  <c r="AL74" i="9" s="1"/>
  <c r="AK132" i="13"/>
  <c r="AK134" i="13" s="1"/>
  <c r="AK135" i="13" s="1"/>
  <c r="AK125" i="13"/>
  <c r="AK136" i="13" l="1"/>
  <c r="AL277" i="9"/>
  <c r="AL279" i="9" s="1"/>
  <c r="AL240" i="9"/>
  <c r="AL248" i="11"/>
  <c r="AL288" i="11" s="1"/>
  <c r="AL301" i="11" s="1"/>
  <c r="AL320" i="11" s="1"/>
  <c r="AL324" i="11" l="1"/>
  <c r="AL327" i="11" s="1"/>
  <c r="AL331" i="11" s="1"/>
  <c r="AL323" i="11"/>
  <c r="AL275" i="9"/>
  <c r="AL278" i="9" s="1"/>
  <c r="AL283" i="9" s="1"/>
  <c r="AL286" i="9" s="1"/>
  <c r="AK160" i="13"/>
  <c r="AL139" i="13"/>
  <c r="AL162" i="13" s="1"/>
  <c r="AL163" i="13" s="1"/>
  <c r="AL263" i="9" s="1"/>
  <c r="AL325" i="11" l="1"/>
  <c r="AL307" i="11" s="1"/>
  <c r="AL332" i="11"/>
  <c r="AL366" i="11" s="1"/>
  <c r="AL339" i="11"/>
  <c r="AL341" i="11" s="1"/>
  <c r="AL287" i="9"/>
  <c r="AL288" i="9" s="1"/>
  <c r="AL269" i="9"/>
  <c r="AL271" i="9" s="1"/>
  <c r="AI66" i="25" s="1"/>
  <c r="AK159" i="9"/>
  <c r="AK160" i="9" s="1"/>
  <c r="AK164" i="13"/>
  <c r="AL112" i="13"/>
  <c r="AL127" i="13" s="1"/>
  <c r="AL128" i="13" s="1"/>
  <c r="AI68" i="25" l="1"/>
  <c r="AL306" i="11"/>
  <c r="AL308" i="11" s="1"/>
  <c r="AM305" i="11" s="1"/>
  <c r="AL159" i="13"/>
  <c r="AK132" i="9"/>
  <c r="AK137" i="9" s="1"/>
  <c r="AK148" i="9" s="1"/>
  <c r="AK150" i="9" s="1"/>
  <c r="AK141" i="13"/>
  <c r="AL290" i="9"/>
  <c r="AL85" i="9"/>
  <c r="AL86" i="9" s="1"/>
  <c r="AI67" i="25" s="1"/>
  <c r="AL271" i="11"/>
  <c r="AL345" i="11"/>
  <c r="AL157" i="9"/>
  <c r="AK162" i="9"/>
  <c r="AL284" i="11"/>
  <c r="AL374" i="11" s="1"/>
  <c r="AL378" i="11"/>
  <c r="AL370" i="11"/>
  <c r="AK164" i="9" l="1"/>
  <c r="AK165" i="9" s="1"/>
  <c r="AK166" i="9" s="1"/>
  <c r="AL292" i="9"/>
  <c r="AL291" i="9"/>
  <c r="AM348" i="11"/>
  <c r="AM368" i="11" s="1"/>
  <c r="AM369" i="11" s="1"/>
  <c r="AM379" i="11" s="1"/>
  <c r="AM235" i="9" s="1"/>
  <c r="AO340" i="11"/>
  <c r="AL380" i="11"/>
  <c r="AL121" i="9" s="1"/>
  <c r="AM365" i="11"/>
  <c r="AL168" i="9"/>
  <c r="AL97" i="9"/>
  <c r="AL108" i="9" s="1"/>
  <c r="AM84" i="9"/>
  <c r="AL76" i="9"/>
  <c r="AL78" i="9" s="1"/>
  <c r="AK143" i="13"/>
  <c r="AK142" i="13"/>
  <c r="AL109" i="13"/>
  <c r="AL123" i="13" s="1"/>
  <c r="AK144" i="13" l="1"/>
  <c r="AK146" i="13" s="1"/>
  <c r="AL293" i="9"/>
  <c r="AL80" i="9"/>
  <c r="AL158" i="9"/>
  <c r="AL110" i="13"/>
  <c r="AL124" i="13" s="1"/>
  <c r="AL132" i="13" s="1"/>
  <c r="AL134" i="13" s="1"/>
  <c r="AL135" i="13" s="1"/>
  <c r="AL382" i="11"/>
  <c r="AM19" i="15"/>
  <c r="AM31" i="15" s="1"/>
  <c r="AM111" i="13"/>
  <c r="AM126" i="13" s="1"/>
  <c r="AM377" i="11"/>
  <c r="AK147" i="13" l="1"/>
  <c r="AK148" i="13" s="1"/>
  <c r="AL125" i="13"/>
  <c r="AL136" i="13" s="1"/>
  <c r="AL383" i="11"/>
  <c r="AL384" i="11" s="1"/>
  <c r="AM33" i="15"/>
  <c r="AM220" i="9"/>
  <c r="AM66" i="9"/>
  <c r="AM72" i="9" s="1"/>
  <c r="AM74" i="9" s="1"/>
  <c r="AM277" i="9" l="1"/>
  <c r="AM279" i="9" s="1"/>
  <c r="AM240" i="9"/>
  <c r="AM248" i="11"/>
  <c r="AM288" i="11" s="1"/>
  <c r="AM301" i="11" s="1"/>
  <c r="AM320" i="11" s="1"/>
  <c r="AL160" i="13"/>
  <c r="AM139" i="13"/>
  <c r="AM162" i="13" s="1"/>
  <c r="AM163" i="13" s="1"/>
  <c r="AM263" i="9" s="1"/>
  <c r="AL159" i="9" l="1"/>
  <c r="AL160" i="9" s="1"/>
  <c r="AL164" i="13"/>
  <c r="AM323" i="11"/>
  <c r="AM324" i="11"/>
  <c r="AM327" i="11" s="1"/>
  <c r="AM331" i="11" s="1"/>
  <c r="AM332" i="11" s="1"/>
  <c r="AM366" i="11" s="1"/>
  <c r="AM287" i="9"/>
  <c r="AM269" i="9"/>
  <c r="AM271" i="9" s="1"/>
  <c r="AJ66" i="25" s="1"/>
  <c r="AM275" i="9"/>
  <c r="AM278" i="9" s="1"/>
  <c r="AM283" i="9" s="1"/>
  <c r="AM286" i="9" s="1"/>
  <c r="AJ68" i="25" l="1"/>
  <c r="AM85" i="9"/>
  <c r="AM86" i="9" s="1"/>
  <c r="AJ67" i="25" s="1"/>
  <c r="AM284" i="11"/>
  <c r="AM374" i="11" s="1"/>
  <c r="AM378" i="11"/>
  <c r="AM370" i="11"/>
  <c r="AM325" i="11"/>
  <c r="AM159" i="13"/>
  <c r="AL132" i="9"/>
  <c r="AL137" i="9" s="1"/>
  <c r="AL148" i="9" s="1"/>
  <c r="AL150" i="9" s="1"/>
  <c r="AL141" i="13"/>
  <c r="AM288" i="9"/>
  <c r="AM290" i="9" s="1"/>
  <c r="AM112" i="13"/>
  <c r="AM127" i="13" s="1"/>
  <c r="AM128" i="13" s="1"/>
  <c r="AM157" i="9"/>
  <c r="AL162" i="9"/>
  <c r="AL164" i="9" l="1"/>
  <c r="AL165" i="9" s="1"/>
  <c r="AL166" i="9" s="1"/>
  <c r="AM292" i="9"/>
  <c r="AM291" i="9"/>
  <c r="AM380" i="11"/>
  <c r="AM121" i="9" s="1"/>
  <c r="AN365" i="11"/>
  <c r="AM109" i="13"/>
  <c r="AM123" i="13" s="1"/>
  <c r="AM76" i="9"/>
  <c r="AM78" i="9" s="1"/>
  <c r="AM307" i="11"/>
  <c r="AM306" i="11"/>
  <c r="AM168" i="9"/>
  <c r="AM97" i="9"/>
  <c r="AM108" i="9" s="1"/>
  <c r="AN84" i="9"/>
  <c r="AL143" i="13"/>
  <c r="AL142" i="13"/>
  <c r="AM293" i="9" l="1"/>
  <c r="AM308" i="11"/>
  <c r="AN305" i="11" s="1"/>
  <c r="AL144" i="13"/>
  <c r="AL147" i="13" s="1"/>
  <c r="AN377" i="11"/>
  <c r="AM80" i="9"/>
  <c r="AM158" i="9"/>
  <c r="AM110" i="13"/>
  <c r="AM124" i="13" s="1"/>
  <c r="AM132" i="13" s="1"/>
  <c r="AM134" i="13" s="1"/>
  <c r="AM135" i="13" s="1"/>
  <c r="AM382" i="11"/>
  <c r="AN19" i="15"/>
  <c r="AN31" i="15" s="1"/>
  <c r="AN111" i="13"/>
  <c r="AN126" i="13" s="1"/>
  <c r="AL146" i="13" l="1"/>
  <c r="AL148" i="13" s="1"/>
  <c r="AM125" i="13"/>
  <c r="AM136" i="13" s="1"/>
  <c r="AN33" i="15"/>
  <c r="AN220" i="9"/>
  <c r="AN66" i="9"/>
  <c r="AN72" i="9" s="1"/>
  <c r="AN74" i="9" s="1"/>
  <c r="AM383" i="11"/>
  <c r="AM384" i="11" s="1"/>
  <c r="AN277" i="9" l="1"/>
  <c r="AN279" i="9" s="1"/>
  <c r="AN240" i="9"/>
  <c r="AN248" i="11"/>
  <c r="AN288" i="11" s="1"/>
  <c r="AN301" i="11" s="1"/>
  <c r="AN320" i="11" s="1"/>
  <c r="AM160" i="13"/>
  <c r="AN139" i="13"/>
  <c r="AN162" i="13" s="1"/>
  <c r="AN163" i="13" s="1"/>
  <c r="AN263" i="9" s="1"/>
  <c r="AN287" i="9" l="1"/>
  <c r="AN269" i="9"/>
  <c r="AN271" i="9" s="1"/>
  <c r="AK66" i="25" s="1"/>
  <c r="AM159" i="9"/>
  <c r="AM160" i="9" s="1"/>
  <c r="AM164" i="13"/>
  <c r="AN275" i="9"/>
  <c r="AN278" i="9" s="1"/>
  <c r="AN283" i="9" s="1"/>
  <c r="AN286" i="9" s="1"/>
  <c r="AN323" i="11"/>
  <c r="AN324" i="11"/>
  <c r="AN327" i="11" s="1"/>
  <c r="AN331" i="11" s="1"/>
  <c r="AN332" i="11" s="1"/>
  <c r="AN366" i="11" s="1"/>
  <c r="AK68" i="25" l="1"/>
  <c r="AN325" i="11"/>
  <c r="AN307" i="11" s="1"/>
  <c r="AN85" i="9"/>
  <c r="AN86" i="9" s="1"/>
  <c r="AK67" i="25" s="1"/>
  <c r="AN378" i="11"/>
  <c r="AN284" i="11"/>
  <c r="AN374" i="11" s="1"/>
  <c r="AN370" i="11"/>
  <c r="AN157" i="9"/>
  <c r="AM162" i="9"/>
  <c r="AN288" i="9"/>
  <c r="AN290" i="9" s="1"/>
  <c r="AN112" i="13"/>
  <c r="AN127" i="13" s="1"/>
  <c r="AN128" i="13" s="1"/>
  <c r="AN159" i="13"/>
  <c r="AM132" i="9"/>
  <c r="AM137" i="9" s="1"/>
  <c r="AM148" i="9" s="1"/>
  <c r="AM150" i="9" s="1"/>
  <c r="AM141" i="13"/>
  <c r="AN306" i="11" l="1"/>
  <c r="AN308" i="11" s="1"/>
  <c r="AO305" i="11" s="1"/>
  <c r="AN292" i="9"/>
  <c r="AN291" i="9"/>
  <c r="AM164" i="9"/>
  <c r="AN380" i="11"/>
  <c r="AN121" i="9" s="1"/>
  <c r="AO365" i="11"/>
  <c r="AM143" i="13"/>
  <c r="AM142" i="13"/>
  <c r="AN109" i="13"/>
  <c r="AN123" i="13" s="1"/>
  <c r="AN168" i="9"/>
  <c r="AN97" i="9"/>
  <c r="AN108" i="9" s="1"/>
  <c r="AO84" i="9"/>
  <c r="AN76" i="9"/>
  <c r="AN78" i="9" s="1"/>
  <c r="AM144" i="13" l="1"/>
  <c r="AM147" i="13" s="1"/>
  <c r="AN293" i="9"/>
  <c r="AO377" i="11"/>
  <c r="AM165" i="9"/>
  <c r="AM166" i="9" s="1"/>
  <c r="AO19" i="15"/>
  <c r="AO31" i="15" s="1"/>
  <c r="AO111" i="13"/>
  <c r="AO126" i="13" s="1"/>
  <c r="AN80" i="9"/>
  <c r="AN158" i="9"/>
  <c r="AN110" i="13"/>
  <c r="AN124" i="13" s="1"/>
  <c r="AN132" i="13" s="1"/>
  <c r="AN134" i="13" s="1"/>
  <c r="AN135" i="13" s="1"/>
  <c r="AN382" i="11"/>
  <c r="AM146" i="13" l="1"/>
  <c r="AM148" i="13" s="1"/>
  <c r="AN383" i="11"/>
  <c r="AN384" i="11" s="1"/>
  <c r="AN125" i="13"/>
  <c r="AN136" i="13" s="1"/>
  <c r="AO33" i="15"/>
  <c r="AO220" i="9"/>
  <c r="AO66" i="9"/>
  <c r="AO72" i="9" s="1"/>
  <c r="AO74" i="9" s="1"/>
  <c r="AO277" i="9" l="1"/>
  <c r="AO279" i="9" s="1"/>
  <c r="AO240" i="9"/>
  <c r="AN160" i="13"/>
  <c r="AO139" i="13"/>
  <c r="AO162" i="13" s="1"/>
  <c r="AO163" i="13" s="1"/>
  <c r="AO263" i="9" s="1"/>
  <c r="AO248" i="11"/>
  <c r="AO288" i="11" s="1"/>
  <c r="AO301" i="11" s="1"/>
  <c r="AO320" i="11" s="1"/>
  <c r="AO323" i="11" l="1"/>
  <c r="AO324" i="11"/>
  <c r="AO327" i="11" s="1"/>
  <c r="AO331" i="11" s="1"/>
  <c r="AO287" i="9"/>
  <c r="AO269" i="9"/>
  <c r="AO271" i="9" s="1"/>
  <c r="AL66" i="25" s="1"/>
  <c r="AN159" i="9"/>
  <c r="AN160" i="9" s="1"/>
  <c r="AN164" i="13"/>
  <c r="AO275" i="9"/>
  <c r="AO278" i="9" s="1"/>
  <c r="AO283" i="9" s="1"/>
  <c r="AO286" i="9" s="1"/>
  <c r="AL68" i="25" l="1"/>
  <c r="AO332" i="11"/>
  <c r="AO366" i="11" s="1"/>
  <c r="AO339" i="11"/>
  <c r="AO341" i="11" s="1"/>
  <c r="AO159" i="13"/>
  <c r="AN132" i="9"/>
  <c r="AN137" i="9" s="1"/>
  <c r="AN148" i="9" s="1"/>
  <c r="AN150" i="9" s="1"/>
  <c r="AN141" i="13"/>
  <c r="AO157" i="9"/>
  <c r="AN162" i="9"/>
  <c r="AO85" i="9"/>
  <c r="AO86" i="9" s="1"/>
  <c r="AL67" i="25" s="1"/>
  <c r="AO288" i="9"/>
  <c r="AO290" i="9" s="1"/>
  <c r="AO112" i="13"/>
  <c r="AO127" i="13" s="1"/>
  <c r="AO128" i="13" s="1"/>
  <c r="AO325" i="11"/>
  <c r="AO292" i="9" l="1"/>
  <c r="AO291" i="9"/>
  <c r="AN142" i="13"/>
  <c r="AN143" i="13"/>
  <c r="AN164" i="9"/>
  <c r="AO307" i="11"/>
  <c r="AO306" i="11"/>
  <c r="AO109" i="13"/>
  <c r="AO123" i="13" s="1"/>
  <c r="AO271" i="11"/>
  <c r="AO345" i="11"/>
  <c r="AO168" i="9"/>
  <c r="AO97" i="9"/>
  <c r="AO108" i="9" s="1"/>
  <c r="AP84" i="9"/>
  <c r="AO378" i="11"/>
  <c r="AO284" i="11"/>
  <c r="AO374" i="11" s="1"/>
  <c r="AO370" i="11"/>
  <c r="AN144" i="13" l="1"/>
  <c r="AN147" i="13" s="1"/>
  <c r="AO293" i="9"/>
  <c r="AP348" i="11"/>
  <c r="AP368" i="11" s="1"/>
  <c r="AP369" i="11" s="1"/>
  <c r="AP379" i="11" s="1"/>
  <c r="AP235" i="9" s="1"/>
  <c r="AR340" i="11"/>
  <c r="AO76" i="9"/>
  <c r="AO78" i="9" s="1"/>
  <c r="AN165" i="9"/>
  <c r="AN166" i="9" s="1"/>
  <c r="AO380" i="11"/>
  <c r="AO121" i="9" s="1"/>
  <c r="AP365" i="11"/>
  <c r="AP111" i="13"/>
  <c r="AP126" i="13" s="1"/>
  <c r="AP19" i="15"/>
  <c r="AP31" i="15" s="1"/>
  <c r="AO308" i="11"/>
  <c r="AP305" i="11" s="1"/>
  <c r="AO382" i="11" l="1"/>
  <c r="AO383" i="11" s="1"/>
  <c r="AO384" i="11" s="1"/>
  <c r="AN146" i="13"/>
  <c r="AN148" i="13" s="1"/>
  <c r="AP33" i="15"/>
  <c r="AP66" i="9"/>
  <c r="AP72" i="9" s="1"/>
  <c r="AP74" i="9" s="1"/>
  <c r="AP220" i="9"/>
  <c r="AP377" i="11"/>
  <c r="AO80" i="9"/>
  <c r="AO158" i="9"/>
  <c r="AO110" i="13"/>
  <c r="AO124" i="13" s="1"/>
  <c r="AP277" i="9" l="1"/>
  <c r="AP279" i="9" s="1"/>
  <c r="AP240" i="9"/>
  <c r="AP248" i="11"/>
  <c r="AP288" i="11" s="1"/>
  <c r="AP301" i="11" s="1"/>
  <c r="AP320" i="11" s="1"/>
  <c r="AO132" i="13"/>
  <c r="AO134" i="13" s="1"/>
  <c r="AO135" i="13" s="1"/>
  <c r="AO125" i="13"/>
  <c r="AP324" i="11" l="1"/>
  <c r="AP327" i="11" s="1"/>
  <c r="AP331" i="11" s="1"/>
  <c r="AP332" i="11" s="1"/>
  <c r="AP366" i="11" s="1"/>
  <c r="AP323" i="11"/>
  <c r="AO136" i="13"/>
  <c r="AP275" i="9"/>
  <c r="AP278" i="9" s="1"/>
  <c r="AP283" i="9" s="1"/>
  <c r="AP286" i="9" s="1"/>
  <c r="AP325" i="11" l="1"/>
  <c r="AP306" i="11" s="1"/>
  <c r="AP378" i="11"/>
  <c r="AP284" i="11"/>
  <c r="AP374" i="11" s="1"/>
  <c r="AP370" i="11"/>
  <c r="AP112" i="13"/>
  <c r="AP127" i="13" s="1"/>
  <c r="AP128" i="13" s="1"/>
  <c r="AO160" i="13"/>
  <c r="AP139" i="13"/>
  <c r="AP162" i="13" s="1"/>
  <c r="AP163" i="13" s="1"/>
  <c r="AP263" i="9" s="1"/>
  <c r="AP307" i="11" l="1"/>
  <c r="AP308" i="11" s="1"/>
  <c r="AQ305" i="11" s="1"/>
  <c r="AO159" i="9"/>
  <c r="AO160" i="9" s="1"/>
  <c r="AO164" i="13"/>
  <c r="AP380" i="11"/>
  <c r="AP121" i="9" s="1"/>
  <c r="AQ365" i="11"/>
  <c r="AP287" i="9"/>
  <c r="AP288" i="9" s="1"/>
  <c r="AP269" i="9"/>
  <c r="AP271" i="9" s="1"/>
  <c r="AM66" i="25" s="1"/>
  <c r="AP76" i="9"/>
  <c r="AP78" i="9" s="1"/>
  <c r="AM68" i="25" l="1"/>
  <c r="AP382" i="11"/>
  <c r="AP383" i="11" s="1"/>
  <c r="AP384" i="11" s="1"/>
  <c r="AQ377" i="11"/>
  <c r="AP159" i="13"/>
  <c r="AO132" i="9"/>
  <c r="AO137" i="9" s="1"/>
  <c r="AO148" i="9" s="1"/>
  <c r="AO150" i="9" s="1"/>
  <c r="AO141" i="13"/>
  <c r="AP157" i="9"/>
  <c r="AO162" i="9"/>
  <c r="AP290" i="9"/>
  <c r="AP85" i="9"/>
  <c r="AP86" i="9" s="1"/>
  <c r="AM67" i="25" s="1"/>
  <c r="AP80" i="9"/>
  <c r="AP158" i="9"/>
  <c r="AP110" i="13"/>
  <c r="AP124" i="13" s="1"/>
  <c r="AP132" i="13" s="1"/>
  <c r="AP134" i="13" s="1"/>
  <c r="AP135" i="13" s="1"/>
  <c r="AO164" i="9" l="1"/>
  <c r="AO165" i="9" s="1"/>
  <c r="AO166" i="9" s="1"/>
  <c r="AP291" i="9"/>
  <c r="AP292" i="9"/>
  <c r="AO143" i="13"/>
  <c r="AO142" i="13"/>
  <c r="AP97" i="9"/>
  <c r="AP108" i="9" s="1"/>
  <c r="AP168" i="9"/>
  <c r="AQ84" i="9"/>
  <c r="AP109" i="13"/>
  <c r="AP123" i="13" s="1"/>
  <c r="AP125" i="13" s="1"/>
  <c r="AP136" i="13" s="1"/>
  <c r="AP293" i="9" l="1"/>
  <c r="AO144" i="13"/>
  <c r="AO147" i="13" s="1"/>
  <c r="AP160" i="13"/>
  <c r="AQ139" i="13"/>
  <c r="AQ162" i="13" s="1"/>
  <c r="AQ163" i="13" s="1"/>
  <c r="AQ263" i="9" s="1"/>
  <c r="AQ111" i="13"/>
  <c r="AQ126" i="13" s="1"/>
  <c r="AQ19" i="15"/>
  <c r="AQ31" i="15" s="1"/>
  <c r="AO146" i="13" l="1"/>
  <c r="AO148" i="13" s="1"/>
  <c r="AQ287" i="9"/>
  <c r="AQ269" i="9"/>
  <c r="AQ33" i="15"/>
  <c r="AQ220" i="9"/>
  <c r="AQ66" i="9"/>
  <c r="AQ72" i="9" s="1"/>
  <c r="AQ74" i="9" s="1"/>
  <c r="AP159" i="9"/>
  <c r="AP160" i="9" s="1"/>
  <c r="AP164" i="13"/>
  <c r="AQ248" i="11" l="1"/>
  <c r="AQ288" i="11" s="1"/>
  <c r="AQ301" i="11" s="1"/>
  <c r="AQ320" i="11" s="1"/>
  <c r="AQ159" i="13"/>
  <c r="AP132" i="9"/>
  <c r="AP137" i="9" s="1"/>
  <c r="AP148" i="9" s="1"/>
  <c r="AP150" i="9" s="1"/>
  <c r="AP141" i="13"/>
  <c r="AQ157" i="9"/>
  <c r="AP162" i="9"/>
  <c r="AQ277" i="9"/>
  <c r="AQ279" i="9" s="1"/>
  <c r="AQ240" i="9"/>
  <c r="AP164" i="9" l="1"/>
  <c r="AP165" i="9" s="1"/>
  <c r="AP166" i="9" s="1"/>
  <c r="AQ109" i="13"/>
  <c r="AQ123" i="13" s="1"/>
  <c r="AP142" i="13"/>
  <c r="AP143" i="13"/>
  <c r="AQ324" i="11"/>
  <c r="AQ327" i="11" s="1"/>
  <c r="AQ331" i="11" s="1"/>
  <c r="AQ332" i="11" s="1"/>
  <c r="AQ366" i="11" s="1"/>
  <c r="AQ323" i="11"/>
  <c r="AQ275" i="9"/>
  <c r="AQ278" i="9" s="1"/>
  <c r="AQ283" i="9" s="1"/>
  <c r="AQ286" i="9" s="1"/>
  <c r="AQ271" i="9"/>
  <c r="AN66" i="25" s="1"/>
  <c r="AN68" i="25" l="1"/>
  <c r="AQ325" i="11"/>
  <c r="AQ306" i="11" s="1"/>
  <c r="AP144" i="13"/>
  <c r="AP146" i="13" s="1"/>
  <c r="AQ284" i="11"/>
  <c r="AQ374" i="11" s="1"/>
  <c r="AQ378" i="11"/>
  <c r="AQ370" i="11"/>
  <c r="AQ85" i="9"/>
  <c r="AQ86" i="9" s="1"/>
  <c r="AN67" i="25" s="1"/>
  <c r="AQ288" i="9"/>
  <c r="AQ290" i="9" s="1"/>
  <c r="AQ112" i="13"/>
  <c r="AQ127" i="13" s="1"/>
  <c r="AQ128" i="13" s="1"/>
  <c r="AQ307" i="11" l="1"/>
  <c r="AQ308" i="11" s="1"/>
  <c r="AR305" i="11" s="1"/>
  <c r="AP147" i="13"/>
  <c r="AP148" i="13" s="1"/>
  <c r="AQ380" i="11"/>
  <c r="AQ121" i="9" s="1"/>
  <c r="AR365" i="11"/>
  <c r="AQ291" i="9"/>
  <c r="AQ292" i="9"/>
  <c r="AQ168" i="9"/>
  <c r="AQ97" i="9"/>
  <c r="AQ108" i="9" s="1"/>
  <c r="AR84" i="9"/>
  <c r="AQ76" i="9"/>
  <c r="AQ78" i="9" s="1"/>
  <c r="AQ293" i="9" l="1"/>
  <c r="AQ382" i="11"/>
  <c r="AQ383" i="11" s="1"/>
  <c r="AQ384" i="11" s="1"/>
  <c r="AR377" i="11"/>
  <c r="AQ80" i="9"/>
  <c r="AQ158" i="9"/>
  <c r="AQ110" i="13"/>
  <c r="AQ124" i="13" s="1"/>
  <c r="AR111" i="13"/>
  <c r="AR126" i="13" s="1"/>
  <c r="AR19" i="15"/>
  <c r="AR31" i="15" s="1"/>
  <c r="AR33" i="15" l="1"/>
  <c r="AR220" i="9"/>
  <c r="AR66" i="9"/>
  <c r="AR72" i="9" s="1"/>
  <c r="AR74" i="9" s="1"/>
  <c r="AQ132" i="13"/>
  <c r="AQ134" i="13" s="1"/>
  <c r="AQ135" i="13" s="1"/>
  <c r="AQ125" i="13"/>
  <c r="AQ136" i="13" l="1"/>
  <c r="AR277" i="9"/>
  <c r="AR279" i="9" s="1"/>
  <c r="AR248" i="11"/>
  <c r="AR288" i="11" s="1"/>
  <c r="AR301" i="11" s="1"/>
  <c r="AR320" i="11" s="1"/>
  <c r="AR324" i="11" l="1"/>
  <c r="AR327" i="11" s="1"/>
  <c r="AR331" i="11" s="1"/>
  <c r="AR323" i="11"/>
  <c r="AQ160" i="13"/>
  <c r="AR139" i="13"/>
  <c r="AR162" i="13" s="1"/>
  <c r="AR163" i="13" s="1"/>
  <c r="AR263" i="9" s="1"/>
  <c r="AR325" i="11" l="1"/>
  <c r="AR306" i="11" s="1"/>
  <c r="AQ159" i="9"/>
  <c r="AQ160" i="9" s="1"/>
  <c r="AQ164" i="13"/>
  <c r="AR332" i="11"/>
  <c r="AR366" i="11" s="1"/>
  <c r="AR353" i="11"/>
  <c r="AR339" i="11"/>
  <c r="AR341" i="11" s="1"/>
  <c r="AR287" i="9"/>
  <c r="AR269" i="9"/>
  <c r="AR307" i="11" l="1"/>
  <c r="AR308" i="11" s="1"/>
  <c r="AS305" i="11" s="1"/>
  <c r="AS322" i="11"/>
  <c r="AR284" i="11"/>
  <c r="AR374" i="11" s="1"/>
  <c r="AR378" i="11"/>
  <c r="AR159" i="13"/>
  <c r="AQ132" i="9"/>
  <c r="AQ137" i="9" s="1"/>
  <c r="AQ148" i="9" s="1"/>
  <c r="AQ150" i="9" s="1"/>
  <c r="AQ141" i="13"/>
  <c r="AR271" i="11"/>
  <c r="AR345" i="11"/>
  <c r="AR157" i="9"/>
  <c r="AQ162" i="9"/>
  <c r="AQ164" i="9" l="1"/>
  <c r="AQ165" i="9" s="1"/>
  <c r="AQ166" i="9" s="1"/>
  <c r="AQ142" i="13"/>
  <c r="AQ143" i="13"/>
  <c r="AR109" i="13"/>
  <c r="AR123" i="13" s="1"/>
  <c r="AR354" i="11"/>
  <c r="AR355" i="11" s="1"/>
  <c r="AS348" i="11"/>
  <c r="AR76" i="9"/>
  <c r="AR78" i="9" s="1"/>
  <c r="AQ144" i="13" l="1"/>
  <c r="AQ147" i="13" s="1"/>
  <c r="AR278" i="11"/>
  <c r="AR359" i="11"/>
  <c r="AR356" i="11"/>
  <c r="AR358" i="11" s="1"/>
  <c r="AR360" i="11" s="1"/>
  <c r="AR357" i="11"/>
  <c r="AR80" i="9"/>
  <c r="AR158" i="9"/>
  <c r="AR110" i="13"/>
  <c r="AR124" i="13" s="1"/>
  <c r="AR132" i="13" s="1"/>
  <c r="AR134" i="13" s="1"/>
  <c r="AQ146" i="13" l="1"/>
  <c r="AQ148" i="13" s="1"/>
  <c r="AR361" i="11"/>
  <c r="AR368" i="11" s="1"/>
  <c r="AR369" i="11" s="1"/>
  <c r="AS361" i="11"/>
  <c r="AS368" i="11" s="1"/>
  <c r="AS369" i="11" s="1"/>
  <c r="AS379" i="11" s="1"/>
  <c r="AS235" i="9" s="1"/>
  <c r="AR125" i="13"/>
  <c r="AR379" i="11" l="1"/>
  <c r="AR235" i="9" s="1"/>
  <c r="AR240" i="9" s="1"/>
  <c r="AR370" i="11"/>
  <c r="AR380" i="11" l="1"/>
  <c r="AS365" i="11"/>
  <c r="AR271" i="9"/>
  <c r="AO66" i="25" s="1"/>
  <c r="AR275" i="9"/>
  <c r="AR278" i="9" s="1"/>
  <c r="AR283" i="9" s="1"/>
  <c r="AR286" i="9" s="1"/>
  <c r="AO68" i="25" l="1"/>
  <c r="AR85" i="9"/>
  <c r="AR86" i="9" s="1"/>
  <c r="AO67" i="25" s="1"/>
  <c r="AR288" i="9"/>
  <c r="AR290" i="9" s="1"/>
  <c r="AR112" i="13"/>
  <c r="AR127" i="13" s="1"/>
  <c r="AR128" i="13" s="1"/>
  <c r="AS377" i="11"/>
  <c r="AR121" i="9"/>
  <c r="AR382" i="11"/>
  <c r="AR292" i="9" l="1"/>
  <c r="AR291" i="9"/>
  <c r="AR383" i="11"/>
  <c r="AR384" i="11" s="1"/>
  <c r="AR135" i="13"/>
  <c r="AR136" i="13"/>
  <c r="AR168" i="9"/>
  <c r="AR97" i="9"/>
  <c r="AR108" i="9" s="1"/>
  <c r="AS84" i="9"/>
  <c r="AR293" i="9" l="1"/>
  <c r="AR160" i="13"/>
  <c r="AS139" i="13"/>
  <c r="AS162" i="13" s="1"/>
  <c r="AS163" i="13" s="1"/>
  <c r="AS263" i="9" s="1"/>
  <c r="AS111" i="13"/>
  <c r="AS126" i="13" s="1"/>
  <c r="AS19" i="15"/>
  <c r="AS31" i="15" s="1"/>
  <c r="AS33" i="15" l="1"/>
  <c r="I33" i="15" s="1"/>
  <c r="K32" i="2" s="1"/>
  <c r="M32" i="2" s="1"/>
  <c r="AS220" i="9"/>
  <c r="AS66" i="9"/>
  <c r="AS72" i="9" s="1"/>
  <c r="AS74" i="9" s="1"/>
  <c r="AS287" i="9"/>
  <c r="AS269" i="9"/>
  <c r="AR159" i="9"/>
  <c r="AR160" i="9" s="1"/>
  <c r="AR164" i="13"/>
  <c r="AS159" i="13" l="1"/>
  <c r="AR132" i="9"/>
  <c r="AR137" i="9" s="1"/>
  <c r="AR148" i="9" s="1"/>
  <c r="AR150" i="9" s="1"/>
  <c r="AR141" i="13"/>
  <c r="AS248" i="11"/>
  <c r="AS288" i="11" s="1"/>
  <c r="AS301" i="11" s="1"/>
  <c r="AS320" i="11" s="1"/>
  <c r="AS157" i="9"/>
  <c r="AR162" i="9"/>
  <c r="AS277" i="9"/>
  <c r="AS279" i="9" s="1"/>
  <c r="AS240" i="9"/>
  <c r="AS109" i="13" l="1"/>
  <c r="AS123" i="13" s="1"/>
  <c r="AR143" i="13"/>
  <c r="AR142" i="13"/>
  <c r="AR164" i="9"/>
  <c r="AS324" i="11"/>
  <c r="AS327" i="11" s="1"/>
  <c r="AS331" i="11" s="1"/>
  <c r="AS332" i="11" s="1"/>
  <c r="AS366" i="11" s="1"/>
  <c r="AS323" i="11"/>
  <c r="AS275" i="9"/>
  <c r="AS278" i="9" s="1"/>
  <c r="AS283" i="9" s="1"/>
  <c r="AS286" i="9" s="1"/>
  <c r="AS271" i="9"/>
  <c r="AP66" i="25" s="1"/>
  <c r="AP68" i="25" s="1"/>
  <c r="P7" i="25" s="1"/>
  <c r="AS325" i="11" l="1"/>
  <c r="AS306" i="11" s="1"/>
  <c r="AR144" i="13"/>
  <c r="AR146" i="13" s="1"/>
  <c r="AS284" i="11"/>
  <c r="AS374" i="11" s="1"/>
  <c r="AS378" i="11"/>
  <c r="AS370" i="11"/>
  <c r="AS380" i="11" s="1"/>
  <c r="AS121" i="9" s="1"/>
  <c r="AR165" i="9"/>
  <c r="AR166" i="9" s="1"/>
  <c r="AS288" i="9"/>
  <c r="AS290" i="9" s="1"/>
  <c r="AS112" i="13"/>
  <c r="AS127" i="13" s="1"/>
  <c r="AS128" i="13" s="1"/>
  <c r="AS85" i="9"/>
  <c r="AS86" i="9" s="1"/>
  <c r="AP67" i="25" s="1"/>
  <c r="AR147" i="13" l="1"/>
  <c r="AR148" i="13" s="1"/>
  <c r="AS307" i="11"/>
  <c r="AS308" i="11" s="1"/>
  <c r="AS292" i="9"/>
  <c r="AS291" i="9"/>
  <c r="AS97" i="9"/>
  <c r="AS108" i="9" s="1"/>
  <c r="AS168" i="9"/>
  <c r="I168" i="9" s="1"/>
  <c r="K83" i="2" s="1"/>
  <c r="M83" i="2" s="1"/>
  <c r="AS382" i="11"/>
  <c r="AS76" i="9"/>
  <c r="AS78" i="9" s="1"/>
  <c r="AS293" i="9" l="1"/>
  <c r="I293" i="9" s="1"/>
  <c r="K40" i="2" s="1"/>
  <c r="M40" i="2" s="1"/>
  <c r="AS383" i="11"/>
  <c r="AS384" i="11" s="1"/>
  <c r="I384" i="11" s="1"/>
  <c r="K31" i="2" s="1"/>
  <c r="M31" i="2" s="1"/>
  <c r="AS80" i="9"/>
  <c r="I80" i="9" s="1"/>
  <c r="K38" i="2" s="1"/>
  <c r="M38" i="2" s="1"/>
  <c r="AS158" i="9"/>
  <c r="AS110" i="13"/>
  <c r="AS124" i="13" s="1"/>
  <c r="AS132" i="13" l="1"/>
  <c r="AS134" i="13" s="1"/>
  <c r="AS135" i="13" s="1"/>
  <c r="AS125" i="13"/>
  <c r="AS136" i="13" l="1"/>
  <c r="AS160" i="13" s="1"/>
  <c r="AS159" i="9" s="1"/>
  <c r="AS160" i="9" s="1"/>
  <c r="AS162" i="9" s="1"/>
  <c r="AS164" i="13" l="1"/>
  <c r="AS132" i="9" s="1"/>
  <c r="AS137" i="9" s="1"/>
  <c r="AS148" i="9" s="1"/>
  <c r="AS150" i="9" s="1"/>
  <c r="AS164" i="9" s="1"/>
  <c r="AS141" i="13" l="1"/>
  <c r="AS142" i="13" s="1"/>
  <c r="AS165" i="9"/>
  <c r="AS166" i="9" s="1"/>
  <c r="I166" i="9" s="1"/>
  <c r="K39" i="2" s="1"/>
  <c r="M39" i="2" s="1"/>
  <c r="AS143" i="13" l="1"/>
  <c r="AS144" i="13" s="1"/>
  <c r="AS146" i="13" l="1"/>
  <c r="AS147" i="13"/>
  <c r="I144" i="13"/>
  <c r="K29" i="2" s="1"/>
  <c r="M29" i="2" s="1"/>
  <c r="M42" i="2" l="1"/>
  <c r="F6" i="2" s="1"/>
  <c r="AS148" i="13"/>
  <c r="I148" i="13" s="1"/>
  <c r="K82" i="2" s="1"/>
  <c r="M82" i="2" s="1"/>
  <c r="G6" i="2" l="1"/>
  <c r="M85" i="2"/>
  <c r="F62" i="2" s="1"/>
  <c r="G62" i="2" l="1"/>
  <c r="B2" i="6"/>
  <c r="B2" i="25" l="1"/>
  <c r="B2" i="11"/>
  <c r="B3" i="23"/>
  <c r="B2" i="9"/>
  <c r="B2" i="13"/>
  <c r="B2" i="19"/>
  <c r="B2" i="16"/>
  <c r="B2" i="14"/>
  <c r="B2" i="10"/>
  <c r="B2" i="7"/>
  <c r="B2" i="12"/>
  <c r="B2" i="15"/>
  <c r="C11" i="22"/>
  <c r="C11" i="20"/>
  <c r="C11" i="21"/>
  <c r="B2" i="17"/>
  <c r="B2" i="8"/>
  <c r="B2" i="2"/>
  <c r="B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D247" authorId="0" shapeId="0" xr:uid="{88D372F0-EA53-4018-B593-FCEADFD339B7}">
      <text>
        <r>
          <rPr>
            <b/>
            <sz val="9"/>
            <color indexed="81"/>
            <rFont val="Tahoma"/>
            <family val="2"/>
          </rPr>
          <t xml:space="preserve">Error Check
</t>
        </r>
        <r>
          <rPr>
            <sz val="9"/>
            <color indexed="81"/>
            <rFont val="Tahoma"/>
            <family val="2"/>
          </rPr>
          <t>Flags the existence of errors.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I80" authorId="0" shapeId="0" xr:uid="{6F9CDEDE-FB0D-48A9-9B34-6B84FBFEBC4A}">
      <text>
        <r>
          <rPr>
            <b/>
            <sz val="9"/>
            <color indexed="81"/>
            <rFont val="Tahoma"/>
            <family val="2"/>
          </rPr>
          <t xml:space="preserve">Error Check
</t>
        </r>
        <r>
          <rPr>
            <sz val="9"/>
            <color indexed="81"/>
            <rFont val="Tahoma"/>
            <family val="2"/>
          </rPr>
          <t>Flags the existence of errors.</t>
        </r>
      </text>
    </comment>
    <comment ref="I166" authorId="0" shapeId="0" xr:uid="{97C02312-B7B3-443A-AD6E-E1CAC74C2DDC}">
      <text>
        <r>
          <rPr>
            <b/>
            <sz val="9"/>
            <color indexed="81"/>
            <rFont val="Tahoma"/>
            <family val="2"/>
          </rPr>
          <t xml:space="preserve">Error Check
</t>
        </r>
        <r>
          <rPr>
            <sz val="9"/>
            <color indexed="81"/>
            <rFont val="Tahoma"/>
            <family val="2"/>
          </rPr>
          <t>Flags the existence of errors.</t>
        </r>
      </text>
    </comment>
    <comment ref="I168" authorId="0" shapeId="0" xr:uid="{EC87D698-AD23-41FD-93A0-511E41D2C281}">
      <text>
        <r>
          <rPr>
            <b/>
            <sz val="9"/>
            <color indexed="81"/>
            <rFont val="Tahoma"/>
            <family val="2"/>
          </rPr>
          <t xml:space="preserve">Alert Check
</t>
        </r>
        <r>
          <rPr>
            <sz val="9"/>
            <color indexed="81"/>
            <rFont val="Tahoma"/>
            <family val="2"/>
          </rPr>
          <t>Flags the occurrence of designated events.</t>
        </r>
      </text>
    </comment>
    <comment ref="I293" authorId="0" shapeId="0" xr:uid="{91B299D3-E1FD-447B-BAF4-F0FD2F1A4279}">
      <text>
        <r>
          <rPr>
            <b/>
            <sz val="9"/>
            <color indexed="81"/>
            <rFont val="Tahoma"/>
            <family val="2"/>
          </rPr>
          <t xml:space="preserve">Error Check
</t>
        </r>
        <r>
          <rPr>
            <sz val="9"/>
            <color indexed="81"/>
            <rFont val="Tahoma"/>
            <family val="2"/>
          </rPr>
          <t>Flags the existence of errors.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Michael Hutchens</author>
  </authors>
  <commentList>
    <comment ref="H22" authorId="0" shapeId="0" xr:uid="{54C92820-CF84-409A-BBD5-D89AC1F8A1D4}">
      <text>
        <r>
          <rPr>
            <b/>
            <sz val="9"/>
            <color indexed="81"/>
            <rFont val="Tahoma"/>
            <family val="2"/>
          </rPr>
          <t xml:space="preserve">Scenarios Count
</t>
        </r>
        <r>
          <rPr>
            <sz val="9"/>
            <color indexed="81"/>
            <rFont val="Tahoma"/>
            <family val="2"/>
          </rPr>
          <t>This cell block is used to automate the addition and removal of scenarios. Do not change or delete.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 Powell</author>
    <author>Modano</author>
    <author>Michael Hutchens</author>
  </authors>
  <commentList>
    <comment ref="I26" authorId="0" shapeId="0" xr:uid="{4C6C6D2E-5CAE-418F-904A-997AC52BE1FC}">
      <text>
        <r>
          <rPr>
            <b/>
            <sz val="9"/>
            <color indexed="81"/>
            <rFont val="Tahoma"/>
            <family val="2"/>
          </rPr>
          <t xml:space="preserve">Sensitivity Check
</t>
        </r>
        <r>
          <rPr>
            <sz val="9"/>
            <color indexed="81"/>
            <rFont val="Tahoma"/>
            <family val="2"/>
          </rPr>
          <t>Flags the existence of operative sensitivity assumptions.</t>
        </r>
      </text>
    </comment>
    <comment ref="I31" authorId="0" shapeId="0" xr:uid="{44DE9ABA-4D0A-4801-9F72-631C5060E515}">
      <text>
        <r>
          <rPr>
            <b/>
            <sz val="9"/>
            <color indexed="81"/>
            <rFont val="Tahoma"/>
            <family val="2"/>
          </rPr>
          <t xml:space="preserve">Sensitivity Check
</t>
        </r>
        <r>
          <rPr>
            <sz val="9"/>
            <color indexed="81"/>
            <rFont val="Tahoma"/>
            <family val="2"/>
          </rPr>
          <t>Flags the existence of operative sensitivity assumptions.</t>
        </r>
      </text>
    </comment>
    <comment ref="I41" authorId="1" shapeId="0" xr:uid="{E22D9401-C712-4D10-81CE-DFEFCA516CFF}">
      <text>
        <r>
          <rPr>
            <b/>
            <sz val="9"/>
            <color indexed="81"/>
            <rFont val="Tahoma"/>
            <family val="2"/>
          </rPr>
          <t xml:space="preserve">Sensitivity
</t>
        </r>
        <r>
          <rPr>
            <sz val="9"/>
            <color indexed="81"/>
            <rFont val="Tahoma"/>
            <family val="2"/>
          </rPr>
          <t>Flags the existence of operative sensitivity assumptions.</t>
        </r>
      </text>
    </comment>
    <comment ref="I57" authorId="1" shapeId="0" xr:uid="{D3D87878-9074-46CA-9D65-DDD53BB3703F}">
      <text>
        <r>
          <rPr>
            <b/>
            <sz val="9"/>
            <color indexed="81"/>
            <rFont val="Tahoma"/>
            <family val="2"/>
          </rPr>
          <t xml:space="preserve">Sensitivity
</t>
        </r>
        <r>
          <rPr>
            <sz val="9"/>
            <color indexed="81"/>
            <rFont val="Tahoma"/>
            <family val="2"/>
          </rPr>
          <t>Flags the existence of operative sensitivity assumptions.</t>
        </r>
      </text>
    </comment>
    <comment ref="I70" authorId="1" shapeId="0" xr:uid="{7BF83716-B93F-4C68-B7DC-5333A8E070C4}">
      <text>
        <r>
          <rPr>
            <b/>
            <sz val="9"/>
            <color indexed="81"/>
            <rFont val="Tahoma"/>
            <family val="2"/>
          </rPr>
          <t xml:space="preserve">Sensitivity
</t>
        </r>
        <r>
          <rPr>
            <sz val="9"/>
            <color indexed="81"/>
            <rFont val="Tahoma"/>
            <family val="2"/>
          </rPr>
          <t>Flags the existence of operative sensitivity assumptions.</t>
        </r>
      </text>
    </comment>
    <comment ref="I95" authorId="0" shapeId="0" xr:uid="{3A48C704-BF49-455E-93AF-A4ACE0C9DC5B}">
      <text>
        <r>
          <rPr>
            <b/>
            <sz val="9"/>
            <color indexed="81"/>
            <rFont val="Tahoma"/>
            <family val="2"/>
          </rPr>
          <t xml:space="preserve">Sensitivity
</t>
        </r>
        <r>
          <rPr>
            <sz val="9"/>
            <color indexed="81"/>
            <rFont val="Tahoma"/>
            <family val="2"/>
          </rPr>
          <t>Flags the existence of operative sensitivity assumptions.</t>
        </r>
      </text>
    </comment>
    <comment ref="I105" authorId="1" shapeId="0" xr:uid="{3A9FC531-212E-486B-B4E6-BA530C4AA1E3}">
      <text>
        <r>
          <rPr>
            <b/>
            <sz val="9"/>
            <color indexed="81"/>
            <rFont val="Tahoma"/>
            <family val="2"/>
          </rPr>
          <t xml:space="preserve">Sensitivity
</t>
        </r>
        <r>
          <rPr>
            <sz val="9"/>
            <color indexed="81"/>
            <rFont val="Tahoma"/>
            <family val="2"/>
          </rPr>
          <t>Flags the existence of operative sensitivity assumptions.</t>
        </r>
      </text>
    </comment>
    <comment ref="H261" authorId="2" shapeId="0" xr:uid="{EE7EC4DD-1908-4FD4-BB68-3F11B5E8453D}">
      <text>
        <r>
          <rPr>
            <b/>
            <sz val="9"/>
            <color indexed="81"/>
            <rFont val="Tahoma"/>
            <family val="2"/>
          </rPr>
          <t xml:space="preserve">Error Check
</t>
        </r>
        <r>
          <rPr>
            <sz val="9"/>
            <color indexed="81"/>
            <rFont val="Tahoma"/>
            <family val="2"/>
          </rPr>
          <t>Flags the existence of errors.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J77" authorId="0" shapeId="0" xr:uid="{6B40F601-A4ED-48E1-BD66-B7D355E91A1B}">
      <text>
        <r>
          <rPr>
            <b/>
            <sz val="9"/>
            <color indexed="81"/>
            <rFont val="Tahoma"/>
            <family val="2"/>
          </rPr>
          <t xml:space="preserve">Error Check
</t>
        </r>
        <r>
          <rPr>
            <sz val="9"/>
            <color indexed="81"/>
            <rFont val="Tahoma"/>
            <family val="2"/>
          </rPr>
          <t>Flags the existence of errors.</t>
        </r>
      </text>
    </comment>
    <comment ref="J79" authorId="0" shapeId="0" xr:uid="{C8D1473B-44B0-49A3-97F7-4BE903ABD33A}">
      <text>
        <r>
          <rPr>
            <b/>
            <sz val="9"/>
            <color indexed="81"/>
            <rFont val="Tahoma"/>
            <family val="2"/>
          </rPr>
          <t xml:space="preserve">Alert Check
</t>
        </r>
        <r>
          <rPr>
            <sz val="9"/>
            <color indexed="81"/>
            <rFont val="Tahoma"/>
            <family val="2"/>
          </rPr>
          <t>Flags the occurrence of designated events.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 Powell</author>
    <author>Modano</author>
  </authors>
  <commentList>
    <comment ref="I24" authorId="0" shapeId="0" xr:uid="{8B942E7E-F72F-4578-BDAC-C46CB914ABD4}">
      <text>
        <r>
          <rPr>
            <b/>
            <sz val="9"/>
            <color indexed="81"/>
            <rFont val="Tahoma"/>
            <family val="2"/>
          </rPr>
          <t xml:space="preserve">Error Check
</t>
        </r>
        <r>
          <rPr>
            <sz val="9"/>
            <color indexed="81"/>
            <rFont val="Tahoma"/>
            <family val="2"/>
          </rPr>
          <t>Flags the existence of errors.</t>
        </r>
      </text>
    </comment>
    <comment ref="I25" authorId="0" shapeId="0" xr:uid="{C5D46193-239A-4ADF-A2E3-02C03EBFD9E5}">
      <text>
        <r>
          <rPr>
            <b/>
            <sz val="9"/>
            <color indexed="81"/>
            <rFont val="Tahoma"/>
            <family val="2"/>
          </rPr>
          <t xml:space="preserve">Alert Check
</t>
        </r>
        <r>
          <rPr>
            <sz val="9"/>
            <color indexed="81"/>
            <rFont val="Tahoma"/>
            <family val="2"/>
          </rPr>
          <t>Flags the occurrence of designated events.</t>
        </r>
      </text>
    </comment>
    <comment ref="I43" authorId="0" shapeId="0" xr:uid="{6A0E8DA0-93E9-4854-AD78-0F499D366484}">
      <text>
        <r>
          <rPr>
            <b/>
            <sz val="9"/>
            <color indexed="81"/>
            <rFont val="Tahoma"/>
            <family val="2"/>
          </rPr>
          <t xml:space="preserve">Error Check
</t>
        </r>
        <r>
          <rPr>
            <sz val="9"/>
            <color indexed="81"/>
            <rFont val="Tahoma"/>
            <family val="2"/>
          </rPr>
          <t>Flags the existence of errors.</t>
        </r>
      </text>
    </comment>
    <comment ref="I44" authorId="0" shapeId="0" xr:uid="{4770C02F-5180-4684-A867-54687BC84873}">
      <text>
        <r>
          <rPr>
            <b/>
            <sz val="9"/>
            <color indexed="81"/>
            <rFont val="Tahoma"/>
            <family val="2"/>
          </rPr>
          <t xml:space="preserve">Alert Check
</t>
        </r>
        <r>
          <rPr>
            <sz val="9"/>
            <color indexed="81"/>
            <rFont val="Tahoma"/>
            <family val="2"/>
          </rPr>
          <t>Flags the occurrence of designated events.</t>
        </r>
      </text>
    </comment>
    <comment ref="I82" authorId="1" shapeId="0" xr:uid="{EDF1B5DC-8A46-4FB6-96B4-59DA2C3E1197}">
      <text>
        <r>
          <rPr>
            <b/>
            <sz val="9"/>
            <color indexed="81"/>
            <rFont val="Tahoma"/>
            <family val="2"/>
          </rPr>
          <t xml:space="preserve">Error Check
</t>
        </r>
        <r>
          <rPr>
            <sz val="9"/>
            <color indexed="81"/>
            <rFont val="Tahoma"/>
            <family val="2"/>
          </rPr>
          <t>Flags the existence of errors.</t>
        </r>
      </text>
    </comment>
    <comment ref="I83" authorId="1" shapeId="0" xr:uid="{BAEEAF58-7FFA-4646-9EEE-09947CF27F3A}">
      <text>
        <r>
          <rPr>
            <b/>
            <sz val="9"/>
            <color indexed="81"/>
            <rFont val="Tahoma"/>
            <family val="2"/>
          </rPr>
          <t xml:space="preserve">Alert Check
</t>
        </r>
        <r>
          <rPr>
            <sz val="9"/>
            <color indexed="81"/>
            <rFont val="Tahoma"/>
            <family val="2"/>
          </rPr>
          <t>Flags the occurrence of designated events.</t>
        </r>
      </text>
    </comment>
    <comment ref="I112" authorId="1" shapeId="0" xr:uid="{6118C728-5319-4988-98EB-461D5B0961A3}">
      <text>
        <r>
          <rPr>
            <b/>
            <sz val="9"/>
            <color indexed="81"/>
            <rFont val="Tahoma"/>
            <family val="2"/>
          </rPr>
          <t xml:space="preserve">Error Check
</t>
        </r>
        <r>
          <rPr>
            <sz val="9"/>
            <color indexed="81"/>
            <rFont val="Tahoma"/>
            <family val="2"/>
          </rPr>
          <t>Flags the existence of errors.</t>
        </r>
      </text>
    </comment>
    <comment ref="I113" authorId="1" shapeId="0" xr:uid="{DF0C2549-5CC9-4D0F-9CCD-189DEDAC9BC4}">
      <text>
        <r>
          <rPr>
            <b/>
            <sz val="9"/>
            <color indexed="81"/>
            <rFont val="Tahoma"/>
            <family val="2"/>
          </rPr>
          <t xml:space="preserve">Alert Check
</t>
        </r>
        <r>
          <rPr>
            <sz val="9"/>
            <color indexed="81"/>
            <rFont val="Tahoma"/>
            <family val="2"/>
          </rPr>
          <t>Flags the occurrence of designated events.</t>
        </r>
      </text>
    </comment>
    <comment ref="I163" authorId="1" shapeId="0" xr:uid="{F0DE76AF-B01D-4358-9E3F-65F2AD61CD59}">
      <text>
        <r>
          <rPr>
            <b/>
            <sz val="9"/>
            <color indexed="81"/>
            <rFont val="Tahoma"/>
            <family val="2"/>
          </rPr>
          <t xml:space="preserve">Error Check
</t>
        </r>
        <r>
          <rPr>
            <sz val="9"/>
            <color indexed="81"/>
            <rFont val="Tahoma"/>
            <family val="2"/>
          </rPr>
          <t>Flags the existence of errors.</t>
        </r>
      </text>
    </comment>
    <comment ref="I164" authorId="1" shapeId="0" xr:uid="{A1D12B17-F94A-4D1B-A437-E54AA2850FBF}">
      <text>
        <r>
          <rPr>
            <b/>
            <sz val="9"/>
            <color indexed="81"/>
            <rFont val="Tahoma"/>
            <family val="2"/>
          </rPr>
          <t xml:space="preserve">Alert Check
</t>
        </r>
        <r>
          <rPr>
            <sz val="9"/>
            <color indexed="81"/>
            <rFont val="Tahoma"/>
            <family val="2"/>
          </rPr>
          <t>Flags the occurrence of designated events.</t>
        </r>
      </text>
    </comment>
    <comment ref="I186" authorId="0" shapeId="0" xr:uid="{67FFD9AA-BBF2-428C-A8F0-BE2C54F8DF3B}">
      <text>
        <r>
          <rPr>
            <b/>
            <sz val="9"/>
            <color indexed="81"/>
            <rFont val="Tahoma"/>
            <family val="2"/>
          </rPr>
          <t xml:space="preserve">Error Check
</t>
        </r>
        <r>
          <rPr>
            <sz val="9"/>
            <color indexed="81"/>
            <rFont val="Tahoma"/>
            <family val="2"/>
          </rPr>
          <t>Flags the existence of errors.</t>
        </r>
      </text>
    </comment>
    <comment ref="I187" authorId="0" shapeId="0" xr:uid="{5A20C7CC-8397-44BD-97F3-228C448D0CB9}">
      <text>
        <r>
          <rPr>
            <b/>
            <sz val="9"/>
            <color indexed="81"/>
            <rFont val="Tahoma"/>
            <family val="2"/>
          </rPr>
          <t xml:space="preserve">Alert Check
</t>
        </r>
        <r>
          <rPr>
            <sz val="9"/>
            <color indexed="81"/>
            <rFont val="Tahoma"/>
            <family val="2"/>
          </rPr>
          <t>Flags the occurrence of designated events.</t>
        </r>
      </text>
    </comment>
    <comment ref="I207" authorId="1" shapeId="0" xr:uid="{EE1C0F84-0C15-4E21-9A92-D77DFC414101}">
      <text>
        <r>
          <rPr>
            <b/>
            <sz val="9"/>
            <color indexed="81"/>
            <rFont val="Tahoma"/>
            <family val="2"/>
          </rPr>
          <t xml:space="preserve">Error Check
</t>
        </r>
        <r>
          <rPr>
            <sz val="9"/>
            <color indexed="81"/>
            <rFont val="Tahoma"/>
            <family val="2"/>
          </rPr>
          <t>Flags the existence of errors.</t>
        </r>
      </text>
    </comment>
    <comment ref="I208" authorId="1" shapeId="0" xr:uid="{FCC732CB-9FF2-4ABC-9590-6FC0B249D7EA}">
      <text>
        <r>
          <rPr>
            <b/>
            <sz val="9"/>
            <color indexed="81"/>
            <rFont val="Tahoma"/>
            <family val="2"/>
          </rPr>
          <t xml:space="preserve">Alert Check
</t>
        </r>
        <r>
          <rPr>
            <sz val="9"/>
            <color indexed="81"/>
            <rFont val="Tahoma"/>
            <family val="2"/>
          </rPr>
          <t>Flags the occurrence of designated events.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I77" authorId="0" shapeId="0" xr:uid="{4AC51E31-6A86-469D-94E0-8CD001B6EF0B}">
      <text>
        <r>
          <rPr>
            <b/>
            <sz val="9"/>
            <color indexed="81"/>
            <rFont val="Tahoma"/>
            <family val="2"/>
          </rPr>
          <t xml:space="preserve">Error Check
</t>
        </r>
        <r>
          <rPr>
            <sz val="9"/>
            <color indexed="81"/>
            <rFont val="Tahoma"/>
            <family val="2"/>
          </rPr>
          <t>Flags the existence of errors.</t>
        </r>
      </text>
    </comment>
    <comment ref="I81" authorId="0" shapeId="0" xr:uid="{3B4B18F5-5B6D-4525-99A8-FF21DC9B80CE}">
      <text>
        <r>
          <rPr>
            <b/>
            <sz val="9"/>
            <color indexed="81"/>
            <rFont val="Tahoma"/>
            <family val="2"/>
          </rPr>
          <t xml:space="preserve">Alert Check
</t>
        </r>
        <r>
          <rPr>
            <sz val="9"/>
            <color indexed="81"/>
            <rFont val="Tahoma"/>
            <family val="2"/>
          </rPr>
          <t>Flags the occurrence of designated events.</t>
        </r>
      </text>
    </comment>
    <comment ref="I135" authorId="0" shapeId="0" xr:uid="{150E1E87-4197-40B9-AAFC-AABF74D41015}">
      <text>
        <r>
          <rPr>
            <b/>
            <sz val="9"/>
            <color indexed="81"/>
            <rFont val="Tahoma"/>
            <family val="2"/>
          </rPr>
          <t xml:space="preserve">Error Check
</t>
        </r>
        <r>
          <rPr>
            <sz val="9"/>
            <color indexed="81"/>
            <rFont val="Tahoma"/>
            <family val="2"/>
          </rPr>
          <t>Flags the existence of errors.</t>
        </r>
      </text>
    </comment>
    <comment ref="I139" authorId="0" shapeId="0" xr:uid="{246082DB-14AA-4579-9F40-B66807EB53D8}">
      <text>
        <r>
          <rPr>
            <b/>
            <sz val="9"/>
            <color indexed="81"/>
            <rFont val="Tahoma"/>
            <family val="2"/>
          </rPr>
          <t xml:space="preserve">Alert Check
</t>
        </r>
        <r>
          <rPr>
            <sz val="9"/>
            <color indexed="81"/>
            <rFont val="Tahoma"/>
            <family val="2"/>
          </rPr>
          <t>Flags the occurrence of designated events.</t>
        </r>
      </text>
    </comment>
    <comment ref="I232" authorId="0" shapeId="0" xr:uid="{F7658000-1BF8-4C7F-B970-3E9BD81A7648}">
      <text>
        <r>
          <rPr>
            <b/>
            <sz val="9"/>
            <color indexed="81"/>
            <rFont val="Tahoma"/>
            <family val="2"/>
          </rPr>
          <t xml:space="preserve">Error Check
</t>
        </r>
        <r>
          <rPr>
            <sz val="9"/>
            <color indexed="81"/>
            <rFont val="Tahoma"/>
            <family val="2"/>
          </rPr>
          <t>Flags the existence of errors.</t>
        </r>
      </text>
    </comment>
    <comment ref="I236" authorId="0" shapeId="0" xr:uid="{4F382775-0540-4E72-849F-6869909A719C}">
      <text>
        <r>
          <rPr>
            <b/>
            <sz val="9"/>
            <color indexed="81"/>
            <rFont val="Tahoma"/>
            <family val="2"/>
          </rPr>
          <t xml:space="preserve">Alert Check
</t>
        </r>
        <r>
          <rPr>
            <sz val="9"/>
            <color indexed="81"/>
            <rFont val="Tahoma"/>
            <family val="2"/>
          </rPr>
          <t>Flags the occurrence of designated events.</t>
        </r>
      </text>
    </comment>
    <comment ref="I292" authorId="0" shapeId="0" xr:uid="{DB76DC7C-1EA8-4BA3-B124-C72D1C838715}">
      <text>
        <r>
          <rPr>
            <b/>
            <sz val="9"/>
            <color indexed="81"/>
            <rFont val="Tahoma"/>
            <family val="2"/>
          </rPr>
          <t xml:space="preserve">Error Check
</t>
        </r>
        <r>
          <rPr>
            <sz val="9"/>
            <color indexed="81"/>
            <rFont val="Tahoma"/>
            <family val="2"/>
          </rPr>
          <t>Flags the existence of errors.</t>
        </r>
      </text>
    </comment>
    <comment ref="I296" authorId="0" shapeId="0" xr:uid="{A8E5D966-A95C-4EA3-8F25-26A90F0BBEFA}">
      <text>
        <r>
          <rPr>
            <b/>
            <sz val="9"/>
            <color indexed="81"/>
            <rFont val="Tahoma"/>
            <family val="2"/>
          </rPr>
          <t xml:space="preserve">Alert Check
</t>
        </r>
        <r>
          <rPr>
            <sz val="9"/>
            <color indexed="81"/>
            <rFont val="Tahoma"/>
            <family val="2"/>
          </rPr>
          <t>Flags the occurrence of designated events.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I37" authorId="0" shapeId="0" xr:uid="{3AD5A353-1FCA-4209-8601-BE305E54F6F9}">
      <text>
        <r>
          <rPr>
            <b/>
            <sz val="9"/>
            <color indexed="81"/>
            <rFont val="Tahoma"/>
            <family val="2"/>
          </rPr>
          <t xml:space="preserve">Error Check
</t>
        </r>
        <r>
          <rPr>
            <sz val="9"/>
            <color indexed="81"/>
            <rFont val="Tahoma"/>
            <family val="2"/>
          </rPr>
          <t>Flags the existence of errors.</t>
        </r>
      </text>
    </comment>
    <comment ref="I38" authorId="0" shapeId="0" xr:uid="{CF52BB40-9613-4076-938E-95A56A7FDD35}">
      <text>
        <r>
          <rPr>
            <b/>
            <sz val="9"/>
            <color indexed="81"/>
            <rFont val="Tahoma"/>
            <family val="2"/>
          </rPr>
          <t xml:space="preserve">Alert Check
</t>
        </r>
        <r>
          <rPr>
            <sz val="9"/>
            <color indexed="81"/>
            <rFont val="Tahoma"/>
            <family val="2"/>
          </rPr>
          <t>Flags the occurrence of designated events.</t>
        </r>
      </text>
    </comment>
    <comment ref="I89" authorId="0" shapeId="0" xr:uid="{DC03AEB8-36B0-40CC-A277-2E87D41D4E61}">
      <text>
        <r>
          <rPr>
            <b/>
            <sz val="9"/>
            <color indexed="81"/>
            <rFont val="Tahoma"/>
            <family val="2"/>
          </rPr>
          <t xml:space="preserve">Error Check
</t>
        </r>
        <r>
          <rPr>
            <sz val="9"/>
            <color indexed="81"/>
            <rFont val="Tahoma"/>
            <family val="2"/>
          </rPr>
          <t>Flags the existence of errors.</t>
        </r>
      </text>
    </comment>
    <comment ref="I94" authorId="0" shapeId="0" xr:uid="{F5D57280-520E-475F-B48B-095BE865C09A}">
      <text>
        <r>
          <rPr>
            <b/>
            <sz val="9"/>
            <color indexed="81"/>
            <rFont val="Tahoma"/>
            <family val="2"/>
          </rPr>
          <t xml:space="preserve">Alert Check
</t>
        </r>
        <r>
          <rPr>
            <sz val="9"/>
            <color indexed="81"/>
            <rFont val="Tahoma"/>
            <family val="2"/>
          </rPr>
          <t>Flags the occurrence of designated events.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Modano</author>
    <author>Dan Powell</author>
  </authors>
  <commentList>
    <comment ref="I29" authorId="0" shapeId="0" xr:uid="{19B0151E-9143-4307-B030-253F5E3C3956}">
      <text>
        <r>
          <rPr>
            <b/>
            <sz val="9"/>
            <color indexed="81"/>
            <rFont val="Tahoma"/>
            <family val="2"/>
          </rPr>
          <t xml:space="preserve">Error Check
</t>
        </r>
        <r>
          <rPr>
            <sz val="9"/>
            <color indexed="81"/>
            <rFont val="Tahoma"/>
            <family val="2"/>
          </rPr>
          <t>Flags the existence of errors.</t>
        </r>
      </text>
    </comment>
    <comment ref="I51" authorId="0" shapeId="0" xr:uid="{84867285-BF96-462B-ACDA-E8FF60E7913D}">
      <text>
        <r>
          <rPr>
            <b/>
            <sz val="9"/>
            <color indexed="81"/>
            <rFont val="Tahoma"/>
            <family val="2"/>
          </rPr>
          <t xml:space="preserve">Error Check
</t>
        </r>
        <r>
          <rPr>
            <sz val="9"/>
            <color indexed="81"/>
            <rFont val="Tahoma"/>
            <family val="2"/>
          </rPr>
          <t>Flags the existence of errors.</t>
        </r>
      </text>
    </comment>
    <comment ref="I55" authorId="0" shapeId="0" xr:uid="{4348E8C2-4395-45F2-8D9A-09B4AD6F2FA9}">
      <text>
        <r>
          <rPr>
            <b/>
            <sz val="9"/>
            <color indexed="81"/>
            <rFont val="Tahoma"/>
            <family val="2"/>
          </rPr>
          <t xml:space="preserve">Alert Check
</t>
        </r>
        <r>
          <rPr>
            <sz val="9"/>
            <color indexed="81"/>
            <rFont val="Tahoma"/>
            <family val="2"/>
          </rPr>
          <t>Flags the occurrence of designated events.</t>
        </r>
      </text>
    </comment>
    <comment ref="I77" authorId="1" shapeId="0" xr:uid="{CED7532F-4721-406F-B1BB-E4A3F16852FB}">
      <text>
        <r>
          <rPr>
            <b/>
            <sz val="9"/>
            <color indexed="81"/>
            <rFont val="Tahoma"/>
            <family val="2"/>
          </rPr>
          <t xml:space="preserve">Error Check
</t>
        </r>
        <r>
          <rPr>
            <sz val="9"/>
            <color indexed="81"/>
            <rFont val="Tahoma"/>
            <family val="2"/>
          </rPr>
          <t>Flags the existence of errors.</t>
        </r>
      </text>
    </comment>
    <comment ref="I81" authorId="1" shapeId="0" xr:uid="{1E856A34-27D6-4495-91B4-E77E43A36497}">
      <text>
        <r>
          <rPr>
            <b/>
            <sz val="9"/>
            <color indexed="81"/>
            <rFont val="Tahoma"/>
            <family val="2"/>
          </rPr>
          <t xml:space="preserve">Alert Check
</t>
        </r>
        <r>
          <rPr>
            <sz val="9"/>
            <color indexed="81"/>
            <rFont val="Tahoma"/>
            <family val="2"/>
          </rPr>
          <t>Flags the occurrence of designated events.</t>
        </r>
      </text>
    </comment>
    <comment ref="I144" authorId="0" shapeId="0" xr:uid="{1E7E99A0-DA5B-432E-A836-9566995EC15E}">
      <text>
        <r>
          <rPr>
            <b/>
            <sz val="9"/>
            <color indexed="81"/>
            <rFont val="Tahoma"/>
            <family val="2"/>
          </rPr>
          <t xml:space="preserve">Error Check
</t>
        </r>
        <r>
          <rPr>
            <sz val="9"/>
            <color indexed="81"/>
            <rFont val="Tahoma"/>
            <family val="2"/>
          </rPr>
          <t>Flags the existence of errors.</t>
        </r>
      </text>
    </comment>
    <comment ref="I148" authorId="0" shapeId="0" xr:uid="{FD957F3F-B0CD-4253-9CE3-AEFFFC4A3B04}">
      <text>
        <r>
          <rPr>
            <b/>
            <sz val="9"/>
            <color indexed="81"/>
            <rFont val="Tahoma"/>
            <family val="2"/>
          </rPr>
          <t xml:space="preserve">Alert Check
</t>
        </r>
        <r>
          <rPr>
            <sz val="9"/>
            <color indexed="81"/>
            <rFont val="Tahoma"/>
            <family val="2"/>
          </rPr>
          <t>Flags the occurrence of designated events.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I229" authorId="0" shapeId="0" xr:uid="{A9221E1C-CD5F-4607-AA00-F988D09E75FB}">
      <text>
        <r>
          <rPr>
            <b/>
            <sz val="9"/>
            <color indexed="81"/>
            <rFont val="Tahoma"/>
            <family val="2"/>
          </rPr>
          <t xml:space="preserve">Error Check
</t>
        </r>
        <r>
          <rPr>
            <sz val="9"/>
            <color indexed="81"/>
            <rFont val="Tahoma"/>
            <family val="2"/>
          </rPr>
          <t>Flags the existence of errors.</t>
        </r>
      </text>
    </comment>
    <comment ref="I384" authorId="0" shapeId="0" xr:uid="{4EA19E1D-7C6A-4AEC-953C-D905CD87A9A3}">
      <text>
        <r>
          <rPr>
            <b/>
            <sz val="9"/>
            <color indexed="81"/>
            <rFont val="Tahoma"/>
            <family val="2"/>
          </rPr>
          <t xml:space="preserve">Error Check
</t>
        </r>
        <r>
          <rPr>
            <sz val="9"/>
            <color indexed="81"/>
            <rFont val="Tahoma"/>
            <family val="2"/>
          </rPr>
          <t>Flags the existence of errors.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Modano</author>
  </authors>
  <commentList>
    <comment ref="I33" authorId="0" shapeId="0" xr:uid="{C8FFD43C-29F4-4295-90B0-1EEC2C8DE868}">
      <text>
        <r>
          <rPr>
            <b/>
            <sz val="9"/>
            <color indexed="81"/>
            <rFont val="Tahoma"/>
            <family val="2"/>
          </rPr>
          <t xml:space="preserve">Error Check
</t>
        </r>
        <r>
          <rPr>
            <sz val="9"/>
            <color indexed="81"/>
            <rFont val="Tahoma"/>
            <family val="2"/>
          </rPr>
          <t>Flags the existence of errors.</t>
        </r>
      </text>
    </comment>
    <comment ref="I63" authorId="0" shapeId="0" xr:uid="{2526ACF4-0C7F-489C-9147-637CF542E8A6}">
      <text>
        <r>
          <rPr>
            <b/>
            <sz val="9"/>
            <color indexed="81"/>
            <rFont val="Tahoma"/>
            <family val="2"/>
          </rPr>
          <t xml:space="preserve">Error Check
</t>
        </r>
        <r>
          <rPr>
            <sz val="9"/>
            <color indexed="81"/>
            <rFont val="Tahoma"/>
            <family val="2"/>
          </rPr>
          <t>Flags the existence of errors.</t>
        </r>
      </text>
    </comment>
    <comment ref="I93" authorId="0" shapeId="0" xr:uid="{F010B7D2-A738-4A50-9E47-AC7FBB1D3B70}">
      <text>
        <r>
          <rPr>
            <b/>
            <sz val="9"/>
            <color indexed="81"/>
            <rFont val="Tahoma"/>
            <family val="2"/>
          </rPr>
          <t xml:space="preserve">Error Check
</t>
        </r>
        <r>
          <rPr>
            <sz val="9"/>
            <color indexed="81"/>
            <rFont val="Tahoma"/>
            <family val="2"/>
          </rPr>
          <t>Flags the existence of errors.</t>
        </r>
      </text>
    </comment>
    <comment ref="I123" authorId="0" shapeId="0" xr:uid="{3A5B7921-4023-4DA1-8D43-96BFBC9E6E4F}">
      <text>
        <r>
          <rPr>
            <b/>
            <sz val="9"/>
            <color indexed="81"/>
            <rFont val="Tahoma"/>
            <family val="2"/>
          </rPr>
          <t xml:space="preserve">Error Check
</t>
        </r>
        <r>
          <rPr>
            <sz val="9"/>
            <color indexed="81"/>
            <rFont val="Tahoma"/>
            <family val="2"/>
          </rPr>
          <t>Flags the existence of errors.</t>
        </r>
      </text>
    </comment>
    <comment ref="I153" authorId="0" shapeId="0" xr:uid="{DF285F3E-E942-486B-AD95-8C271E286D7A}">
      <text>
        <r>
          <rPr>
            <b/>
            <sz val="9"/>
            <color indexed="81"/>
            <rFont val="Tahoma"/>
            <family val="2"/>
          </rPr>
          <t xml:space="preserve">Error Check
</t>
        </r>
        <r>
          <rPr>
            <sz val="9"/>
            <color indexed="81"/>
            <rFont val="Tahoma"/>
            <family val="2"/>
          </rPr>
          <t>Flags the existence of errors.</t>
        </r>
      </text>
    </comment>
    <comment ref="I183" authorId="0" shapeId="0" xr:uid="{8D483A28-C43E-4EF1-8B87-04C854E33B52}">
      <text>
        <r>
          <rPr>
            <b/>
            <sz val="9"/>
            <color indexed="81"/>
            <rFont val="Tahoma"/>
            <family val="2"/>
          </rPr>
          <t xml:space="preserve">Error Check
</t>
        </r>
        <r>
          <rPr>
            <sz val="9"/>
            <color indexed="81"/>
            <rFont val="Tahoma"/>
            <family val="2"/>
          </rPr>
          <t>Flags the existence of errors.</t>
        </r>
      </text>
    </comment>
  </commentList>
</comments>
</file>

<file path=xl/sharedStrings.xml><?xml version="1.0" encoding="utf-8"?>
<sst xmlns="http://schemas.openxmlformats.org/spreadsheetml/2006/main" count="2066" uniqueCount="814">
  <si>
    <t>London Historical Fencing Club</t>
  </si>
  <si>
    <t>Primary Developer:  Dan Powell</t>
  </si>
  <si>
    <t>Notes</t>
  </si>
  <si>
    <t>[Insert overview note]</t>
  </si>
  <si>
    <t>Table of Contents</t>
  </si>
  <si>
    <t>a.</t>
  </si>
  <si>
    <t>b.</t>
  </si>
  <si>
    <t>c.</t>
  </si>
  <si>
    <t>d.</t>
  </si>
  <si>
    <t>-</t>
  </si>
  <si>
    <t>e.</t>
  </si>
  <si>
    <t>f.</t>
  </si>
  <si>
    <t>g.</t>
  </si>
  <si>
    <t>h.</t>
  </si>
  <si>
    <t>Instructions</t>
  </si>
  <si>
    <t>Section 1.</t>
  </si>
  <si>
    <t>Go to Table of Contents</t>
  </si>
  <si>
    <t>ç</t>
  </si>
  <si>
    <t>è</t>
  </si>
  <si>
    <t>±</t>
  </si>
  <si>
    <t>Getting Started</t>
  </si>
  <si>
    <t>Support</t>
  </si>
  <si>
    <t>Training</t>
  </si>
  <si>
    <t>Account</t>
  </si>
  <si>
    <t>Getting Started Instructions</t>
  </si>
  <si>
    <t>1. Modano Excel Add-In</t>
  </si>
  <si>
    <t>2. Time Series Assumptions</t>
  </si>
  <si>
    <t>3. Connections</t>
  </si>
  <si>
    <t>Install the Modano Excel add-in to automate the development, maintenance, customization, and review of this financial model.</t>
  </si>
  <si>
    <t>Automatically scale your model to reflect your required term. Automatically add more time series periods by changing the model term assumption.</t>
  </si>
  <si>
    <t>Connect your Modano account to accounting packages including Xero, QuickBooks, MYOB and Sage. Then live link this model so it always stays updated.</t>
  </si>
  <si>
    <t>Installation</t>
  </si>
  <si>
    <t>Help Center</t>
  </si>
  <si>
    <t>Learn</t>
  </si>
  <si>
    <t>Time Series Assumptions</t>
  </si>
  <si>
    <t>Connections</t>
  </si>
  <si>
    <t>4. Opening Balance Sheet</t>
  </si>
  <si>
    <t>5. Forecasts</t>
  </si>
  <si>
    <t>6. Scenario Analysis</t>
  </si>
  <si>
    <t>Use the Connect Model tool (Modano tab, Connections group) to live link your opening balance sheet or import data from Excel or a CSV file.</t>
  </si>
  <si>
    <t>Customize drivers then enter forecast assumptions for each area of the business including revenues, expenses, working capital, assets, capital structure and taxation.</t>
  </si>
  <si>
    <t>Perform what-if analysis by automatically adding scenarios via the scenario manager. Add scenario assumptions to any area of your financial model.</t>
  </si>
  <si>
    <t>Opening Balance Sheet</t>
  </si>
  <si>
    <t>Revenue &amp; Expenses</t>
  </si>
  <si>
    <t>Scenario Manager</t>
  </si>
  <si>
    <t>More Resources</t>
  </si>
  <si>
    <t>Customizing Your Model</t>
  </si>
  <si>
    <t>Quickly customize your model by inserting and replacing modules and categories. Then use Excel for more bespoke custom drivers and reports.</t>
  </si>
  <si>
    <t>Become a great financial modeler by leveraging Excel, financial modeling and Modano practical and theoretical learning and assessment exercises.</t>
  </si>
  <si>
    <t>Get help scoping, building or using your model from our team with decades of investment banking, accounting and financial modeling experience.</t>
  </si>
  <si>
    <t>Video</t>
  </si>
  <si>
    <t>Training &amp; Certification</t>
  </si>
  <si>
    <t>Request Support</t>
  </si>
  <si>
    <t>Dashboards</t>
  </si>
  <si>
    <t>Section 2.</t>
  </si>
  <si>
    <t>Section Cover Notes:</t>
  </si>
  <si>
    <t>[Insert section cover note 1]</t>
  </si>
  <si>
    <t>[Insert section cover note 2]</t>
  </si>
  <si>
    <t>[Insert section cover note 3]</t>
  </si>
  <si>
    <t>Summary</t>
  </si>
  <si>
    <t>x</t>
  </si>
  <si>
    <t>Income Statement</t>
  </si>
  <si>
    <t>Top Revenue</t>
  </si>
  <si>
    <t>Total</t>
  </si>
  <si>
    <t>Revenue</t>
  </si>
  <si>
    <t>Cost of Goods Sold</t>
  </si>
  <si>
    <t>Gross Margin</t>
  </si>
  <si>
    <t>Gross Margin (%)</t>
  </si>
  <si>
    <t>Operating Expenditure</t>
  </si>
  <si>
    <t>Other Revenue &amp; Expenses</t>
  </si>
  <si>
    <t>Total Revenue</t>
  </si>
  <si>
    <t>Net Operating Expenses</t>
  </si>
  <si>
    <t>EBITDA</t>
  </si>
  <si>
    <t>Top Expenses</t>
  </si>
  <si>
    <t>EBITDA / Revenue (%)</t>
  </si>
  <si>
    <t>Depreciation &amp; Amortisation</t>
  </si>
  <si>
    <t>EBIT</t>
  </si>
  <si>
    <t>EBIT / Revenue (%)</t>
  </si>
  <si>
    <t>Net Interest Expense</t>
  </si>
  <si>
    <t>Net Profit Before Tax</t>
  </si>
  <si>
    <t>NPBT / Revenue (%)</t>
  </si>
  <si>
    <t>Tax Expense</t>
  </si>
  <si>
    <t>Total Expenses</t>
  </si>
  <si>
    <t>Net Profit After Tax</t>
  </si>
  <si>
    <t>NPAT / Revenue (%)</t>
  </si>
  <si>
    <t>Profitability</t>
  </si>
  <si>
    <t xml:space="preserve">       Revenue Summary</t>
  </si>
  <si>
    <t xml:space="preserve">       Expenses Summary</t>
  </si>
  <si>
    <t>Balance Sheet</t>
  </si>
  <si>
    <t>Cash</t>
  </si>
  <si>
    <t>Debtors</t>
  </si>
  <si>
    <t>Inventory</t>
  </si>
  <si>
    <t>Other Current Assets</t>
  </si>
  <si>
    <t>Current Assets</t>
  </si>
  <si>
    <t>Fixed Assets</t>
  </si>
  <si>
    <t>Other Non-Current Assets</t>
  </si>
  <si>
    <t>Non-Current Assets</t>
  </si>
  <si>
    <t>Total Assets</t>
  </si>
  <si>
    <t>Accounts Payable</t>
  </si>
  <si>
    <t>VAT Payable</t>
  </si>
  <si>
    <t>Corporate Tax Payable</t>
  </si>
  <si>
    <t>Interest Payable</t>
  </si>
  <si>
    <t>Dividends Payable</t>
  </si>
  <si>
    <t>Net Assets</t>
  </si>
  <si>
    <t xml:space="preserve">       Revenue Depth</t>
  </si>
  <si>
    <t>Other Current Liabilities</t>
  </si>
  <si>
    <t>Current Liabilities</t>
  </si>
  <si>
    <t>Debt</t>
  </si>
  <si>
    <t>Other Non-Current Liabilities</t>
  </si>
  <si>
    <t>Non-Current Liabilities</t>
  </si>
  <si>
    <t>Total Liabilities</t>
  </si>
  <si>
    <t>Ordinary Equity</t>
  </si>
  <si>
    <t>Other Equity</t>
  </si>
  <si>
    <t>Retained Profits</t>
  </si>
  <si>
    <t>Total Equity</t>
  </si>
  <si>
    <t xml:space="preserve">      Expenses Depth</t>
  </si>
  <si>
    <t>Cash Flow Statement</t>
  </si>
  <si>
    <t>Decrease in Debtors</t>
  </si>
  <si>
    <t>Cashcade</t>
  </si>
  <si>
    <t>Other Cash Receipts</t>
  </si>
  <si>
    <t>Cash Receipts</t>
  </si>
  <si>
    <t>Decrease in Inventory</t>
  </si>
  <si>
    <t>Increase in Creditors</t>
  </si>
  <si>
    <t>Increase in Inventory Payables</t>
  </si>
  <si>
    <t>Other Cash Payments</t>
  </si>
  <si>
    <t xml:space="preserve">       Main Cash Flows</t>
  </si>
  <si>
    <t>Cash Payments</t>
  </si>
  <si>
    <t>Interest on Cash</t>
  </si>
  <si>
    <t>Increase in VAT Payable</t>
  </si>
  <si>
    <t>Interest Paid</t>
  </si>
  <si>
    <t>Corporate Tax Paid</t>
  </si>
  <si>
    <t>Other Operating Cash Flows</t>
  </si>
  <si>
    <t>Operating Cash Flows</t>
  </si>
  <si>
    <t>Fixed Assets Capital Expenditure</t>
  </si>
  <si>
    <t>Other Investing Cash Flows</t>
  </si>
  <si>
    <t>Investing Cash Flows</t>
  </si>
  <si>
    <t>Debt Drawdowns</t>
  </si>
  <si>
    <t>Debt Repayments</t>
  </si>
  <si>
    <t xml:space="preserve">       Total Cash Flows</t>
  </si>
  <si>
    <t>Ordinary Equity Raisings</t>
  </si>
  <si>
    <t>Ordinary Equity Buybacks</t>
  </si>
  <si>
    <t>Ordinary Equity Dividends Paid</t>
  </si>
  <si>
    <t>Other Financing Cash Flows</t>
  </si>
  <si>
    <t>Financing Cash Flows</t>
  </si>
  <si>
    <t>Change in Cash Held</t>
  </si>
  <si>
    <t>Dashboard Source Data</t>
  </si>
  <si>
    <t>First Displayed Period</t>
  </si>
  <si>
    <t>Linked In Data Columns Offset</t>
  </si>
  <si>
    <t>Displayed Periods Description</t>
  </si>
  <si>
    <t>Month Ending</t>
  </si>
  <si>
    <t>Month End Date</t>
  </si>
  <si>
    <t>Data Available</t>
  </si>
  <si>
    <t>Chart Axis Labels</t>
  </si>
  <si>
    <t>Financial Statements</t>
  </si>
  <si>
    <t>Income Statement Totals</t>
  </si>
  <si>
    <t>Balance Sheet Totals</t>
  </si>
  <si>
    <t>Cash Flow Statement Totals</t>
  </si>
  <si>
    <t>Rank</t>
  </si>
  <si>
    <t>Top 5 Revenue</t>
  </si>
  <si>
    <t>Expenses</t>
  </si>
  <si>
    <t>Top 5 Expenses</t>
  </si>
  <si>
    <t>Balance Sheet Charts</t>
  </si>
  <si>
    <t>Net Assets Breakdown</t>
  </si>
  <si>
    <t>Current Payables</t>
  </si>
  <si>
    <t>Positive</t>
  </si>
  <si>
    <t>Negative</t>
  </si>
  <si>
    <t>Net Assets Waterfall</t>
  </si>
  <si>
    <t>Value</t>
  </si>
  <si>
    <t>Cumulative</t>
  </si>
  <si>
    <t>Invisible +</t>
  </si>
  <si>
    <t>Color 2 +</t>
  </si>
  <si>
    <t>Invisble -</t>
  </si>
  <si>
    <t>Color 2 -</t>
  </si>
  <si>
    <t>Color 3 +</t>
  </si>
  <si>
    <t>Color 3 -</t>
  </si>
  <si>
    <t>Color 1</t>
  </si>
  <si>
    <t>Opening Cash</t>
  </si>
  <si>
    <t>Closing Cash</t>
  </si>
  <si>
    <t>Chart 1 Data</t>
  </si>
  <si>
    <t>Amount</t>
  </si>
  <si>
    <t>Green +</t>
  </si>
  <si>
    <t>Invisible -</t>
  </si>
  <si>
    <t>Green -</t>
  </si>
  <si>
    <t>Red +</t>
  </si>
  <si>
    <t>Red -</t>
  </si>
  <si>
    <t>Blue</t>
  </si>
  <si>
    <t>Chart 2 Data</t>
  </si>
  <si>
    <t>Operating Cash Flow</t>
  </si>
  <si>
    <t>Investing Cash Flow</t>
  </si>
  <si>
    <t>Financing Cash Flow</t>
  </si>
  <si>
    <t>Net Cash Flow</t>
  </si>
  <si>
    <t>Error Checks</t>
  </si>
  <si>
    <t>Error Values</t>
  </si>
  <si>
    <t>Gross Margin Reconciliation</t>
  </si>
  <si>
    <t>EBITDA Reconciliation</t>
  </si>
  <si>
    <t>EBIT Reconciliation</t>
  </si>
  <si>
    <t>NPBT Reconciliation</t>
  </si>
  <si>
    <t>NPAT Reconciliation</t>
  </si>
  <si>
    <t>Current Assets Reconciliation</t>
  </si>
  <si>
    <t>Non-Current Assets Reconciliation</t>
  </si>
  <si>
    <t>Total Assets Reconciliation</t>
  </si>
  <si>
    <t>Total Liabilities Reconciliation</t>
  </si>
  <si>
    <t>Net Assets Reconciliation</t>
  </si>
  <si>
    <t>Balance Sheet Balances Check</t>
  </si>
  <si>
    <t>Cash Flow Statement Reconciliation</t>
  </si>
  <si>
    <t>Cash Balance Reconciliation</t>
  </si>
  <si>
    <t>Cash Flow Reconciliation</t>
  </si>
  <si>
    <t>Total Error Checks</t>
  </si>
  <si>
    <t>Key Figures</t>
  </si>
  <si>
    <t>Hall Size</t>
  </si>
  <si>
    <t>sqft</t>
  </si>
  <si>
    <t>Avg. New members /mth</t>
  </si>
  <si>
    <t>#</t>
  </si>
  <si>
    <t>Profitable after x mths</t>
  </si>
  <si>
    <t>Operating Cash Funding</t>
  </si>
  <si>
    <t>GBP k</t>
  </si>
  <si>
    <t>Initial CAPEX Outlay</t>
  </si>
  <si>
    <t>Hall Cost /sqft</t>
  </si>
  <si>
    <t>GBP</t>
  </si>
  <si>
    <t>Weekly Engagement Rate</t>
  </si>
  <si>
    <t>Cash +ve after x mths</t>
  </si>
  <si>
    <t>Capital Funding</t>
  </si>
  <si>
    <t>Engagement rate taken from average of FY22 and FY23, phased accordingly.</t>
  </si>
  <si>
    <t>Data for Charts</t>
  </si>
  <si>
    <t>Month</t>
  </si>
  <si>
    <t>Net CashFlow</t>
  </si>
  <si>
    <t>Cash Balance</t>
  </si>
  <si>
    <t>3 Mth Cashflow</t>
  </si>
  <si>
    <t>Weekly Sessions</t>
  </si>
  <si>
    <t>Classes per week</t>
  </si>
  <si>
    <t>Average Class Size</t>
  </si>
  <si>
    <t>Max Class Size</t>
  </si>
  <si>
    <t>Members</t>
  </si>
  <si>
    <t>Scenarios Summary</t>
  </si>
  <si>
    <t>ð</t>
  </si>
  <si>
    <t xml:space="preserve">          Revenue</t>
  </si>
  <si>
    <t xml:space="preserve">                  Gross Margin</t>
  </si>
  <si>
    <t xml:space="preserve">          Net Profit After Tax</t>
  </si>
  <si>
    <t xml:space="preserve">                  Net Assets</t>
  </si>
  <si>
    <t xml:space="preserve">          Cost of Goods Sold</t>
  </si>
  <si>
    <t xml:space="preserve">                  Net Operating Expenditure</t>
  </si>
  <si>
    <t xml:space="preserve">          Closing Cash</t>
  </si>
  <si>
    <t xml:space="preserve">                  Change in Cash Held</t>
  </si>
  <si>
    <t>Net Operating Expenditure</t>
  </si>
  <si>
    <t/>
  </si>
  <si>
    <t>Scenario</t>
  </si>
  <si>
    <t>Active</t>
  </si>
  <si>
    <t>Scenarios</t>
  </si>
  <si>
    <t>Active Scenario</t>
  </si>
  <si>
    <t>Active Data Tables Scenario</t>
  </si>
  <si>
    <t>Applied Scenario</t>
  </si>
  <si>
    <t>Display Name If First Scenario Active?</t>
  </si>
  <si>
    <t>No</t>
  </si>
  <si>
    <t>Displayed Scenario Name</t>
  </si>
  <si>
    <t>Scenarios Count</t>
  </si>
  <si>
    <t>Name</t>
  </si>
  <si>
    <t>Base Case</t>
  </si>
  <si>
    <t>Slower Growth</t>
  </si>
  <si>
    <t>Faster Growth</t>
  </si>
  <si>
    <t>Description</t>
  </si>
  <si>
    <t>Scenario 1 Description</t>
  </si>
  <si>
    <t>Scenario 2 Description</t>
  </si>
  <si>
    <t>Scenario 3 Description</t>
  </si>
  <si>
    <t>Volumes</t>
  </si>
  <si>
    <t>Sensitivity Check (Active Scenarios)</t>
  </si>
  <si>
    <t>Y+X/mth</t>
  </si>
  <si>
    <t>Volumes (2)</t>
  </si>
  <si>
    <t>Y+X</t>
  </si>
  <si>
    <t>Y*(1+X%)</t>
  </si>
  <si>
    <t>Other Revenue</t>
  </si>
  <si>
    <t>Capital Expenditure</t>
  </si>
  <si>
    <t>ï</t>
  </si>
  <si>
    <t>Scenario Data Tables</t>
  </si>
  <si>
    <t>Period Start Date</t>
  </si>
  <si>
    <t>Period End Date</t>
  </si>
  <si>
    <t>Counter</t>
  </si>
  <si>
    <t>Financial Year</t>
  </si>
  <si>
    <t>Month Number</t>
  </si>
  <si>
    <t>Dashboard Period Titles</t>
  </si>
  <si>
    <t>Data Tables Scenario</t>
  </si>
  <si>
    <t>Data Tables Status</t>
  </si>
  <si>
    <t>On</t>
  </si>
  <si>
    <t>Data Tables Off</t>
  </si>
  <si>
    <t>Total Current Assets</t>
  </si>
  <si>
    <t>NPAT Difference (Dashboard - Model)</t>
  </si>
  <si>
    <t>Error Check (Reconciliation Failure)</t>
  </si>
  <si>
    <t>Financial Model</t>
  </si>
  <si>
    <t>Section 3.</t>
  </si>
  <si>
    <t>Trade Debtors</t>
  </si>
  <si>
    <t>Leashold Improvements</t>
  </si>
  <si>
    <t>Fencing Equipment</t>
  </si>
  <si>
    <t>Total Non-Current Assets</t>
  </si>
  <si>
    <t>Creditors (Monthly)</t>
  </si>
  <si>
    <t>Creditors (Quarterly)</t>
  </si>
  <si>
    <t>Creditors</t>
  </si>
  <si>
    <t>Inventory Payables Category 1</t>
  </si>
  <si>
    <t>Inventory Payables</t>
  </si>
  <si>
    <t>Interest Payable Category 1</t>
  </si>
  <si>
    <t>Other Current Liabilities Category 1</t>
  </si>
  <si>
    <t>Total Current Liabilities</t>
  </si>
  <si>
    <t>Operating Grants</t>
  </si>
  <si>
    <t>CAPEX Grant</t>
  </si>
  <si>
    <t>Other Non-Current Liabilities Category 1</t>
  </si>
  <si>
    <t>Total Non-Current Liabilities</t>
  </si>
  <si>
    <t>Other Equity Category 1</t>
  </si>
  <si>
    <t>Balance Check</t>
  </si>
  <si>
    <t>Error Check</t>
  </si>
  <si>
    <t>Alert Check (Negative Cash)</t>
  </si>
  <si>
    <t>Month Key</t>
  </si>
  <si>
    <t>Quarter Key</t>
  </si>
  <si>
    <t>Weekdays</t>
  </si>
  <si>
    <t>Weeks</t>
  </si>
  <si>
    <t>Half Key</t>
  </si>
  <si>
    <t>Membership</t>
  </si>
  <si>
    <t>Categories</t>
  </si>
  <si>
    <t xml:space="preserve"> Growth Rates</t>
  </si>
  <si>
    <t>Alert Check (Negative Volumes)</t>
  </si>
  <si>
    <t>Membership &amp; Utilisation</t>
  </si>
  <si>
    <t>Monthly Student Sessions</t>
  </si>
  <si>
    <t>Net New Members</t>
  </si>
  <si>
    <t>Renewing Members</t>
  </si>
  <si>
    <t>Number of Classes per Week</t>
  </si>
  <si>
    <t>Driver</t>
  </si>
  <si>
    <t>Membership Fees</t>
  </si>
  <si>
    <t>Unit Price</t>
  </si>
  <si>
    <t>New Sales</t>
  </si>
  <si>
    <t>PAYG Fencing</t>
  </si>
  <si>
    <t># Student Sessions</t>
  </si>
  <si>
    <t>Private Hire</t>
  </si>
  <si>
    <t>Unit Price /hr</t>
  </si>
  <si>
    <t>Hours /mth</t>
  </si>
  <si>
    <t>Book a Piste</t>
  </si>
  <si>
    <t>Merch Sales</t>
  </si>
  <si>
    <t>Amounts</t>
  </si>
  <si>
    <t>Categories Totals Reconciliation</t>
  </si>
  <si>
    <t>Total Error Checks Result</t>
  </si>
  <si>
    <t>Alert Check (Negative Revenue)</t>
  </si>
  <si>
    <t>Instructor Grants</t>
  </si>
  <si>
    <t>Unit Cost/class</t>
  </si>
  <si>
    <t>#Classes</t>
  </si>
  <si>
    <t>Merch CoGS</t>
  </si>
  <si>
    <t>Merch Revenue</t>
  </si>
  <si>
    <t>Margin %</t>
  </si>
  <si>
    <t>Discounts (Gift Cards)</t>
  </si>
  <si>
    <t>PAYG Revenue</t>
  </si>
  <si>
    <t>% of PAYG Revenue</t>
  </si>
  <si>
    <t>Alert Check (Negative Cost of Goods Sold)</t>
  </si>
  <si>
    <t>Rent</t>
  </si>
  <si>
    <t>Monthly Cost/sqft</t>
  </si>
  <si>
    <t>Sqft</t>
  </si>
  <si>
    <t>Rates</t>
  </si>
  <si>
    <t>Rate Cost</t>
  </si>
  <si>
    <t>Rate (Net of Relief)</t>
  </si>
  <si>
    <t>Utilities</t>
  </si>
  <si>
    <t>Insurance</t>
  </si>
  <si>
    <t>HEMA Insurance</t>
  </si>
  <si>
    <t>Credit Card Fees</t>
  </si>
  <si>
    <t>% of Total Revenue</t>
  </si>
  <si>
    <t>Alert Check (Negative Operating Expenditure)</t>
  </si>
  <si>
    <t>Grant Income A</t>
  </si>
  <si>
    <t>Grant Income B</t>
  </si>
  <si>
    <t>Alert Check (Negative Other Revenue)</t>
  </si>
  <si>
    <t>Other Expenses</t>
  </si>
  <si>
    <t>Other Expenses Category</t>
  </si>
  <si>
    <t>Alert Check (Negative Other Expenses)</t>
  </si>
  <si>
    <t>Working Capital</t>
  </si>
  <si>
    <t>Revenue Allocation</t>
  </si>
  <si>
    <t>Revenue (Inc. VAT)</t>
  </si>
  <si>
    <t>Allocation</t>
  </si>
  <si>
    <t>Schedules</t>
  </si>
  <si>
    <t>Opening</t>
  </si>
  <si>
    <t>Cash Flow Timing</t>
  </si>
  <si>
    <t>Days in Period</t>
  </si>
  <si>
    <t>Period Start Timing</t>
  </si>
  <si>
    <t>Period End Timing</t>
  </si>
  <si>
    <t>Opening Balance</t>
  </si>
  <si>
    <t>Opening Balance Cash Receipts - Profile</t>
  </si>
  <si>
    <t>Opening Balance Cash Receipts</t>
  </si>
  <si>
    <t>Cash Receipts Start Time</t>
  </si>
  <si>
    <t>Cash Receipts End Time</t>
  </si>
  <si>
    <t>Cash Receipts Period 1 - Period Number</t>
  </si>
  <si>
    <t>Cash Receipts Period 2 - Period Number</t>
  </si>
  <si>
    <t>Cash Receipts Period 3 - Period Number</t>
  </si>
  <si>
    <t>Cash Receipts Period 1 - Cash Received</t>
  </si>
  <si>
    <t>Cash Receipts Period 2 - Cash Received</t>
  </si>
  <si>
    <t>Cash Receipts Period 3 - Cash Received</t>
  </si>
  <si>
    <t>Periodic Cash Receipts</t>
  </si>
  <si>
    <t>Increase/(Decrease) in Debtors</t>
  </si>
  <si>
    <t>Closing Balance</t>
  </si>
  <si>
    <t>Cash Receipt Delay (Days)</t>
  </si>
  <si>
    <t>Negative Debtors</t>
  </si>
  <si>
    <t>Negative Cash Receipts</t>
  </si>
  <si>
    <t>Total Alert Checks Result</t>
  </si>
  <si>
    <t>Cost of Goods Sold Allocation</t>
  </si>
  <si>
    <t>Inventory Purchases</t>
  </si>
  <si>
    <t>Inventory Receipt Period (Days)</t>
  </si>
  <si>
    <t>Base COGS - Start Time</t>
  </si>
  <si>
    <t>Base COGS - End Time</t>
  </si>
  <si>
    <t>Gross Up % (If Not Enough Periods)</t>
  </si>
  <si>
    <t>Base COGS - Start Period Number</t>
  </si>
  <si>
    <t>Base COGS - End Period Number</t>
  </si>
  <si>
    <t>First Period COGS Amount</t>
  </si>
  <si>
    <t>In Between Periods COGS Amount</t>
  </si>
  <si>
    <t>Last Period COGS Amount</t>
  </si>
  <si>
    <t>Increase/(Decrease) in Inventory</t>
  </si>
  <si>
    <t>Negative Inventory</t>
  </si>
  <si>
    <t>Positive Inventory Purchases</t>
  </si>
  <si>
    <t>Expenses Allocation</t>
  </si>
  <si>
    <t>Expenses (Inc. VAT)</t>
  </si>
  <si>
    <t>Opening Balance Cash Payments - Profile</t>
  </si>
  <si>
    <t>Opening Balance Cash Payments</t>
  </si>
  <si>
    <t>Cash Payments Start Time</t>
  </si>
  <si>
    <t>Cash Payments End Time</t>
  </si>
  <si>
    <t>Cash Payments Period 1 - Period Number</t>
  </si>
  <si>
    <t>Cash Payments Period 2 - Period Number</t>
  </si>
  <si>
    <t>Cash Payments Period 3 - Period Number</t>
  </si>
  <si>
    <t>Cash Payments Period 1 - Cash Paid</t>
  </si>
  <si>
    <t>Cash Payments Period 2 - Cash Paid</t>
  </si>
  <si>
    <t>Cash Payments Period 3 - Cash Paid</t>
  </si>
  <si>
    <t>Periodic Cash Payments</t>
  </si>
  <si>
    <t>Increase/(Decrease) in Creditors</t>
  </si>
  <si>
    <t>Cash Payment Delay (Days)</t>
  </si>
  <si>
    <t>Negative Creditors</t>
  </si>
  <si>
    <t>Positive Cash Payments</t>
  </si>
  <si>
    <t>Inventory Purchases Allocation</t>
  </si>
  <si>
    <t>Increase/(Decrease) in Inventory Payables</t>
  </si>
  <si>
    <t>Purchases</t>
  </si>
  <si>
    <t>Negative Inventory Payables</t>
  </si>
  <si>
    <t>Assets</t>
  </si>
  <si>
    <t>Alert Check (Negative Capital Expenditure)</t>
  </si>
  <si>
    <t>Capital Expenditure Allocation</t>
  </si>
  <si>
    <t>Total Capital Expenditure</t>
  </si>
  <si>
    <t>Term (Yrs)</t>
  </si>
  <si>
    <t>Opening Net Book Value</t>
  </si>
  <si>
    <t>Opening Assets - Depreciation Profile</t>
  </si>
  <si>
    <t>Capital Expenditure - Depreciation Profile</t>
  </si>
  <si>
    <t>Capital Expenditure - Depreciation Profile (Reversed)</t>
  </si>
  <si>
    <t>Book Depreciation</t>
  </si>
  <si>
    <t>Closing Net Book Value</t>
  </si>
  <si>
    <t>Negative Capital Expenditure</t>
  </si>
  <si>
    <t>Negative Book Depreciation</t>
  </si>
  <si>
    <t>Negative Closing Balances</t>
  </si>
  <si>
    <t>Capital</t>
  </si>
  <si>
    <t>Debt Opening Data</t>
  </si>
  <si>
    <t>Opening Interest Payable</t>
  </si>
  <si>
    <t>Movement in Opening Interest Payable</t>
  </si>
  <si>
    <t>Drawdowns</t>
  </si>
  <si>
    <t>Repayments</t>
  </si>
  <si>
    <t>Repayment (Negated)</t>
  </si>
  <si>
    <t>All-In Interest Rate (% p.a.)</t>
  </si>
  <si>
    <t>All-In Interest Rate (% p.m.)</t>
  </si>
  <si>
    <t>Interest Expense</t>
  </si>
  <si>
    <t>Funds Drawn Balance Check</t>
  </si>
  <si>
    <t>Interest Payable Balance Check</t>
  </si>
  <si>
    <t>Negative Closing Balance</t>
  </si>
  <si>
    <t>Negative Closing Interest Payable</t>
  </si>
  <si>
    <t>Assumptions</t>
  </si>
  <si>
    <t>Ordinary Equity Balances</t>
  </si>
  <si>
    <t>Equity Raisings</t>
  </si>
  <si>
    <t>Equity Buybacks</t>
  </si>
  <si>
    <t>Dividends</t>
  </si>
  <si>
    <t>Opening Dividends Payable Payment Delay (Months)</t>
  </si>
  <si>
    <t>Financial Year Month Number</t>
  </si>
  <si>
    <t>Dividend Declaration Frequency (Year-Specific)</t>
  </si>
  <si>
    <t>Monthly</t>
  </si>
  <si>
    <t>Dividend Declaration Period?</t>
  </si>
  <si>
    <t>Dividend Determination Method</t>
  </si>
  <si>
    <t>% of NPAT</t>
  </si>
  <si>
    <t>Dividend Payout Ratio (% of NPAT)</t>
  </si>
  <si>
    <t>Dividend Amount</t>
  </si>
  <si>
    <t>Dividend Payment Delay (Months)</t>
  </si>
  <si>
    <t>Limit dividends to prevent negative cash at bank?</t>
  </si>
  <si>
    <t>Financial Statements Data</t>
  </si>
  <si>
    <t>Opening Retained Profits</t>
  </si>
  <si>
    <t>Net Profit After Tax (NPAT)</t>
  </si>
  <si>
    <t>Opening Cash at Bank</t>
  </si>
  <si>
    <t>Cash Flow Available For Dividends</t>
  </si>
  <si>
    <t>Dividends Determination</t>
  </si>
  <si>
    <t>Dividend Declaration Frequency</t>
  </si>
  <si>
    <t>Dividends Declared</t>
  </si>
  <si>
    <t>Maximum Dividends Allowed</t>
  </si>
  <si>
    <t>Total Available Cash For Dividends</t>
  </si>
  <si>
    <t>Months in Dividend Declaration Period</t>
  </si>
  <si>
    <t>NPAT for Dividends Determination</t>
  </si>
  <si>
    <t>Target Dividends Declared</t>
  </si>
  <si>
    <t>Dividends Limited To Prevent Negative Cash</t>
  </si>
  <si>
    <t>Dividends Declared - Payment Month</t>
  </si>
  <si>
    <t>Dividends Paid</t>
  </si>
  <si>
    <t>Ordinary Equity Balance Check</t>
  </si>
  <si>
    <t>Dividends Payable Balance Check</t>
  </si>
  <si>
    <t>Negative Balance</t>
  </si>
  <si>
    <t>Negative Dividends Payable Balance</t>
  </si>
  <si>
    <t>Opening Dividends Payable</t>
  </si>
  <si>
    <t>Opening Dividends Payable - Paid</t>
  </si>
  <si>
    <t>Period Dividends Paid</t>
  </si>
  <si>
    <t>Closing Dividends Payable</t>
  </si>
  <si>
    <t>Taxation</t>
  </si>
  <si>
    <t>VAT</t>
  </si>
  <si>
    <t>VAT Year</t>
  </si>
  <si>
    <t>VAT Year End</t>
  </si>
  <si>
    <t>Opening VAT Position</t>
  </si>
  <si>
    <t>Opening VAT Payable</t>
  </si>
  <si>
    <t>Periodic VAT Payable</t>
  </si>
  <si>
    <t>Assessment Periods</t>
  </si>
  <si>
    <t>VAT Assessment Frequency (Year-Specific)</t>
  </si>
  <si>
    <t>Quarterly</t>
  </si>
  <si>
    <t>VAT Rate</t>
  </si>
  <si>
    <t>VAT Rate (%)</t>
  </si>
  <si>
    <t>Assessments</t>
  </si>
  <si>
    <t>VAT Assessment Basis</t>
  </si>
  <si>
    <t>VAT Payment Delay (Months)</t>
  </si>
  <si>
    <t>Cash Receipts &amp; Payments</t>
  </si>
  <si>
    <t>Average Revenue Cash Receipt Delay (Days)</t>
  </si>
  <si>
    <t>Average Expenses Cash Payment Delay (Days)</t>
  </si>
  <si>
    <t>Revenue (Excluding VAT)</t>
  </si>
  <si>
    <t xml:space="preserve">VAT Applicable </t>
  </si>
  <si>
    <t>Expenses (Excluding VAT)</t>
  </si>
  <si>
    <t>VAT Assessments</t>
  </si>
  <si>
    <t>Assessment Timing</t>
  </si>
  <si>
    <t>VAT Year Month Number</t>
  </si>
  <si>
    <t>Net VAT on Accrued Revenues &amp; Expenses</t>
  </si>
  <si>
    <t>Assessment Period</t>
  </si>
  <si>
    <t>Assessment Period Number</t>
  </si>
  <si>
    <t>Interim Assessment Period Key</t>
  </si>
  <si>
    <t>Assessment VAT Payable</t>
  </si>
  <si>
    <t>Interim Assessment - Tax Payment Month</t>
  </si>
  <si>
    <t>VAT Paid/(Refunded)</t>
  </si>
  <si>
    <t>Cash Basis Net VAT Estimate</t>
  </si>
  <si>
    <t>Revenue VAT Cash Receipts</t>
  </si>
  <si>
    <t>Total VAT on Revenue</t>
  </si>
  <si>
    <t>Expenses VAT Cash Payments</t>
  </si>
  <si>
    <t>Total VAT on Expenses</t>
  </si>
  <si>
    <t>Net VAT on Cash Receipts &amp; Payments</t>
  </si>
  <si>
    <t>VAT Payable &amp; Paid</t>
  </si>
  <si>
    <t>VAT Payable - Created During Period</t>
  </si>
  <si>
    <t>Opening VAT Payable - Payments</t>
  </si>
  <si>
    <t>Periodic VAT Payable - Payments</t>
  </si>
  <si>
    <t>VAT Payable - Paid During Period</t>
  </si>
  <si>
    <t>Closing VAT Payable</t>
  </si>
  <si>
    <t>Revenue (Including VAT)</t>
  </si>
  <si>
    <t>Expenses (Including VAT)</t>
  </si>
  <si>
    <t>Error in Balancing of VAT Payable</t>
  </si>
  <si>
    <t>Corporate Taxation</t>
  </si>
  <si>
    <t>Tax Assessment Determinants</t>
  </si>
  <si>
    <t>Tax Year End</t>
  </si>
  <si>
    <t>Corporate Taxation Rate</t>
  </si>
  <si>
    <t>Opening Tax Position</t>
  </si>
  <si>
    <t>Opening Tax Losses</t>
  </si>
  <si>
    <t xml:space="preserve"> (Not tax effected)</t>
  </si>
  <si>
    <t>Opening Tax Payable</t>
  </si>
  <si>
    <t>Periodic Tax Payable</t>
  </si>
  <si>
    <t>Provisions</t>
  </si>
  <si>
    <t>(Add Back) Provision for Annual Leave</t>
  </si>
  <si>
    <t>(Add Back) Provision for Long Service Leave</t>
  </si>
  <si>
    <t>(Add Back) Pension Contributions Withheld</t>
  </si>
  <si>
    <t>(Less) Pension Contributions Paid</t>
  </si>
  <si>
    <t>Other Adjustments</t>
  </si>
  <si>
    <t>Other Adjustments Category 1</t>
  </si>
  <si>
    <t>Other Adjustments Category 2</t>
  </si>
  <si>
    <t>Other Adjustments Category 3</t>
  </si>
  <si>
    <t>Tax Payment Timing</t>
  </si>
  <si>
    <t>Interim Assessment Frequency (Year-Specific)</t>
  </si>
  <si>
    <t>Interim Assessments</t>
  </si>
  <si>
    <t>Tax Payment Amount Determination</t>
  </si>
  <si>
    <t>Assessment</t>
  </si>
  <si>
    <t>Assumed Tax Payment Amount (If Applicable)</t>
  </si>
  <si>
    <t>Tax Payment Delay (Months)</t>
  </si>
  <si>
    <t>Annual Assessments</t>
  </si>
  <si>
    <t>Tax Refund Delay (Months)</t>
  </si>
  <si>
    <t>Tax Expense/(Benefit)</t>
  </si>
  <si>
    <t>Taxable Profit/(Loss)</t>
  </si>
  <si>
    <t>Total Adjustments</t>
  </si>
  <si>
    <t>Taxable Profit/(Loss) - Before Loss Utilization</t>
  </si>
  <si>
    <t>Tax Losses</t>
  </si>
  <si>
    <t>Tax Losses - Created During Period</t>
  </si>
  <si>
    <t>Tax Losses - Used During Period</t>
  </si>
  <si>
    <t>Closing Tax Losses</t>
  </si>
  <si>
    <t>Tax Assessments</t>
  </si>
  <si>
    <t>Tax Assessment Timing</t>
  </si>
  <si>
    <t>Assessment Year</t>
  </si>
  <si>
    <t>Assessment Year Month Number</t>
  </si>
  <si>
    <t>Year-To-Date Tax Payable</t>
  </si>
  <si>
    <t>YTD Taxable Profit/(Loss) - Before Loss Utilization</t>
  </si>
  <si>
    <t>YTD Tax Losses - Opening Balance</t>
  </si>
  <si>
    <t>YTD Tax Losses - Created During Period</t>
  </si>
  <si>
    <t>YTD Tax Losses - Used During Period</t>
  </si>
  <si>
    <t>YTD Tax Losses - Closing Balance</t>
  </si>
  <si>
    <t>YTD Rolling Taxable Profit/(Loss) - After Loss Utilization</t>
  </si>
  <si>
    <t>Interim Tax Assessments</t>
  </si>
  <si>
    <t>Interim Assessment Period</t>
  </si>
  <si>
    <t>Interim Assessment Period Number</t>
  </si>
  <si>
    <t>(Less) Prior Interim Assessments Tax Payable</t>
  </si>
  <si>
    <t>Interim Tax Assessment - Tax Payable</t>
  </si>
  <si>
    <t>Annual Tax Assessments</t>
  </si>
  <si>
    <t>Annual Assessment Period</t>
  </si>
  <si>
    <t>Annual Tax Payable</t>
  </si>
  <si>
    <t>(Less) Total Interim Assessments Tax Payable</t>
  </si>
  <si>
    <t>Annual Assessment - Tax Payment Month</t>
  </si>
  <si>
    <t>Annual Assessment - Tax Refund Receipt Month</t>
  </si>
  <si>
    <t>Annual Assessment - Tax Payment/Refund Month</t>
  </si>
  <si>
    <t>Tax Payable &amp; Paid</t>
  </si>
  <si>
    <t>Tax Payable - Created During Period</t>
  </si>
  <si>
    <t>Opening Tax Payable - Payments</t>
  </si>
  <si>
    <t>Periodic Tax Payable - Payments</t>
  </si>
  <si>
    <t>Tax Payable - Paid During Period</t>
  </si>
  <si>
    <t>Closing Tax Payable</t>
  </si>
  <si>
    <t>Error in Balancing of Tax Payable</t>
  </si>
  <si>
    <t>Other Financial Statement Items</t>
  </si>
  <si>
    <t>Base Interest Rate (% p.a.)</t>
  </si>
  <si>
    <t>Deposits - Margin (% p.a.)</t>
  </si>
  <si>
    <t>Deposits - All-In Interest Rate (% p.a.)</t>
  </si>
  <si>
    <t>Deposits - All-In Interest Rate (% p.m.)</t>
  </si>
  <si>
    <t>Overdraft - Margin (% p.a.)</t>
  </si>
  <si>
    <t>Overdraft - All-In Interest Rate (% p.a.)</t>
  </si>
  <si>
    <t>Overdraft - All-In Interest Rate (% p.m.)</t>
  </si>
  <si>
    <t>Movement +/-</t>
  </si>
  <si>
    <t>Change in Other Current Assets</t>
  </si>
  <si>
    <t>Closing Balances</t>
  </si>
  <si>
    <t>Other Current Assets - Operating Cash Flows</t>
  </si>
  <si>
    <t>Opening Other Current Assets</t>
  </si>
  <si>
    <t>Change in Other Non-Current Assets</t>
  </si>
  <si>
    <t>Other Non-Current Assets - Investing Cash Flows</t>
  </si>
  <si>
    <t>Opening Other Non-Current Assets</t>
  </si>
  <si>
    <t>Change in Other Current Liabilities</t>
  </si>
  <si>
    <t>Other Current Liabilities - Cash Payments</t>
  </si>
  <si>
    <t>Opening Other Current Liabilities</t>
  </si>
  <si>
    <t>Change in Other Non-Current Liabilities</t>
  </si>
  <si>
    <t>Other Non-Current Liabilities - Financing Cash Flows</t>
  </si>
  <si>
    <t>Opening Other Non-Current Liabilities</t>
  </si>
  <si>
    <t>Change in Other Equity</t>
  </si>
  <si>
    <t>Other Equity - Financing Cash Flows</t>
  </si>
  <si>
    <t>Opening Other Equity</t>
  </si>
  <si>
    <t>Total Other Revenue</t>
  </si>
  <si>
    <t>Total Operating Expenditure</t>
  </si>
  <si>
    <t>Total Other Expenses</t>
  </si>
  <si>
    <t>Total Depreciation</t>
  </si>
  <si>
    <t>Total Debt Interest Expense</t>
  </si>
  <si>
    <t>Change in Cash</t>
  </si>
  <si>
    <t>Forecast Interest Payable</t>
  </si>
  <si>
    <t>Direct Cash Flow Statement</t>
  </si>
  <si>
    <t>Other Cash Receipts Category 1</t>
  </si>
  <si>
    <t>VAT Payable/(Receivable)</t>
  </si>
  <si>
    <t>VAT Paid</t>
  </si>
  <si>
    <t>Increase in Historical Interest Payable</t>
  </si>
  <si>
    <t>Forecast Interest Paid</t>
  </si>
  <si>
    <t>Net Cash Flow from Operating Activities</t>
  </si>
  <si>
    <t>Net Cash Flow from Investing Activities</t>
  </si>
  <si>
    <t>Net Cash Flow from Financing Activities</t>
  </si>
  <si>
    <t>Net Increase/(Decrease) in Cash Held</t>
  </si>
  <si>
    <t>Cash Flow to Capital Providers</t>
  </si>
  <si>
    <t>(Add Back) Net Interest Paid</t>
  </si>
  <si>
    <t>Cash Flow Available To Capital Providers (CFACP)</t>
  </si>
  <si>
    <t>Net Interest Paid</t>
  </si>
  <si>
    <t>Cash Flow Available to Equity (CFAE)</t>
  </si>
  <si>
    <t>Cash Flow Available for Dividends (CFAD)</t>
  </si>
  <si>
    <t>Appendices</t>
  </si>
  <si>
    <t>Section 4.</t>
  </si>
  <si>
    <t>Time Series</t>
  </si>
  <si>
    <t>Time Series - Assumptions</t>
  </si>
  <si>
    <t>Primary Periodicity</t>
  </si>
  <si>
    <t>Financial Year End</t>
  </si>
  <si>
    <t>First Financial Year</t>
  </si>
  <si>
    <t>Model Start Month</t>
  </si>
  <si>
    <t>Term (Months)</t>
  </si>
  <si>
    <t>Model Start Date</t>
  </si>
  <si>
    <t>Model End Date</t>
  </si>
  <si>
    <t>Quarters In Model</t>
  </si>
  <si>
    <t>Halves In Model</t>
  </si>
  <si>
    <t>Years In Model</t>
  </si>
  <si>
    <t>Partial Period Identifier</t>
  </si>
  <si>
    <t>*</t>
  </si>
  <si>
    <t>Denomination</t>
  </si>
  <si>
    <t>£</t>
  </si>
  <si>
    <t>Denomination Conversion Factor</t>
  </si>
  <si>
    <t>Lookups</t>
  </si>
  <si>
    <t>Time Series - Lookups</t>
  </si>
  <si>
    <t>Month Days</t>
  </si>
  <si>
    <t>Names</t>
  </si>
  <si>
    <t>Month Day</t>
  </si>
  <si>
    <t>LU_Ts_Mth_Days</t>
  </si>
  <si>
    <t>Month Names</t>
  </si>
  <si>
    <t>Month Name</t>
  </si>
  <si>
    <t>LU_Ts_Mth_Names</t>
  </si>
  <si>
    <t>Periods In Periods</t>
  </si>
  <si>
    <t>Periods In Period</t>
  </si>
  <si>
    <t xml:space="preserve"> </t>
  </si>
  <si>
    <t>Ts_Secs_In_Min</t>
  </si>
  <si>
    <t>Ts_Mins_In_Hr</t>
  </si>
  <si>
    <t>Ts_Hrs_In_Day</t>
  </si>
  <si>
    <t>Ts_Days_In_Wk</t>
  </si>
  <si>
    <t>Ts_Mths_In_Qtr</t>
  </si>
  <si>
    <t>Ts_Mths_In_Half</t>
  </si>
  <si>
    <t>Ts_Mths_In_Yr</t>
  </si>
  <si>
    <t>Ts_Qtrs_In_Half</t>
  </si>
  <si>
    <t>Ts_Qtrs_In_Yr</t>
  </si>
  <si>
    <t>Ts_Halves_In_Yr</t>
  </si>
  <si>
    <t>Denominations</t>
  </si>
  <si>
    <t>LU_Ts_Denom</t>
  </si>
  <si>
    <t>Denomination Conversions</t>
  </si>
  <si>
    <t>Denomination Conversion</t>
  </si>
  <si>
    <t>LU_Ts_Denom_Conv</t>
  </si>
  <si>
    <t>Ts_Thousand</t>
  </si>
  <si>
    <t>Ts_Million</t>
  </si>
  <si>
    <t>Ts_Billion</t>
  </si>
  <si>
    <t>Model Start Months</t>
  </si>
  <si>
    <t>LU_Ts_Model_Start_Mth</t>
  </si>
  <si>
    <t>Scenario Manager - Lookups</t>
  </si>
  <si>
    <t>Scenario Names</t>
  </si>
  <si>
    <t>Scenario Name</t>
  </si>
  <si>
    <t>LU_Scenarios_Names</t>
  </si>
  <si>
    <t>Debtors - Lookups</t>
  </si>
  <si>
    <t>Debtors Allocation Lookup</t>
  </si>
  <si>
    <t>None (Cash)</t>
  </si>
  <si>
    <t>LU_Debtors_Cat_Names</t>
  </si>
  <si>
    <t>Inventory - Lookups</t>
  </si>
  <si>
    <t>Inventory Allocation Lookup</t>
  </si>
  <si>
    <t>LU_Inv_Cat_Names</t>
  </si>
  <si>
    <t>Creditors - Lookups</t>
  </si>
  <si>
    <t>Creditors Allocation Lookup</t>
  </si>
  <si>
    <t>LU_Creditors_Cat_Names</t>
  </si>
  <si>
    <t>Inventory Payables - Lookups</t>
  </si>
  <si>
    <t>Inventory Payables Lookup</t>
  </si>
  <si>
    <t>LU_Inv_Pay_Cat_Names</t>
  </si>
  <si>
    <t>Fixed Assets - Lookups</t>
  </si>
  <si>
    <t>Category Names</t>
  </si>
  <si>
    <t>Category Name</t>
  </si>
  <si>
    <t>LU_Assets_Cat_Names</t>
  </si>
  <si>
    <t>Ordinary Equity - Lookups</t>
  </si>
  <si>
    <t>Dividend Determination Methods</t>
  </si>
  <si>
    <t>LU_Eq_Ord_Div_Meth</t>
  </si>
  <si>
    <t>Eq_Ord_Div_Meth_Pcent_Of_Npat</t>
  </si>
  <si>
    <t>Eq_Ord_Div_Meth_Amt</t>
  </si>
  <si>
    <t>Yes/No Lookup</t>
  </si>
  <si>
    <t>Yes/No</t>
  </si>
  <si>
    <t>LU_Eq_Ord_Yes_No</t>
  </si>
  <si>
    <t>Yes</t>
  </si>
  <si>
    <t>Eq_Ord_Yes</t>
  </si>
  <si>
    <t>Eq_Ord_No</t>
  </si>
  <si>
    <t>LU_Eq_Ord_Div_Dec_Freq</t>
  </si>
  <si>
    <t>Eq_Ord_Div_Dec_Freq_Mthly</t>
  </si>
  <si>
    <t>Eq_Ord_Div_Dec_Freq_Qtrly</t>
  </si>
  <si>
    <t>Semi-Annual</t>
  </si>
  <si>
    <t>Eq_Ord_Div_Dec_Freq_Semi_Ann</t>
  </si>
  <si>
    <t>Annual</t>
  </si>
  <si>
    <t>Eq_Ord_Div_Dec_Freq_Ann</t>
  </si>
  <si>
    <t>VAT - Lookups</t>
  </si>
  <si>
    <t>VAT Year End Months</t>
  </si>
  <si>
    <t>VAT Year End Month</t>
  </si>
  <si>
    <t>LU_VAT_Yr_End_Mth</t>
  </si>
  <si>
    <t>Assessment Frequencies</t>
  </si>
  <si>
    <t>Assessment Frequency</t>
  </si>
  <si>
    <t>LU_VAT_Assess_Freq</t>
  </si>
  <si>
    <t>VAT_Assess_Freq_Mthly</t>
  </si>
  <si>
    <t>VAT_Assess_Freq_Qtrly</t>
  </si>
  <si>
    <t>VAT_Assess_Freq_Semi_Ann</t>
  </si>
  <si>
    <t>VAT_Assess_Freq_Ann</t>
  </si>
  <si>
    <t>Payment Bases</t>
  </si>
  <si>
    <t>Payment Basis</t>
  </si>
  <si>
    <t>LU_VAT_Basis</t>
  </si>
  <si>
    <t>Accruals</t>
  </si>
  <si>
    <t>VAT_Accruals</t>
  </si>
  <si>
    <t>VAT_Cash</t>
  </si>
  <si>
    <t>VAT_Yes</t>
  </si>
  <si>
    <t>VAT_No</t>
  </si>
  <si>
    <t>Corporate Taxation - Lookups</t>
  </si>
  <si>
    <t>Corp_Tax_Yes</t>
  </si>
  <si>
    <t>Corp_Tax_No</t>
  </si>
  <si>
    <t>Interim Tax Assessment Frequencies</t>
  </si>
  <si>
    <t>Interim Tax Assessment Frequency</t>
  </si>
  <si>
    <t>LU_Corp_Tax_Assess_Freq</t>
  </si>
  <si>
    <t>None</t>
  </si>
  <si>
    <t>Corp_Tax_Assess_Freq_None</t>
  </si>
  <si>
    <t>Corp_Tax_Assess_Freq_Mthly</t>
  </si>
  <si>
    <t>Corp_Tax_Assess_Freq_Qtrly</t>
  </si>
  <si>
    <t>Corp_Tax_Assess_Freq_Semi_Ann</t>
  </si>
  <si>
    <t>Tax Year End Months</t>
  </si>
  <si>
    <t>Tax Year End Month</t>
  </si>
  <si>
    <t>LU_Corp_Tax_Yr_End_Mth</t>
  </si>
  <si>
    <t>Tax Payment Amount Methods</t>
  </si>
  <si>
    <t>Tax Payment Amount Method</t>
  </si>
  <si>
    <t>LU_Corp_Tax_Pmt_Amt_Meth</t>
  </si>
  <si>
    <t>Corp_Tax_Pmt_Amt_Mth_Assess</t>
  </si>
  <si>
    <t>Corp_Tax_Pmt_Amt_Mth_Amt</t>
  </si>
  <si>
    <t>Summary - Lookups</t>
  </si>
  <si>
    <t>First Displayed Periods</t>
  </si>
  <si>
    <t>LU_Fs_Sum_First_Disp_Per</t>
  </si>
  <si>
    <t>Summary (2) - Lookups</t>
  </si>
  <si>
    <t>LU_Fs_Sum_2_First_Disp_Per</t>
  </si>
  <si>
    <t>Scenarios Summary - Lookups</t>
  </si>
  <si>
    <t>LU_Scen_Db_First_Disp_Per</t>
  </si>
  <si>
    <t>LU_Scen_Db_Scenario_Names</t>
  </si>
  <si>
    <t>LU_Scen_Db_Data_Tables_Status</t>
  </si>
  <si>
    <t>Scen_Db_Data_Tables_Status_On</t>
  </si>
  <si>
    <t>Off</t>
  </si>
  <si>
    <t>Scen_Db_Data_Tables_Status_Off</t>
  </si>
  <si>
    <t>Disabled</t>
  </si>
  <si>
    <t>Scen_Db_Data_Tables_Status_Disabled</t>
  </si>
  <si>
    <t>Checks</t>
  </si>
  <si>
    <t>Summary:</t>
  </si>
  <si>
    <t>Check</t>
  </si>
  <si>
    <t>Include?</t>
  </si>
  <si>
    <t>Flag</t>
  </si>
  <si>
    <t>Total Errors:</t>
  </si>
  <si>
    <t>Sensitivity Checks</t>
  </si>
  <si>
    <t>Total Sensitivities:</t>
  </si>
  <si>
    <t>Alert Checks</t>
  </si>
  <si>
    <t>Total Alerts:</t>
  </si>
  <si>
    <t>Max Students per Class</t>
  </si>
  <si>
    <t>Staff Cost</t>
  </si>
  <si>
    <t>Living Wage (inc. on Costs)</t>
  </si>
  <si>
    <t>Hrs/week</t>
  </si>
  <si>
    <t>&lt;Proj&gt;&lt;ProjProps&gt;&lt;FV&gt;3&lt;/FV&gt;&lt;CXPI&gt;&lt;![CDATA[{538AAF87-6159-4245-B39F-8525299061CC}]]&gt;&lt;/CXPI&gt;&lt;/ProjProps&gt;&lt;/Proj&gt;</t>
  </si>
  <si>
    <t>3 Mth EBITDA</t>
  </si>
  <si>
    <t>Cleaning &amp;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</si>
</sst>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3" formatCode="_(* #,##0.00_);_(* \(#,##0.00\);_(* &quot;-&quot;??_);_(@_)"/>
    <numFmt numFmtId="164" formatCode="_(&quot;£&quot;* #,##0_);_(&quot;£&quot;* \(#,##0\);_(&quot;£&quot;* &quot;-&quot;_);_(@_)"/>
    <numFmt numFmtId="165" formatCode="_(&quot;£&quot;* #,##0.00_);_(&quot;£&quot;* \(#,##0.00\);_(&quot;£&quot;* &quot;-&quot;??_);_(@_)"/>
    <numFmt numFmtId="166" formatCode="_(###0_);\(###0\);_(&quot;-&quot;_);_)@_)"/>
    <numFmt numFmtId="167" formatCode="_)d\-mmm\-yy_);_)d\-mmm\-yy_);_)&quot;-&quot;_);_)@_)"/>
    <numFmt numFmtId="168" formatCode="_(#,##0.0_);\(#,##0.0\);_(&quot;-&quot;_);_)@_)"/>
    <numFmt numFmtId="169" formatCode="_(#,##0.0%_);\(#,##0.0%\);_(&quot;-&quot;_);_)@_)"/>
    <numFmt numFmtId="170" formatCode="_(#,##0.0\x_);\(#,##0.0\x\);_(&quot;-&quot;_);_)@_)"/>
    <numFmt numFmtId="171" formatCode="."/>
    <numFmt numFmtId="172" formatCode="_(#,##0_);\(#,##0\);_(&quot;-&quot;_);_)@_)"/>
    <numFmt numFmtId="173" formatCode="mmmm\ yyyy"/>
    <numFmt numFmtId="174" formatCode="_(###0_);\(###0\);_(&quot;-&quot;_);@_)"/>
    <numFmt numFmtId="175" formatCode="_(#,##0%_);\(#,##0%\);_(&quot;-&quot;_);_)@_)"/>
    <numFmt numFmtId="176" formatCode="_)mmm\-yy_);_)mmm\-yy_);_)&quot;-&quot;_);_)@_)"/>
    <numFmt numFmtId="177" formatCode="_(#,##0.00%_);\(#,##0.00%\);_(&quot;-&quot;_);_)@_)"/>
    <numFmt numFmtId="178" formatCode="&quot;Scenario &quot;0"/>
    <numFmt numFmtId="179" formatCode="_(&quot;+&quot;#,##0.0%_);\(#,##0.0%\);_(&quot;-&quot;_);_)@_)"/>
    <numFmt numFmtId="180" formatCode="#,##0."/>
    <numFmt numFmtId="181" formatCode="_(&quot;+&quot;#,##0.0_);\(#,##0.0\);_(&quot;-&quot;_);_)@_)"/>
    <numFmt numFmtId="182" formatCode="_(\£#,##0.0_);\(\£#,##0.0\);_(&quot;-&quot;_);_)@_)"/>
    <numFmt numFmtId="183" formatCode="_(\£#,##0.00_);\(\£#,##0.00\);_(&quot;-&quot;_);_)@_)"/>
    <numFmt numFmtId="184" formatCode="_(###0_);\(###0\);_(&quot; - &quot;_);_)@_)"/>
    <numFmt numFmtId="185" formatCode="_(#,##0.00_);\(#,##0.00\);_(&quot;-&quot;_);_)@_)"/>
    <numFmt numFmtId="186" formatCode="_-* #,##0.0_-;\-* #,##0.0_-;_-* &quot;-&quot;??_-;_-@_-"/>
    <numFmt numFmtId="187" formatCode="_-* #,##0_-;\-* #,##0_-;_-* &quot;-&quot;??_-;_-@_-"/>
    <numFmt numFmtId="188" formatCode="_(###0.0_);\(###0.0\);_(###0.0_);_)@_)"/>
    <numFmt numFmtId="189" formatCode="_(&quot;£&quot;#,##0.00_);\(&quot;£&quot;#,##0.00\);_(&quot;-&quot;_);_)@_)"/>
  </numFmts>
  <fonts count="58" x14ac:knownFonts="1">
    <font>
      <sz val="9"/>
      <color theme="1" tint="0.2499465926084170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9"/>
      <color theme="0"/>
      <name val="Arial"/>
      <family val="2"/>
      <scheme val="major"/>
    </font>
    <font>
      <sz val="9"/>
      <color theme="0"/>
      <name val="Arial"/>
      <family val="2"/>
      <scheme val="minor"/>
    </font>
    <font>
      <u/>
      <sz val="9"/>
      <color theme="11"/>
      <name val="Arial"/>
      <family val="2"/>
      <scheme val="minor"/>
    </font>
    <font>
      <sz val="9"/>
      <color theme="11"/>
      <name val="Wingdings"/>
      <charset val="2"/>
    </font>
    <font>
      <b/>
      <u/>
      <sz val="9"/>
      <color theme="11"/>
      <name val="Arial"/>
      <family val="2"/>
      <scheme val="minor"/>
    </font>
    <font>
      <sz val="9"/>
      <color theme="11"/>
      <name val="Arial"/>
      <family val="2"/>
      <scheme val="minor"/>
    </font>
    <font>
      <sz val="9"/>
      <color rgb="FFFFFFFF"/>
      <name val="Arial"/>
      <family val="2"/>
      <scheme val="minor"/>
    </font>
    <font>
      <u/>
      <sz val="9"/>
      <color theme="10"/>
      <name val="Arial"/>
      <family val="2"/>
      <scheme val="minor"/>
    </font>
    <font>
      <sz val="9"/>
      <color indexed="81"/>
      <name val="Tahoma"/>
      <family val="2"/>
    </font>
    <font>
      <b/>
      <sz val="9"/>
      <color indexed="81"/>
      <name val="Tahoma"/>
      <family val="2"/>
    </font>
    <font>
      <b/>
      <sz val="11"/>
      <color theme="1" tint="0.24994659260841701"/>
      <name val="Arial"/>
      <family val="2"/>
      <scheme val="major"/>
    </font>
    <font>
      <b/>
      <sz val="10"/>
      <color theme="1" tint="0.24994659260841701"/>
      <name val="Arial"/>
      <family val="2"/>
      <scheme val="major"/>
    </font>
    <font>
      <b/>
      <sz val="9"/>
      <color theme="1" tint="0.24994659260841701"/>
      <name val="Arial"/>
      <family val="2"/>
      <scheme val="major"/>
    </font>
    <font>
      <sz val="9"/>
      <color theme="1" tint="0.24994659260841701"/>
      <name val="Arial"/>
      <family val="2"/>
      <scheme val="major"/>
    </font>
    <font>
      <sz val="9"/>
      <color theme="1" tint="0.24994659260841701"/>
      <name val="Arial"/>
      <family val="2"/>
      <scheme val="minor"/>
    </font>
    <font>
      <b/>
      <sz val="9"/>
      <color theme="1" tint="0.24994659260841701"/>
      <name val="Arial"/>
      <family val="2"/>
      <scheme val="minor"/>
    </font>
    <font>
      <i/>
      <sz val="9"/>
      <color theme="1" tint="0.24994659260841701"/>
      <name val="Arial"/>
      <family val="2"/>
      <scheme val="minor"/>
    </font>
    <font>
      <i/>
      <sz val="9"/>
      <color theme="1" tint="0.24994659260841701"/>
      <name val="Arial"/>
      <family val="2"/>
      <scheme val="major"/>
    </font>
    <font>
      <i/>
      <sz val="9"/>
      <color theme="0"/>
      <name val="Arial"/>
      <family val="2"/>
      <scheme val="minor"/>
    </font>
    <font>
      <b/>
      <sz val="9"/>
      <color theme="1" tint="0.24994659260841701"/>
      <name val="Wingdings 3"/>
      <family val="1"/>
      <charset val="2"/>
    </font>
    <font>
      <sz val="9"/>
      <color theme="1" tint="0.49992370372631001"/>
      <name val="Arial"/>
      <family val="2"/>
      <scheme val="major"/>
    </font>
    <font>
      <i/>
      <sz val="9"/>
      <color theme="2"/>
      <name val="Arial"/>
      <family val="2"/>
      <scheme val="major"/>
    </font>
    <font>
      <sz val="9"/>
      <color theme="1" tint="0.49995422223578601"/>
      <name val="Arial"/>
      <family val="2"/>
      <scheme val="major"/>
    </font>
    <font>
      <sz val="9"/>
      <color theme="1" tint="0.49995422223578601"/>
      <name val="Arial"/>
      <family val="2"/>
      <scheme val="minor"/>
    </font>
    <font>
      <sz val="11"/>
      <color rgb="FF333333"/>
      <name val="Arial"/>
      <family val="2"/>
    </font>
    <font>
      <sz val="18"/>
      <color rgb="FF333333"/>
      <name val="Arial"/>
      <family val="2"/>
      <scheme val="minor"/>
    </font>
    <font>
      <sz val="14"/>
      <color rgb="FF333333"/>
      <name val="Times New Roman"/>
      <family val="1"/>
    </font>
    <font>
      <sz val="10"/>
      <color theme="1" tint="0.24994659260841701"/>
      <name val="Arial"/>
      <family val="2"/>
    </font>
    <font>
      <sz val="10"/>
      <color theme="1" tint="0.24994659260841701"/>
      <name val="Arial"/>
      <family val="2"/>
      <scheme val="minor"/>
    </font>
    <font>
      <sz val="10"/>
      <color rgb="FF333333"/>
      <name val="Arial"/>
      <family val="2"/>
      <scheme val="minor"/>
    </font>
    <font>
      <sz val="14"/>
      <color rgb="FFFFFFFF"/>
      <name val="Times New Roman"/>
      <family val="1"/>
    </font>
    <font>
      <sz val="10"/>
      <color rgb="FFFFFFFF"/>
      <name val="Arial"/>
      <family val="2"/>
    </font>
    <font>
      <sz val="10"/>
      <color rgb="FFFFFFFF"/>
      <name val="Arial"/>
      <family val="2"/>
      <scheme val="minor"/>
    </font>
    <font>
      <b/>
      <sz val="9"/>
      <color theme="4" tint="-0.49992370372631001"/>
      <name val="Arial"/>
      <family val="2"/>
      <scheme val="major"/>
    </font>
    <font>
      <b/>
      <sz val="9"/>
      <color theme="1" tint="0.49995422223578601"/>
      <name val="Arial"/>
      <family val="2"/>
      <scheme val="major"/>
    </font>
    <font>
      <i/>
      <sz val="9"/>
      <color theme="1" tint="0.49995422223578601"/>
      <name val="Arial"/>
      <family val="2"/>
      <scheme val="major"/>
    </font>
    <font>
      <sz val="12"/>
      <color theme="1" tint="0.24994659260841701"/>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8"/>
      <color rgb="FF000000"/>
      <name val="Tahoma"/>
      <family val="2"/>
    </font>
  </fonts>
  <fills count="43">
    <fill>
      <patternFill patternType="none"/>
    </fill>
    <fill>
      <patternFill patternType="gray125"/>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indexed="62"/>
        <bgColor indexed="64"/>
      </patternFill>
    </fill>
    <fill>
      <patternFill patternType="solid">
        <fgColor theme="0" tint="-0.1498764000366222"/>
        <bgColor indexed="64"/>
      </patternFill>
    </fill>
    <fill>
      <patternFill patternType="solid">
        <fgColor rgb="FFF5F5F5"/>
        <bgColor indexed="64"/>
      </patternFill>
    </fill>
    <fill>
      <patternFill patternType="solid">
        <fgColor rgb="FFFFFFFF"/>
        <bgColor indexed="64"/>
      </patternFill>
    </fill>
    <fill>
      <patternFill patternType="solid">
        <fgColor rgb="FFB14425"/>
        <bgColor indexed="64"/>
      </patternFill>
    </fill>
    <fill>
      <patternFill patternType="solid">
        <fgColor theme="1" tint="0.3499252296517838"/>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0">
    <border>
      <left/>
      <right/>
      <top/>
      <bottom/>
      <diagonal/>
    </border>
    <border>
      <left/>
      <right/>
      <top/>
      <bottom style="thin">
        <color indexed="64"/>
      </bottom>
      <diagonal/>
    </border>
    <border>
      <left/>
      <right/>
      <top/>
      <bottom style="thin">
        <color theme="4" tint="-0.4999542222357860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4" tint="0.39997558519241921"/>
      </top>
      <bottom/>
      <diagonal/>
    </border>
    <border>
      <left/>
      <right/>
      <top/>
      <bottom style="dashed">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right/>
      <top style="dashed">
        <color indexed="64"/>
      </top>
      <bottom/>
      <diagonal/>
    </border>
    <border>
      <left style="thin">
        <color theme="4" tint="0.39997558519241921"/>
      </left>
      <right style="thin">
        <color theme="4" tint="0.39997558519241921"/>
      </right>
      <top/>
      <bottom style="thin">
        <color theme="4" tint="0.39997558519241921"/>
      </bottom>
      <diagonal/>
    </border>
    <border>
      <left style="thin">
        <color theme="4" tint="0.39997558519241921"/>
      </left>
      <right style="thin">
        <color theme="4" tint="0.39997558519241921"/>
      </right>
      <top style="thin">
        <color theme="4" tint="0.39997558519241921"/>
      </top>
      <bottom style="thin">
        <color indexed="64"/>
      </bottom>
      <diagonal/>
    </border>
    <border>
      <left style="thin">
        <color theme="4" tint="0.39997558519241921"/>
      </left>
      <right style="thin">
        <color indexed="64"/>
      </right>
      <top style="thin">
        <color theme="4" tint="0.39997558519241921"/>
      </top>
      <bottom style="thin">
        <color theme="4" tint="0.39997558519241921"/>
      </bottom>
      <diagonal/>
    </border>
    <border>
      <left/>
      <right/>
      <top style="dashed">
        <color indexed="64"/>
      </top>
      <bottom style="thin">
        <color indexed="64"/>
      </bottom>
      <diagonal/>
    </border>
    <border>
      <left/>
      <right/>
      <top style="dotted">
        <color indexed="64"/>
      </top>
      <bottom/>
      <diagonal/>
    </border>
    <border>
      <left/>
      <right/>
      <top style="dotted">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dashed">
        <color indexed="64"/>
      </right>
      <top style="dashed">
        <color indexed="64"/>
      </top>
      <bottom style="dashed">
        <color indexed="64"/>
      </bottom>
      <diagonal/>
    </border>
    <border>
      <left/>
      <right/>
      <top style="thin">
        <color theme="1" tint="0.24994659260841701"/>
      </top>
      <bottom/>
      <diagonal/>
    </border>
    <border>
      <left/>
      <right/>
      <top/>
      <bottom style="dashed">
        <color theme="1" tint="0.24994659260841701"/>
      </bottom>
      <diagonal/>
    </border>
    <border>
      <left/>
      <right/>
      <top style="dashed">
        <color theme="1" tint="0.24994659260841701"/>
      </top>
      <bottom/>
      <diagonal/>
    </border>
    <border>
      <left/>
      <right/>
      <top style="thin">
        <color theme="1" tint="0.24994659260841701"/>
      </top>
      <bottom style="double">
        <color theme="1" tint="0.24994659260841701"/>
      </bottom>
      <diagonal/>
    </border>
    <border>
      <left style="thin">
        <color theme="1" tint="0.24994659260841701"/>
      </left>
      <right/>
      <top/>
      <bottom/>
      <diagonal/>
    </border>
    <border>
      <left style="thin">
        <color theme="1" tint="0.24994659260841701"/>
      </left>
      <right/>
      <top style="thin">
        <color theme="1" tint="0.24994659260841701"/>
      </top>
      <bottom/>
      <diagonal/>
    </border>
    <border>
      <left style="thin">
        <color theme="1" tint="0.24994659260841701"/>
      </left>
      <right/>
      <top style="thin">
        <color indexed="64"/>
      </top>
      <bottom/>
      <diagonal/>
    </border>
    <border>
      <left style="thin">
        <color theme="1" tint="0.24994659260841701"/>
      </left>
      <right/>
      <top style="dashed">
        <color theme="1" tint="0.24994659260841701"/>
      </top>
      <bottom/>
      <diagonal/>
    </border>
    <border>
      <left style="thin">
        <color theme="1" tint="0.24994659260841701"/>
      </left>
      <right/>
      <top style="thin">
        <color theme="1" tint="0.24994659260841701"/>
      </top>
      <bottom style="double">
        <color theme="1"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1" tint="0.49992370372631001"/>
      </left>
      <right/>
      <top style="thin">
        <color theme="1" tint="0.49992370372631001"/>
      </top>
      <bottom style="thin">
        <color theme="1" tint="0.49992370372631001"/>
      </bottom>
      <diagonal/>
    </border>
    <border>
      <left/>
      <right style="thin">
        <color theme="1" tint="0.49992370372631001"/>
      </right>
      <top style="thin">
        <color theme="1" tint="0.49992370372631001"/>
      </top>
      <bottom style="thin">
        <color theme="1" tint="0.49992370372631001"/>
      </bottom>
      <diagonal/>
    </border>
    <border>
      <left style="thin">
        <color theme="1" tint="0.49992370372631001"/>
      </left>
      <right style="thin">
        <color theme="1" tint="0.49992370372631001"/>
      </right>
      <top style="thin">
        <color theme="1" tint="0.49992370372631001"/>
      </top>
      <bottom/>
      <diagonal/>
    </border>
    <border>
      <left style="thin">
        <color theme="1" tint="0.49992370372631001"/>
      </left>
      <right style="thin">
        <color theme="1" tint="0.49992370372631001"/>
      </right>
      <top style="thin">
        <color theme="1" tint="0.49992370372631001"/>
      </top>
      <bottom style="thin">
        <color theme="1" tint="0.49992370372631001"/>
      </bottom>
      <diagonal/>
    </border>
    <border>
      <left style="thin">
        <color theme="1" tint="0.49995422223578601"/>
      </left>
      <right style="thin">
        <color theme="1" tint="0.49995422223578601"/>
      </right>
      <top style="thin">
        <color theme="1" tint="0.49995422223578601"/>
      </top>
      <bottom/>
      <diagonal/>
    </border>
    <border>
      <left style="thin">
        <color theme="1" tint="0.49995422223578601"/>
      </left>
      <right style="thin">
        <color theme="1" tint="0.49995422223578601"/>
      </right>
      <top style="thin">
        <color theme="1" tint="0.49995422223578601"/>
      </top>
      <bottom style="thin">
        <color theme="1" tint="0.49995422223578601"/>
      </bottom>
      <diagonal/>
    </border>
    <border>
      <left style="thin">
        <color indexed="64"/>
      </left>
      <right/>
      <top style="thin">
        <color indexed="64"/>
      </top>
      <bottom style="double">
        <color indexed="64"/>
      </bottom>
      <diagonal/>
    </border>
    <border>
      <left/>
      <right/>
      <top/>
      <bottom style="thin">
        <color theme="2"/>
      </bottom>
      <diagonal/>
    </border>
    <border>
      <left style="thin">
        <color indexed="64"/>
      </left>
      <right/>
      <top/>
      <bottom style="thin">
        <color indexed="64"/>
      </bottom>
      <diagonal/>
    </border>
    <border>
      <left/>
      <right/>
      <top/>
      <bottom style="thin">
        <color theme="4" tint="0.39997558519241921"/>
      </bottom>
      <diagonal/>
    </border>
    <border>
      <left/>
      <right style="thin">
        <color indexed="64"/>
      </right>
      <top/>
      <bottom style="thin">
        <color indexed="64"/>
      </bottom>
      <diagonal/>
    </border>
    <border>
      <left style="thin">
        <color theme="1" tint="0.24994659260841701"/>
      </left>
      <right/>
      <top/>
      <bottom style="dashed">
        <color theme="1" tint="0.24994659260841701"/>
      </bottom>
      <diagonal/>
    </border>
    <border>
      <left style="thin">
        <color indexed="64"/>
      </left>
      <right/>
      <top style="dashed">
        <color indexed="64"/>
      </top>
      <bottom/>
      <diagonal/>
    </border>
    <border>
      <left/>
      <right/>
      <top/>
      <bottom style="thin">
        <color rgb="FFCCCCCC"/>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style="thin">
        <color rgb="FFCCCCCC"/>
      </left>
      <right/>
      <top/>
      <bottom/>
      <diagonal/>
    </border>
    <border>
      <left/>
      <right style="thin">
        <color rgb="FFCCCCCC"/>
      </right>
      <top/>
      <bottom/>
      <diagonal/>
    </border>
    <border>
      <left style="thin">
        <color rgb="FF333333"/>
      </left>
      <right/>
      <top style="thin">
        <color rgb="FF333333"/>
      </top>
      <bottom/>
      <diagonal/>
    </border>
    <border>
      <left/>
      <right/>
      <top style="thin">
        <color rgb="FF333333"/>
      </top>
      <bottom/>
      <diagonal/>
    </border>
    <border>
      <left/>
      <right style="thin">
        <color rgb="FF333333"/>
      </right>
      <top style="thin">
        <color rgb="FF333333"/>
      </top>
      <bottom/>
      <diagonal/>
    </border>
    <border>
      <left style="thin">
        <color rgb="FF333333"/>
      </left>
      <right/>
      <top/>
      <bottom/>
      <diagonal/>
    </border>
    <border>
      <left/>
      <right style="thin">
        <color rgb="FF333333"/>
      </right>
      <top/>
      <bottom/>
      <diagonal/>
    </border>
    <border>
      <left style="thin">
        <color rgb="FF333333"/>
      </left>
      <right/>
      <top/>
      <bottom style="thin">
        <color rgb="FF333333"/>
      </bottom>
      <diagonal/>
    </border>
    <border>
      <left/>
      <right/>
      <top/>
      <bottom style="thin">
        <color rgb="FF333333"/>
      </bottom>
      <diagonal/>
    </border>
    <border>
      <left/>
      <right style="thin">
        <color rgb="FF333333"/>
      </right>
      <top/>
      <bottom style="thin">
        <color rgb="FF333333"/>
      </bottom>
      <diagonal/>
    </border>
    <border>
      <left style="thin">
        <color rgb="FFCCCCCC"/>
      </left>
      <right/>
      <top/>
      <bottom style="thin">
        <color rgb="FFCCCCCC"/>
      </bottom>
      <diagonal/>
    </border>
    <border>
      <left/>
      <right style="thin">
        <color rgb="FFCCCCCC"/>
      </right>
      <top/>
      <bottom style="thin">
        <color rgb="FFCCCCCC"/>
      </bottom>
      <diagonal/>
    </border>
    <border>
      <left style="thin">
        <color rgb="FFB14425"/>
      </left>
      <right/>
      <top style="thin">
        <color rgb="FFB14425"/>
      </top>
      <bottom/>
      <diagonal/>
    </border>
    <border>
      <left/>
      <right/>
      <top style="thin">
        <color rgb="FFB14425"/>
      </top>
      <bottom/>
      <diagonal/>
    </border>
    <border>
      <left/>
      <right style="thin">
        <color rgb="FFB14425"/>
      </right>
      <top style="thin">
        <color rgb="FFB14425"/>
      </top>
      <bottom/>
      <diagonal/>
    </border>
    <border>
      <left style="thin">
        <color rgb="FFB14425"/>
      </left>
      <right/>
      <top/>
      <bottom/>
      <diagonal/>
    </border>
    <border>
      <left/>
      <right style="thin">
        <color rgb="FFB14425"/>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B14425"/>
      </left>
      <right/>
      <top/>
      <bottom style="thin">
        <color rgb="FFB14425"/>
      </bottom>
      <diagonal/>
    </border>
    <border>
      <left/>
      <right/>
      <top/>
      <bottom style="thin">
        <color rgb="FFB14425"/>
      </bottom>
      <diagonal/>
    </border>
    <border>
      <left/>
      <right style="thin">
        <color rgb="FFB14425"/>
      </right>
      <top/>
      <bottom style="thin">
        <color rgb="FFB14425"/>
      </bottom>
      <diagonal/>
    </border>
    <border>
      <left/>
      <right/>
      <top/>
      <bottom style="thin">
        <color theme="4" tint="-0.49992370372631001"/>
      </bottom>
      <diagonal/>
    </border>
    <border>
      <left/>
      <right/>
      <top style="thin">
        <color theme="4" tint="-0.49992370372631001"/>
      </top>
      <bottom style="thin">
        <color indexed="64"/>
      </bottom>
      <diagonal/>
    </border>
    <border>
      <left/>
      <right style="thin">
        <color indexed="64"/>
      </right>
      <top style="thin">
        <color indexed="64"/>
      </top>
      <bottom/>
      <diagonal/>
    </border>
    <border>
      <left style="thin">
        <color theme="4" tint="0.39997558519241921"/>
      </left>
      <right style="thin">
        <color theme="4" tint="0.39997558519241921"/>
      </right>
      <top/>
      <bottom/>
      <diagonal/>
    </border>
    <border>
      <left style="thin">
        <color indexed="64"/>
      </left>
      <right style="thin">
        <color indexed="64"/>
      </right>
      <top/>
      <bottom style="thin">
        <color indexed="64"/>
      </bottom>
      <diagonal/>
    </border>
    <border>
      <left style="thin">
        <color theme="1" tint="0.49995422223578601"/>
      </left>
      <right style="thin">
        <color theme="1" tint="0.49995422223578601"/>
      </right>
      <top/>
      <bottom/>
      <diagonal/>
    </border>
    <border>
      <left style="thin">
        <color theme="1" tint="0.49995422223578601"/>
      </left>
      <right style="thin">
        <color theme="1" tint="0.49995422223578601"/>
      </right>
      <top/>
      <bottom style="thin">
        <color theme="1" tint="0.49995422223578601"/>
      </bottom>
      <diagonal/>
    </border>
    <border>
      <left/>
      <right style="thin">
        <color theme="1" tint="0.49992370372631001"/>
      </right>
      <top/>
      <bottom/>
      <diagonal/>
    </border>
    <border>
      <left style="thin">
        <color indexed="64"/>
      </left>
      <right/>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2370372631001"/>
      </left>
      <right style="thin">
        <color theme="1" tint="0.49992370372631001"/>
      </right>
      <top/>
      <bottom/>
      <diagonal/>
    </border>
  </borders>
  <cellStyleXfs count="105">
    <xf numFmtId="0" fontId="0" fillId="0" borderId="0" applyFill="0" applyBorder="0">
      <alignment vertical="center"/>
    </xf>
    <xf numFmtId="0" fontId="14" fillId="0" borderId="0" applyFill="0" applyBorder="0">
      <alignment vertical="center"/>
    </xf>
    <xf numFmtId="0" fontId="15" fillId="0" borderId="0" applyFill="0" applyBorder="0">
      <alignment vertical="center"/>
    </xf>
    <xf numFmtId="0" fontId="15" fillId="0" borderId="0" applyFill="0" applyBorder="0">
      <alignment vertical="center"/>
    </xf>
    <xf numFmtId="0" fontId="4" fillId="2" borderId="0" applyBorder="0">
      <alignment vertical="center"/>
    </xf>
    <xf numFmtId="0" fontId="37" fillId="3" borderId="81">
      <alignment vertical="center"/>
    </xf>
    <xf numFmtId="0" fontId="16" fillId="0" borderId="0" applyFill="0" applyBorder="0">
      <alignment vertical="center"/>
    </xf>
    <xf numFmtId="0" fontId="17" fillId="0" borderId="0" applyFill="0" applyBorder="0">
      <alignment vertical="center"/>
    </xf>
    <xf numFmtId="0" fontId="17" fillId="0" borderId="0" applyFill="0" applyBorder="0">
      <alignment vertical="center"/>
      <protection locked="0"/>
    </xf>
    <xf numFmtId="0" fontId="18" fillId="4" borderId="3">
      <alignment vertical="center"/>
      <protection locked="0"/>
    </xf>
    <xf numFmtId="166" fontId="18" fillId="4" borderId="3">
      <alignment vertical="center"/>
      <protection locked="0"/>
    </xf>
    <xf numFmtId="167" fontId="18" fillId="4" borderId="3">
      <alignment vertical="center"/>
      <protection locked="0"/>
    </xf>
    <xf numFmtId="168" fontId="18" fillId="4" borderId="3">
      <alignment vertical="center"/>
      <protection locked="0"/>
    </xf>
    <xf numFmtId="169" fontId="18" fillId="4" borderId="3">
      <alignment vertical="center"/>
      <protection locked="0"/>
    </xf>
    <xf numFmtId="170" fontId="18" fillId="4" borderId="3">
      <alignment vertical="center"/>
      <protection locked="0"/>
    </xf>
    <xf numFmtId="182" fontId="18" fillId="4" borderId="3">
      <alignment vertical="center"/>
      <protection locked="0"/>
    </xf>
    <xf numFmtId="0" fontId="3" fillId="0" borderId="0" applyNumberFormat="0" applyFont="0" applyFill="0" applyBorder="0">
      <alignment horizontal="center" vertical="center"/>
      <protection locked="0"/>
    </xf>
    <xf numFmtId="166" fontId="18" fillId="0" borderId="0" applyFill="0" applyBorder="0">
      <alignment vertical="center"/>
    </xf>
    <xf numFmtId="167" fontId="18" fillId="0" borderId="0" applyFill="0" applyBorder="0">
      <alignment vertical="center"/>
    </xf>
    <xf numFmtId="168" fontId="18" fillId="0" borderId="0" applyFill="0" applyBorder="0">
      <alignment vertical="center"/>
    </xf>
    <xf numFmtId="169" fontId="18" fillId="0" borderId="0" applyFill="0" applyBorder="0">
      <alignment vertical="center"/>
    </xf>
    <xf numFmtId="170" fontId="18" fillId="0" borderId="0" applyFill="0" applyBorder="0">
      <alignment vertical="center"/>
    </xf>
    <xf numFmtId="182" fontId="18" fillId="0" borderId="0" applyFill="0" applyBorder="0">
      <alignment vertical="center"/>
    </xf>
    <xf numFmtId="0" fontId="5" fillId="10" borderId="0" applyBorder="0">
      <alignment vertical="center"/>
    </xf>
    <xf numFmtId="0" fontId="19" fillId="0" borderId="4" applyFill="0">
      <alignment horizontal="center" vertical="center"/>
    </xf>
    <xf numFmtId="168" fontId="18" fillId="0" borderId="4" applyFill="0">
      <alignment horizontal="center" vertical="center"/>
    </xf>
    <xf numFmtId="0" fontId="18" fillId="0" borderId="4" applyFill="0">
      <alignment horizontal="center" vertical="center"/>
    </xf>
    <xf numFmtId="0" fontId="6" fillId="0" borderId="0" applyFill="0" applyBorder="0">
      <alignment vertical="center"/>
    </xf>
    <xf numFmtId="0" fontId="7" fillId="0" borderId="0" applyFill="0" applyBorder="0">
      <alignment horizontal="center" vertical="center"/>
    </xf>
    <xf numFmtId="0" fontId="7" fillId="0" borderId="0" applyFill="0" applyBorder="0">
      <alignment horizontal="center" vertical="center"/>
    </xf>
    <xf numFmtId="0" fontId="8" fillId="0" borderId="0" applyFill="0" applyBorder="0">
      <alignment vertical="center"/>
    </xf>
    <xf numFmtId="0" fontId="6" fillId="0" borderId="0" applyFill="0" applyBorder="0">
      <alignment vertical="center"/>
    </xf>
    <xf numFmtId="0" fontId="9" fillId="0" borderId="0" applyFill="0" applyBorder="0">
      <alignment vertical="center"/>
    </xf>
    <xf numFmtId="0" fontId="9" fillId="0" borderId="0" applyFill="0" applyBorder="0">
      <alignment vertical="center"/>
    </xf>
    <xf numFmtId="0" fontId="14" fillId="0" borderId="0" applyFill="0" applyBorder="0">
      <alignment vertical="center"/>
    </xf>
    <xf numFmtId="0" fontId="15" fillId="0" borderId="0" applyFill="0" applyBorder="0">
      <alignment vertical="center"/>
    </xf>
    <xf numFmtId="0" fontId="15" fillId="0" borderId="0" applyFill="0" applyBorder="0">
      <alignment vertical="center"/>
    </xf>
    <xf numFmtId="0" fontId="4" fillId="2" borderId="0" applyBorder="0">
      <alignment vertical="center"/>
    </xf>
    <xf numFmtId="0" fontId="16" fillId="6" borderId="2" applyBorder="0">
      <alignment vertical="center"/>
    </xf>
    <xf numFmtId="0" fontId="16" fillId="0" borderId="0" applyFill="0" applyBorder="0">
      <alignment vertical="center"/>
    </xf>
    <xf numFmtId="0" fontId="17" fillId="0" borderId="0" applyFill="0" applyBorder="0">
      <alignment vertical="center"/>
    </xf>
    <xf numFmtId="0" fontId="17" fillId="0" borderId="0" applyFill="0" applyBorder="0">
      <alignment vertical="center"/>
      <protection locked="0"/>
    </xf>
    <xf numFmtId="168" fontId="18" fillId="0" borderId="0" applyFill="0" applyBorder="0">
      <alignment vertical="center"/>
    </xf>
    <xf numFmtId="169" fontId="18" fillId="0" borderId="0" applyFill="0" applyBorder="0">
      <alignment vertical="center"/>
    </xf>
    <xf numFmtId="170" fontId="18" fillId="0" borderId="0" applyFill="0" applyBorder="0">
      <alignment vertical="center"/>
    </xf>
    <xf numFmtId="182" fontId="18" fillId="0" borderId="0" applyFill="0" applyBorder="0">
      <alignment vertical="center"/>
    </xf>
    <xf numFmtId="166" fontId="18" fillId="0" borderId="0" applyFill="0" applyBorder="0">
      <alignment vertical="center"/>
    </xf>
    <xf numFmtId="167" fontId="18" fillId="0" borderId="0" applyFill="0" applyBorder="0">
      <alignment vertical="center"/>
    </xf>
    <xf numFmtId="0" fontId="5" fillId="10" borderId="0" applyBorder="0">
      <alignment vertical="center"/>
    </xf>
    <xf numFmtId="0" fontId="6" fillId="0" borderId="0" applyFill="0" applyBorder="0">
      <alignment vertical="center"/>
    </xf>
    <xf numFmtId="0" fontId="7" fillId="0" borderId="0" applyFill="0" applyBorder="0">
      <alignment horizontal="center" vertical="center"/>
    </xf>
    <xf numFmtId="0" fontId="7" fillId="0" borderId="0" applyFill="0" applyBorder="0">
      <alignment horizontal="center" vertical="center"/>
    </xf>
    <xf numFmtId="0" fontId="8" fillId="0" borderId="0" applyFill="0" applyBorder="0">
      <alignment vertical="center"/>
    </xf>
    <xf numFmtId="0" fontId="6" fillId="0" borderId="0" applyFill="0" applyBorder="0">
      <alignment vertical="center"/>
    </xf>
    <xf numFmtId="0" fontId="9" fillId="0" borderId="0" applyFill="0" applyBorder="0">
      <alignment vertical="center"/>
    </xf>
    <xf numFmtId="0" fontId="9" fillId="0" borderId="0" applyFill="0" applyBorder="0">
      <alignment vertical="center"/>
    </xf>
    <xf numFmtId="0" fontId="18" fillId="0" borderId="0" applyFill="0" applyBorder="0">
      <alignment vertical="center"/>
    </xf>
    <xf numFmtId="0" fontId="11" fillId="0" borderId="0" applyNumberFormat="0" applyFill="0" applyBorder="0" applyAlignment="0" applyProtection="0">
      <alignment vertical="center"/>
    </xf>
    <xf numFmtId="43" fontId="18" fillId="0" borderId="0" applyFont="0" applyFill="0" applyBorder="0" applyAlignment="0" applyProtection="0"/>
    <xf numFmtId="0" fontId="6" fillId="0" borderId="0" applyNumberFormat="0" applyFill="0" applyBorder="0" applyAlignment="0" applyProtection="0">
      <alignment vertical="center"/>
    </xf>
    <xf numFmtId="41" fontId="18" fillId="0" borderId="0" applyFont="0" applyFill="0" applyBorder="0" applyAlignment="0" applyProtection="0"/>
    <xf numFmtId="165"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41" fillId="0" borderId="0" applyNumberFormat="0" applyFill="0" applyBorder="0" applyAlignment="0" applyProtection="0"/>
    <xf numFmtId="0" fontId="42" fillId="0" borderId="90" applyNumberFormat="0" applyFill="0" applyAlignment="0" applyProtection="0"/>
    <xf numFmtId="0" fontId="43" fillId="0" borderId="91" applyNumberFormat="0" applyFill="0" applyAlignment="0" applyProtection="0"/>
    <xf numFmtId="0" fontId="44" fillId="0" borderId="92" applyNumberFormat="0" applyFill="0" applyAlignment="0" applyProtection="0"/>
    <xf numFmtId="0" fontId="44" fillId="0" borderId="0" applyNumberFormat="0" applyFill="0" applyBorder="0" applyAlignment="0" applyProtection="0"/>
    <xf numFmtId="0" fontId="45" fillId="12" borderId="0" applyNumberFormat="0" applyBorder="0" applyAlignment="0" applyProtection="0"/>
    <xf numFmtId="0" fontId="46" fillId="13" borderId="0" applyNumberFormat="0" applyBorder="0" applyAlignment="0" applyProtection="0"/>
    <xf numFmtId="0" fontId="47" fillId="14" borderId="0" applyNumberFormat="0" applyBorder="0" applyAlignment="0" applyProtection="0"/>
    <xf numFmtId="0" fontId="48" fillId="15" borderId="93" applyNumberFormat="0" applyAlignment="0" applyProtection="0"/>
    <xf numFmtId="0" fontId="49" fillId="16" borderId="94" applyNumberFormat="0" applyAlignment="0" applyProtection="0"/>
    <xf numFmtId="0" fontId="50" fillId="16" borderId="93" applyNumberFormat="0" applyAlignment="0" applyProtection="0"/>
    <xf numFmtId="0" fontId="51" fillId="0" borderId="95" applyNumberFormat="0" applyFill="0" applyAlignment="0" applyProtection="0"/>
    <xf numFmtId="0" fontId="52" fillId="17" borderId="96" applyNumberFormat="0" applyAlignment="0" applyProtection="0"/>
    <xf numFmtId="0" fontId="53" fillId="0" borderId="0" applyNumberFormat="0" applyFill="0" applyBorder="0" applyAlignment="0" applyProtection="0"/>
    <xf numFmtId="0" fontId="18" fillId="18" borderId="97" applyNumberFormat="0" applyFont="0" applyAlignment="0" applyProtection="0"/>
    <xf numFmtId="0" fontId="54" fillId="0" borderId="0" applyNumberFormat="0" applyFill="0" applyBorder="0" applyAlignment="0" applyProtection="0"/>
    <xf numFmtId="0" fontId="55" fillId="0" borderId="98" applyNumberFormat="0" applyFill="0" applyAlignment="0" applyProtection="0"/>
    <xf numFmtId="0" fontId="56"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56"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56"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56"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56"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56"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cellStyleXfs>
  <cellXfs count="353">
    <xf numFmtId="0" fontId="0" fillId="0" borderId="0" xfId="0">
      <alignment vertical="center"/>
    </xf>
    <xf numFmtId="0" fontId="4" fillId="2" borderId="0" xfId="4">
      <alignment vertical="center"/>
    </xf>
    <xf numFmtId="0" fontId="4" fillId="2" borderId="0" xfId="4" applyAlignment="1">
      <alignment horizontal="left" vertical="center"/>
    </xf>
    <xf numFmtId="0" fontId="7" fillId="0" borderId="0" xfId="28">
      <alignment horizontal="center" vertical="center"/>
    </xf>
    <xf numFmtId="0" fontId="10" fillId="0" borderId="0" xfId="16" applyFont="1">
      <alignment horizontal="center" vertical="center"/>
      <protection locked="0"/>
    </xf>
    <xf numFmtId="0" fontId="0" fillId="0" borderId="1" xfId="0" applyBorder="1">
      <alignment vertical="center"/>
    </xf>
    <xf numFmtId="0" fontId="9" fillId="0" borderId="0" xfId="32" quotePrefix="1" applyAlignment="1">
      <alignment horizontal="right" vertical="center"/>
    </xf>
    <xf numFmtId="0" fontId="11" fillId="0" borderId="0" xfId="57" applyProtection="1">
      <alignment vertical="center"/>
    </xf>
    <xf numFmtId="0" fontId="5" fillId="10" borderId="0" xfId="23">
      <alignment vertical="center"/>
    </xf>
    <xf numFmtId="174" fontId="5" fillId="10" borderId="0" xfId="23" applyNumberFormat="1" applyAlignment="1">
      <alignment horizontal="right" vertical="center"/>
    </xf>
    <xf numFmtId="0" fontId="5" fillId="10" borderId="1" xfId="23" applyBorder="1">
      <alignment vertical="center"/>
    </xf>
    <xf numFmtId="174" fontId="5" fillId="10" borderId="1" xfId="23" applyNumberFormat="1" applyBorder="1" applyAlignment="1">
      <alignment horizontal="right" vertical="center"/>
    </xf>
    <xf numFmtId="0" fontId="37" fillId="3" borderId="81" xfId="5" applyAlignment="1">
      <alignment horizontal="center" vertical="center"/>
    </xf>
    <xf numFmtId="167" fontId="4" fillId="2" borderId="0" xfId="4" applyNumberFormat="1" applyAlignment="1">
      <alignment horizontal="center" vertical="center"/>
    </xf>
    <xf numFmtId="168" fontId="18" fillId="0" borderId="0" xfId="19">
      <alignment vertical="center"/>
    </xf>
    <xf numFmtId="168" fontId="19" fillId="0" borderId="0" xfId="19" applyFont="1">
      <alignment vertical="center"/>
    </xf>
    <xf numFmtId="0" fontId="16" fillId="0" borderId="0" xfId="6">
      <alignment vertical="center"/>
    </xf>
    <xf numFmtId="172" fontId="18" fillId="0" borderId="0" xfId="19" applyNumberFormat="1">
      <alignment vertical="center"/>
    </xf>
    <xf numFmtId="168" fontId="19" fillId="0" borderId="8" xfId="19" applyFont="1" applyBorder="1">
      <alignment vertical="center"/>
    </xf>
    <xf numFmtId="168" fontId="19" fillId="0" borderId="9" xfId="19" applyFont="1" applyBorder="1">
      <alignment vertical="center"/>
    </xf>
    <xf numFmtId="168" fontId="19" fillId="0" borderId="10" xfId="19" applyFont="1" applyBorder="1">
      <alignment vertical="center"/>
    </xf>
    <xf numFmtId="168" fontId="19" fillId="0" borderId="8" xfId="19" applyFont="1" applyFill="1" applyBorder="1">
      <alignment vertical="center"/>
    </xf>
    <xf numFmtId="172" fontId="19" fillId="0" borderId="11" xfId="19" applyNumberFormat="1" applyFont="1" applyBorder="1">
      <alignment vertical="center"/>
    </xf>
    <xf numFmtId="168" fontId="18" fillId="0" borderId="0" xfId="19" applyBorder="1">
      <alignment vertical="center"/>
    </xf>
    <xf numFmtId="168" fontId="18" fillId="0" borderId="7" xfId="19" applyBorder="1">
      <alignment vertical="center"/>
    </xf>
    <xf numFmtId="169" fontId="18" fillId="0" borderId="0" xfId="20">
      <alignment vertical="center"/>
    </xf>
    <xf numFmtId="177" fontId="18" fillId="0" borderId="0" xfId="20" applyNumberFormat="1">
      <alignment vertical="center"/>
    </xf>
    <xf numFmtId="177" fontId="18" fillId="0" borderId="14" xfId="20" applyNumberFormat="1" applyBorder="1">
      <alignment vertical="center"/>
    </xf>
    <xf numFmtId="166" fontId="18" fillId="0" borderId="0" xfId="17">
      <alignment vertical="center"/>
    </xf>
    <xf numFmtId="174" fontId="17" fillId="0" borderId="0" xfId="7" applyNumberFormat="1" applyAlignment="1">
      <alignment horizontal="right" vertical="center"/>
    </xf>
    <xf numFmtId="174" fontId="18" fillId="0" borderId="0" xfId="19" applyNumberFormat="1" applyAlignment="1">
      <alignment horizontal="right" vertical="center"/>
    </xf>
    <xf numFmtId="168" fontId="20" fillId="0" borderId="0" xfId="19" applyFont="1">
      <alignment vertical="center"/>
    </xf>
    <xf numFmtId="176" fontId="18" fillId="0" borderId="0" xfId="18" applyNumberFormat="1">
      <alignment vertical="center"/>
    </xf>
    <xf numFmtId="168" fontId="18" fillId="0" borderId="8" xfId="19" applyBorder="1">
      <alignment vertical="center"/>
    </xf>
    <xf numFmtId="168" fontId="18" fillId="0" borderId="14" xfId="19" applyBorder="1">
      <alignment vertical="center"/>
    </xf>
    <xf numFmtId="176" fontId="18" fillId="0" borderId="14" xfId="18" applyNumberFormat="1" applyBorder="1">
      <alignment vertical="center"/>
    </xf>
    <xf numFmtId="176" fontId="18" fillId="0" borderId="7" xfId="18" applyNumberFormat="1" applyBorder="1">
      <alignment vertical="center"/>
    </xf>
    <xf numFmtId="168" fontId="19" fillId="0" borderId="21" xfId="19" applyFont="1" applyBorder="1">
      <alignment vertical="center"/>
    </xf>
    <xf numFmtId="168" fontId="18" fillId="0" borderId="1" xfId="19" applyBorder="1">
      <alignment vertical="center"/>
    </xf>
    <xf numFmtId="0" fontId="18" fillId="0" borderId="4" xfId="26">
      <alignment horizontal="center" vertical="center"/>
    </xf>
    <xf numFmtId="177" fontId="18" fillId="0" borderId="14" xfId="19" applyNumberFormat="1" applyBorder="1">
      <alignment vertical="center"/>
    </xf>
    <xf numFmtId="172" fontId="18" fillId="0" borderId="14" xfId="19" applyNumberFormat="1" applyBorder="1">
      <alignment vertical="center"/>
    </xf>
    <xf numFmtId="172" fontId="18" fillId="0" borderId="7" xfId="19" applyNumberFormat="1" applyBorder="1">
      <alignment vertical="center"/>
    </xf>
    <xf numFmtId="169" fontId="18" fillId="0" borderId="14" xfId="20" applyBorder="1">
      <alignment vertical="center"/>
    </xf>
    <xf numFmtId="168" fontId="18" fillId="0" borderId="18" xfId="19" applyBorder="1">
      <alignment vertical="center"/>
    </xf>
    <xf numFmtId="169" fontId="18" fillId="0" borderId="0" xfId="20" applyBorder="1">
      <alignment vertical="center"/>
    </xf>
    <xf numFmtId="169" fontId="18" fillId="0" borderId="19" xfId="20" applyBorder="1">
      <alignment vertical="center"/>
    </xf>
    <xf numFmtId="168" fontId="19" fillId="0" borderId="19" xfId="19" applyFont="1" applyBorder="1">
      <alignment vertical="center"/>
    </xf>
    <xf numFmtId="168" fontId="18" fillId="0" borderId="19" xfId="19" applyBorder="1">
      <alignment vertical="center"/>
    </xf>
    <xf numFmtId="168" fontId="18" fillId="0" borderId="20" xfId="19" applyBorder="1">
      <alignment vertical="center"/>
    </xf>
    <xf numFmtId="175" fontId="18" fillId="0" borderId="11" xfId="20" applyNumberFormat="1" applyBorder="1">
      <alignment vertical="center"/>
    </xf>
    <xf numFmtId="0" fontId="18" fillId="0" borderId="0" xfId="56">
      <alignment vertical="center"/>
    </xf>
    <xf numFmtId="0" fontId="15" fillId="0" borderId="0" xfId="36">
      <alignment vertical="center"/>
    </xf>
    <xf numFmtId="0" fontId="14" fillId="0" borderId="0" xfId="34" quotePrefix="1">
      <alignment vertical="center"/>
    </xf>
    <xf numFmtId="0" fontId="16" fillId="0" borderId="0" xfId="39">
      <alignment vertical="center"/>
    </xf>
    <xf numFmtId="174" fontId="16" fillId="0" borderId="0" xfId="39" applyNumberFormat="1" applyAlignment="1">
      <alignment horizontal="right" vertical="center"/>
    </xf>
    <xf numFmtId="0" fontId="17" fillId="0" borderId="0" xfId="40">
      <alignment vertical="center"/>
    </xf>
    <xf numFmtId="0" fontId="21" fillId="0" borderId="0" xfId="40" applyFont="1">
      <alignment vertical="center"/>
    </xf>
    <xf numFmtId="0" fontId="16" fillId="0" borderId="0" xfId="40" applyFont="1">
      <alignment vertical="center"/>
    </xf>
    <xf numFmtId="0" fontId="17" fillId="0" borderId="0" xfId="40" applyAlignment="1">
      <alignment horizontal="left" vertical="center" indent="3"/>
    </xf>
    <xf numFmtId="167" fontId="18" fillId="0" borderId="0" xfId="18">
      <alignment vertical="center"/>
    </xf>
    <xf numFmtId="174" fontId="21" fillId="0" borderId="0" xfId="7" applyNumberFormat="1" applyFont="1" applyAlignment="1">
      <alignment horizontal="right" vertical="center"/>
    </xf>
    <xf numFmtId="174" fontId="16" fillId="0" borderId="0" xfId="6" applyNumberFormat="1" applyAlignment="1">
      <alignment horizontal="right" vertical="center"/>
    </xf>
    <xf numFmtId="173" fontId="18" fillId="0" borderId="4" xfId="26" applyNumberFormat="1">
      <alignment horizontal="center" vertical="center"/>
    </xf>
    <xf numFmtId="174" fontId="16" fillId="0" borderId="28" xfId="39" applyNumberFormat="1" applyBorder="1" applyAlignment="1">
      <alignment horizontal="right" vertical="center"/>
    </xf>
    <xf numFmtId="0" fontId="15" fillId="0" borderId="0" xfId="3">
      <alignment vertical="center"/>
    </xf>
    <xf numFmtId="0" fontId="4" fillId="2" borderId="0" xfId="4" applyAlignment="1">
      <alignment horizontal="center" vertical="center"/>
    </xf>
    <xf numFmtId="0" fontId="22" fillId="10" borderId="0" xfId="23" applyFont="1" applyAlignment="1">
      <alignment horizontal="center" vertical="center"/>
    </xf>
    <xf numFmtId="0" fontId="23" fillId="0" borderId="0" xfId="40" applyFont="1" applyAlignment="1">
      <alignment horizontal="center" vertical="center"/>
    </xf>
    <xf numFmtId="0" fontId="24" fillId="0" borderId="0" xfId="40" applyFont="1" applyAlignment="1">
      <alignment horizontal="center" vertical="center"/>
    </xf>
    <xf numFmtId="0" fontId="17" fillId="0" borderId="0" xfId="7" applyAlignment="1">
      <alignment horizontal="center" vertical="center"/>
    </xf>
    <xf numFmtId="172" fontId="18" fillId="0" borderId="39" xfId="19" applyNumberFormat="1" applyBorder="1" applyAlignment="1">
      <alignment horizontal="center" vertical="center"/>
    </xf>
    <xf numFmtId="0" fontId="17" fillId="0" borderId="39" xfId="7" applyBorder="1" applyAlignment="1">
      <alignment horizontal="center" vertical="center"/>
    </xf>
    <xf numFmtId="178" fontId="5" fillId="10" borderId="1" xfId="23" applyNumberFormat="1" applyBorder="1" applyAlignment="1">
      <alignment horizontal="center" vertical="center"/>
    </xf>
    <xf numFmtId="0" fontId="7" fillId="0" borderId="0" xfId="50">
      <alignment horizontal="center" vertical="center"/>
    </xf>
    <xf numFmtId="179" fontId="18" fillId="0" borderId="39" xfId="20" applyNumberFormat="1" applyBorder="1" applyAlignment="1">
      <alignment horizontal="center" vertical="center"/>
    </xf>
    <xf numFmtId="172" fontId="18" fillId="0" borderId="38" xfId="19" applyNumberFormat="1" applyBorder="1" applyAlignment="1">
      <alignment horizontal="center" vertical="center"/>
    </xf>
    <xf numFmtId="166" fontId="5" fillId="10" borderId="0" xfId="23" applyNumberFormat="1" applyAlignment="1">
      <alignment horizontal="right" vertical="center"/>
    </xf>
    <xf numFmtId="0" fontId="25" fillId="0" borderId="0" xfId="40" applyFont="1">
      <alignment vertical="center"/>
    </xf>
    <xf numFmtId="166" fontId="16" fillId="0" borderId="0" xfId="6" applyNumberFormat="1" applyAlignment="1">
      <alignment horizontal="right" vertical="center"/>
    </xf>
    <xf numFmtId="0" fontId="26" fillId="0" borderId="0" xfId="40" applyFont="1" applyAlignment="1">
      <alignment horizontal="center" vertical="center"/>
    </xf>
    <xf numFmtId="168" fontId="18" fillId="0" borderId="0" xfId="19" applyAlignment="1">
      <alignment horizontal="right" vertical="center"/>
    </xf>
    <xf numFmtId="172" fontId="27" fillId="0" borderId="0" xfId="42" applyNumberFormat="1" applyFont="1" applyAlignment="1">
      <alignment horizontal="center" vertical="center"/>
    </xf>
    <xf numFmtId="166" fontId="16" fillId="0" borderId="0" xfId="39" applyNumberFormat="1" applyAlignment="1">
      <alignment horizontal="right" vertical="center"/>
    </xf>
    <xf numFmtId="168" fontId="18" fillId="0" borderId="0" xfId="42" applyAlignment="1">
      <alignment horizontal="right" vertical="center"/>
    </xf>
    <xf numFmtId="166" fontId="16" fillId="0" borderId="35" xfId="39" applyNumberFormat="1" applyBorder="1" applyAlignment="1">
      <alignment horizontal="right" vertical="center"/>
    </xf>
    <xf numFmtId="168" fontId="18" fillId="0" borderId="35" xfId="42" applyBorder="1" applyAlignment="1">
      <alignment horizontal="right" vertical="center"/>
    </xf>
    <xf numFmtId="168" fontId="20" fillId="0" borderId="7" xfId="19" applyFont="1" applyBorder="1" applyAlignment="1">
      <alignment horizontal="right" vertical="center"/>
    </xf>
    <xf numFmtId="168" fontId="19" fillId="0" borderId="8" xfId="42" applyFont="1" applyBorder="1" applyAlignment="1">
      <alignment horizontal="right" vertical="center"/>
    </xf>
    <xf numFmtId="168" fontId="19" fillId="0" borderId="21" xfId="42" applyFont="1" applyBorder="1" applyAlignment="1">
      <alignment horizontal="right" vertical="center"/>
    </xf>
    <xf numFmtId="168" fontId="19" fillId="0" borderId="8" xfId="19" applyFont="1" applyBorder="1" applyAlignment="1">
      <alignment horizontal="right" vertical="center"/>
    </xf>
    <xf numFmtId="168" fontId="19" fillId="0" borderId="10" xfId="42" applyFont="1" applyBorder="1" applyAlignment="1">
      <alignment horizontal="right" vertical="center"/>
    </xf>
    <xf numFmtId="168" fontId="19" fillId="0" borderId="42" xfId="42" applyFont="1" applyBorder="1" applyAlignment="1">
      <alignment horizontal="right" vertical="center"/>
    </xf>
    <xf numFmtId="172" fontId="18" fillId="0" borderId="41" xfId="19" applyNumberFormat="1" applyBorder="1" applyAlignment="1">
      <alignment horizontal="center" vertical="center"/>
    </xf>
    <xf numFmtId="168" fontId="19" fillId="0" borderId="11" xfId="19" applyFont="1" applyBorder="1">
      <alignment vertical="center"/>
    </xf>
    <xf numFmtId="167" fontId="19" fillId="0" borderId="11" xfId="18" applyFont="1" applyBorder="1" applyAlignment="1">
      <alignment horizontal="right" vertical="center"/>
    </xf>
    <xf numFmtId="172" fontId="18" fillId="0" borderId="35" xfId="19" applyNumberFormat="1" applyBorder="1" applyAlignment="1">
      <alignment horizontal="center" vertical="center"/>
    </xf>
    <xf numFmtId="0" fontId="16" fillId="0" borderId="46" xfId="6" applyBorder="1" applyAlignment="1">
      <alignment horizontal="right" vertical="center"/>
    </xf>
    <xf numFmtId="0" fontId="0" fillId="0" borderId="14" xfId="0" applyBorder="1">
      <alignment vertical="center"/>
    </xf>
    <xf numFmtId="0" fontId="0" fillId="0" borderId="7" xfId="0" applyBorder="1">
      <alignment vertical="center"/>
    </xf>
    <xf numFmtId="172" fontId="18" fillId="0" borderId="21" xfId="19" applyNumberFormat="1" applyBorder="1" applyAlignment="1">
      <alignment horizontal="center" vertical="center"/>
    </xf>
    <xf numFmtId="172" fontId="18" fillId="0" borderId="44" xfId="19" applyNumberFormat="1" applyBorder="1" applyAlignment="1">
      <alignment horizontal="center" vertical="center"/>
    </xf>
    <xf numFmtId="172" fontId="18" fillId="0" borderId="0" xfId="19" applyNumberFormat="1" applyBorder="1">
      <alignment vertical="center"/>
    </xf>
    <xf numFmtId="172" fontId="18" fillId="0" borderId="48" xfId="19" applyNumberFormat="1" applyBorder="1">
      <alignment vertical="center"/>
    </xf>
    <xf numFmtId="168" fontId="18" fillId="0" borderId="43" xfId="42" applyBorder="1">
      <alignment vertical="center"/>
    </xf>
    <xf numFmtId="172" fontId="19" fillId="0" borderId="5" xfId="19" applyNumberFormat="1" applyFont="1" applyBorder="1" applyAlignment="1">
      <alignment horizontal="center" vertical="center"/>
    </xf>
    <xf numFmtId="172" fontId="18" fillId="0" borderId="0" xfId="19" applyNumberFormat="1" applyAlignment="1">
      <alignment horizontal="center" vertical="center"/>
    </xf>
    <xf numFmtId="0" fontId="17" fillId="0" borderId="0" xfId="7">
      <alignment vertical="center"/>
    </xf>
    <xf numFmtId="0" fontId="37" fillId="3" borderId="81" xfId="5">
      <alignment vertical="center"/>
    </xf>
    <xf numFmtId="0" fontId="7" fillId="0" borderId="0" xfId="28" applyAlignment="1">
      <alignment horizontal="right" vertical="center"/>
    </xf>
    <xf numFmtId="0" fontId="7" fillId="0" borderId="0" xfId="28" applyAlignment="1">
      <alignment horizontal="left" vertical="center"/>
    </xf>
    <xf numFmtId="0" fontId="7" fillId="0" borderId="0" xfId="50" applyAlignment="1">
      <alignment horizontal="right" vertical="center"/>
    </xf>
    <xf numFmtId="0" fontId="7" fillId="0" borderId="0" xfId="50" applyAlignment="1">
      <alignment horizontal="left" vertical="center"/>
    </xf>
    <xf numFmtId="0" fontId="15" fillId="0" borderId="0" xfId="35">
      <alignment vertical="center"/>
    </xf>
    <xf numFmtId="0" fontId="18" fillId="0" borderId="49" xfId="56" applyBorder="1">
      <alignment vertical="center"/>
    </xf>
    <xf numFmtId="0" fontId="29" fillId="0" borderId="0" xfId="56" applyFont="1">
      <alignment vertical="center"/>
    </xf>
    <xf numFmtId="0" fontId="18" fillId="7" borderId="50" xfId="56" applyFill="1" applyBorder="1">
      <alignment vertical="center"/>
    </xf>
    <xf numFmtId="0" fontId="18" fillId="7" borderId="51" xfId="56" applyFill="1" applyBorder="1">
      <alignment vertical="center"/>
    </xf>
    <xf numFmtId="0" fontId="18" fillId="7" borderId="52" xfId="56" applyFill="1" applyBorder="1">
      <alignment vertical="center"/>
    </xf>
    <xf numFmtId="0" fontId="18" fillId="7" borderId="53" xfId="56" applyFill="1" applyBorder="1">
      <alignment vertical="center"/>
    </xf>
    <xf numFmtId="0" fontId="18" fillId="7" borderId="54" xfId="56" applyFill="1" applyBorder="1">
      <alignment vertical="center"/>
    </xf>
    <xf numFmtId="0" fontId="18" fillId="7" borderId="0" xfId="56" applyFill="1" applyBorder="1">
      <alignment vertical="center"/>
    </xf>
    <xf numFmtId="0" fontId="31" fillId="7" borderId="0" xfId="56" applyFont="1" applyFill="1" applyBorder="1" applyAlignment="1">
      <alignment horizontal="left" vertical="top" wrapText="1"/>
    </xf>
    <xf numFmtId="0" fontId="31" fillId="7" borderId="0" xfId="56" applyFont="1" applyFill="1" applyBorder="1" applyAlignment="1">
      <alignment vertical="center" wrapText="1"/>
    </xf>
    <xf numFmtId="0" fontId="32" fillId="7" borderId="0" xfId="56" applyFont="1" applyFill="1" applyBorder="1" applyAlignment="1">
      <alignment vertical="center" wrapText="1"/>
    </xf>
    <xf numFmtId="0" fontId="33" fillId="8" borderId="55" xfId="56" applyFont="1" applyFill="1" applyBorder="1" applyAlignment="1">
      <alignment vertical="center" wrapText="1"/>
    </xf>
    <xf numFmtId="0" fontId="33" fillId="8" borderId="56" xfId="56" applyFont="1" applyFill="1" applyBorder="1" applyAlignment="1">
      <alignment vertical="center" wrapText="1"/>
    </xf>
    <xf numFmtId="0" fontId="33" fillId="8" borderId="58" xfId="56" applyFont="1" applyFill="1" applyBorder="1" applyAlignment="1">
      <alignment vertical="center" wrapText="1"/>
    </xf>
    <xf numFmtId="0" fontId="33" fillId="8" borderId="0" xfId="56" applyFont="1" applyFill="1" applyBorder="1" applyAlignment="1">
      <alignment vertical="center" wrapText="1"/>
    </xf>
    <xf numFmtId="0" fontId="33" fillId="8" borderId="60" xfId="56" applyFont="1" applyFill="1" applyBorder="1" applyAlignment="1">
      <alignment vertical="center" wrapText="1"/>
    </xf>
    <xf numFmtId="0" fontId="33" fillId="8" borderId="61" xfId="56" applyFont="1" applyFill="1" applyBorder="1" applyAlignment="1">
      <alignment vertical="center" wrapText="1"/>
    </xf>
    <xf numFmtId="0" fontId="18" fillId="7" borderId="63" xfId="56" applyFill="1" applyBorder="1">
      <alignment vertical="center"/>
    </xf>
    <xf numFmtId="0" fontId="18" fillId="7" borderId="49" xfId="56" applyFill="1" applyBorder="1">
      <alignment vertical="center"/>
    </xf>
    <xf numFmtId="0" fontId="18" fillId="7" borderId="64" xfId="56" applyFill="1" applyBorder="1">
      <alignment vertical="center"/>
    </xf>
    <xf numFmtId="0" fontId="10" fillId="9" borderId="65" xfId="56" applyFont="1" applyFill="1" applyBorder="1">
      <alignment vertical="center"/>
    </xf>
    <xf numFmtId="0" fontId="10" fillId="9" borderId="66" xfId="56" applyFont="1" applyFill="1" applyBorder="1">
      <alignment vertical="center"/>
    </xf>
    <xf numFmtId="0" fontId="10" fillId="9" borderId="67" xfId="56" applyFont="1" applyFill="1" applyBorder="1">
      <alignment vertical="center"/>
    </xf>
    <xf numFmtId="0" fontId="10" fillId="9" borderId="68" xfId="56" applyFont="1" applyFill="1" applyBorder="1">
      <alignment vertical="center"/>
    </xf>
    <xf numFmtId="0" fontId="10" fillId="9" borderId="69" xfId="56" applyFont="1" applyFill="1" applyBorder="1">
      <alignment vertical="center"/>
    </xf>
    <xf numFmtId="0" fontId="10" fillId="9" borderId="0" xfId="56" applyFont="1" applyFill="1" applyBorder="1">
      <alignment vertical="center"/>
    </xf>
    <xf numFmtId="0" fontId="35" fillId="9" borderId="0" xfId="56" applyFont="1" applyFill="1" applyBorder="1" applyAlignment="1">
      <alignment horizontal="left" vertical="top" wrapText="1"/>
    </xf>
    <xf numFmtId="0" fontId="36" fillId="9" borderId="70" xfId="56" applyFont="1" applyFill="1" applyBorder="1" applyAlignment="1">
      <alignment vertical="center" wrapText="1"/>
    </xf>
    <xf numFmtId="0" fontId="36" fillId="9" borderId="71" xfId="56" applyFont="1" applyFill="1" applyBorder="1" applyAlignment="1">
      <alignment vertical="center" wrapText="1"/>
    </xf>
    <xf numFmtId="0" fontId="36" fillId="9" borderId="73" xfId="56" applyFont="1" applyFill="1" applyBorder="1" applyAlignment="1">
      <alignment vertical="center" wrapText="1"/>
    </xf>
    <xf numFmtId="0" fontId="36" fillId="9" borderId="0" xfId="56" applyFont="1" applyFill="1" applyBorder="1" applyAlignment="1">
      <alignment vertical="center" wrapText="1"/>
    </xf>
    <xf numFmtId="0" fontId="36" fillId="9" borderId="75" xfId="56" applyFont="1" applyFill="1" applyBorder="1" applyAlignment="1">
      <alignment vertical="center" wrapText="1"/>
    </xf>
    <xf numFmtId="0" fontId="36" fillId="9" borderId="76" xfId="56" applyFont="1" applyFill="1" applyBorder="1" applyAlignment="1">
      <alignment vertical="center" wrapText="1"/>
    </xf>
    <xf numFmtId="0" fontId="10" fillId="9" borderId="78" xfId="56" applyFont="1" applyFill="1" applyBorder="1">
      <alignment vertical="center"/>
    </xf>
    <xf numFmtId="0" fontId="10" fillId="9" borderId="79" xfId="56" applyFont="1" applyFill="1" applyBorder="1">
      <alignment vertical="center"/>
    </xf>
    <xf numFmtId="0" fontId="10" fillId="9" borderId="80" xfId="56" applyFont="1" applyFill="1" applyBorder="1">
      <alignment vertical="center"/>
    </xf>
    <xf numFmtId="180" fontId="8" fillId="0" borderId="0" xfId="30" applyNumberFormat="1" applyAlignment="1">
      <alignment horizontal="right" vertical="center"/>
    </xf>
    <xf numFmtId="168" fontId="18" fillId="0" borderId="9" xfId="19" applyBorder="1">
      <alignment vertical="center"/>
    </xf>
    <xf numFmtId="167" fontId="19" fillId="0" borderId="82" xfId="18" applyFont="1" applyBorder="1" applyAlignment="1">
      <alignment horizontal="center" vertical="center"/>
    </xf>
    <xf numFmtId="0" fontId="16" fillId="0" borderId="11" xfId="6" applyBorder="1" applyAlignment="1">
      <alignment horizontal="right" vertical="center"/>
    </xf>
    <xf numFmtId="0" fontId="6" fillId="0" borderId="0" xfId="27">
      <alignment vertical="center"/>
    </xf>
    <xf numFmtId="0" fontId="38" fillId="0" borderId="0" xfId="39" applyFont="1" applyAlignment="1">
      <alignment horizontal="center" vertical="center"/>
    </xf>
    <xf numFmtId="179" fontId="27" fillId="0" borderId="40" xfId="43" applyNumberFormat="1" applyFont="1" applyBorder="1" applyAlignment="1">
      <alignment horizontal="center" vertical="center"/>
    </xf>
    <xf numFmtId="179" fontId="27" fillId="0" borderId="41" xfId="43" applyNumberFormat="1" applyFont="1" applyBorder="1" applyAlignment="1">
      <alignment horizontal="center" vertical="center"/>
    </xf>
    <xf numFmtId="168" fontId="18" fillId="0" borderId="7" xfId="19" applyBorder="1" applyAlignment="1">
      <alignment horizontal="right" vertical="center"/>
    </xf>
    <xf numFmtId="167" fontId="19" fillId="0" borderId="46" xfId="18" applyFont="1" applyBorder="1" applyAlignment="1">
      <alignment horizontal="right" vertical="center"/>
    </xf>
    <xf numFmtId="168" fontId="19" fillId="0" borderId="83" xfId="19" applyFont="1" applyBorder="1">
      <alignment vertical="center"/>
    </xf>
    <xf numFmtId="168" fontId="18" fillId="0" borderId="11" xfId="19" applyBorder="1">
      <alignment vertical="center"/>
    </xf>
    <xf numFmtId="0" fontId="18" fillId="4" borderId="3" xfId="9" applyAlignment="1">
      <alignment horizontal="center" vertical="center"/>
      <protection locked="0"/>
    </xf>
    <xf numFmtId="0" fontId="19" fillId="0" borderId="4" xfId="24">
      <alignment horizontal="center" vertical="center"/>
    </xf>
    <xf numFmtId="168" fontId="18" fillId="0" borderId="4" xfId="25">
      <alignment horizontal="center" vertical="center"/>
    </xf>
    <xf numFmtId="168" fontId="18" fillId="4" borderId="3" xfId="12">
      <alignment vertical="center"/>
      <protection locked="0"/>
    </xf>
    <xf numFmtId="172" fontId="18" fillId="4" borderId="3" xfId="12" applyNumberFormat="1">
      <alignment vertical="center"/>
      <protection locked="0"/>
    </xf>
    <xf numFmtId="169" fontId="18" fillId="4" borderId="3" xfId="13">
      <alignment vertical="center"/>
      <protection locked="0"/>
    </xf>
    <xf numFmtId="179" fontId="18" fillId="4" borderId="3" xfId="13" applyNumberFormat="1" applyAlignment="1">
      <alignment horizontal="center" vertical="center"/>
      <protection locked="0"/>
    </xf>
    <xf numFmtId="168" fontId="18" fillId="4" borderId="3" xfId="12" applyAlignment="1">
      <alignment horizontal="center" vertical="center"/>
      <protection locked="0"/>
    </xf>
    <xf numFmtId="177" fontId="18" fillId="4" borderId="3" xfId="13" applyNumberFormat="1">
      <alignment vertical="center"/>
      <protection locked="0"/>
    </xf>
    <xf numFmtId="174" fontId="18" fillId="4" borderId="3" xfId="9" applyNumberFormat="1" applyAlignment="1">
      <alignment horizontal="right" vertical="center"/>
      <protection locked="0"/>
    </xf>
    <xf numFmtId="169" fontId="18" fillId="4" borderId="3" xfId="13" applyAlignment="1">
      <alignment horizontal="right" vertical="center"/>
      <protection locked="0"/>
    </xf>
    <xf numFmtId="175" fontId="18" fillId="4" borderId="3" xfId="13" applyNumberFormat="1">
      <alignment vertical="center"/>
      <protection locked="0"/>
    </xf>
    <xf numFmtId="0" fontId="16" fillId="0" borderId="0" xfId="6" applyAlignment="1">
      <alignment horizontal="right" vertical="center"/>
    </xf>
    <xf numFmtId="0" fontId="21" fillId="0" borderId="0" xfId="7" applyFont="1">
      <alignment vertical="center"/>
    </xf>
    <xf numFmtId="181" fontId="18" fillId="4" borderId="3" xfId="12" applyNumberFormat="1">
      <alignment vertical="center"/>
      <protection locked="0"/>
    </xf>
    <xf numFmtId="0" fontId="16" fillId="0" borderId="0" xfId="6" applyAlignment="1">
      <alignment horizontal="center" vertical="center"/>
    </xf>
    <xf numFmtId="0" fontId="16" fillId="0" borderId="0" xfId="6" applyAlignment="1">
      <alignment horizontal="center" vertical="center" wrapText="1"/>
    </xf>
    <xf numFmtId="0" fontId="18" fillId="4" borderId="84" xfId="9" applyBorder="1" applyAlignment="1">
      <alignment horizontal="center" vertical="center"/>
      <protection locked="0"/>
    </xf>
    <xf numFmtId="172" fontId="18" fillId="4" borderId="15" xfId="12" applyNumberFormat="1" applyBorder="1" applyAlignment="1">
      <alignment horizontal="center" vertical="center"/>
      <protection locked="0"/>
    </xf>
    <xf numFmtId="0" fontId="18" fillId="4" borderId="12" xfId="9" applyBorder="1" applyAlignment="1">
      <alignment horizontal="center" vertical="center"/>
      <protection locked="0"/>
    </xf>
    <xf numFmtId="179" fontId="18" fillId="4" borderId="12" xfId="13" applyNumberFormat="1" applyBorder="1" applyAlignment="1">
      <alignment horizontal="center" vertical="center"/>
      <protection locked="0"/>
    </xf>
    <xf numFmtId="172" fontId="18" fillId="4" borderId="17" xfId="12" applyNumberFormat="1" applyBorder="1">
      <alignment vertical="center"/>
      <protection locked="0"/>
    </xf>
    <xf numFmtId="175" fontId="18" fillId="4" borderId="17" xfId="13" applyNumberFormat="1" applyBorder="1">
      <alignment vertical="center"/>
      <protection locked="0"/>
    </xf>
    <xf numFmtId="175" fontId="18" fillId="4" borderId="17" xfId="12" applyNumberFormat="1" applyBorder="1">
      <alignment vertical="center"/>
      <protection locked="0"/>
    </xf>
    <xf numFmtId="0" fontId="17" fillId="0" borderId="1" xfId="7" applyBorder="1">
      <alignment vertical="center"/>
    </xf>
    <xf numFmtId="174" fontId="17" fillId="0" borderId="1" xfId="7" applyNumberFormat="1" applyBorder="1" applyAlignment="1">
      <alignment horizontal="right" vertical="center"/>
    </xf>
    <xf numFmtId="168" fontId="18" fillId="4" borderId="16" xfId="12" applyBorder="1">
      <alignment vertical="center"/>
      <protection locked="0"/>
    </xf>
    <xf numFmtId="168" fontId="18" fillId="4" borderId="13" xfId="12" applyBorder="1">
      <alignment vertical="center"/>
      <protection locked="0"/>
    </xf>
    <xf numFmtId="168" fontId="18" fillId="4" borderId="15" xfId="12" applyBorder="1">
      <alignment vertical="center"/>
      <protection locked="0"/>
    </xf>
    <xf numFmtId="174" fontId="16" fillId="0" borderId="33" xfId="6" applyNumberFormat="1" applyBorder="1" applyAlignment="1">
      <alignment horizontal="right" vertical="center"/>
    </xf>
    <xf numFmtId="174" fontId="16" fillId="0" borderId="4" xfId="6" applyNumberFormat="1" applyBorder="1" applyAlignment="1">
      <alignment horizontal="right" vertical="center"/>
    </xf>
    <xf numFmtId="172" fontId="18" fillId="0" borderId="40" xfId="19" applyNumberFormat="1" applyBorder="1" applyAlignment="1">
      <alignment horizontal="center" vertical="center"/>
    </xf>
    <xf numFmtId="0" fontId="16" fillId="0" borderId="0" xfId="6" applyAlignment="1">
      <alignment horizontal="left" vertical="center"/>
    </xf>
    <xf numFmtId="0" fontId="16" fillId="0" borderId="1" xfId="6" applyBorder="1" applyAlignment="1">
      <alignment horizontal="left" vertical="center"/>
    </xf>
    <xf numFmtId="0" fontId="16" fillId="0" borderId="1" xfId="6" applyBorder="1" applyAlignment="1">
      <alignment horizontal="center" vertical="center"/>
    </xf>
    <xf numFmtId="172" fontId="19" fillId="0" borderId="22" xfId="19" applyNumberFormat="1" applyFont="1" applyBorder="1" applyAlignment="1">
      <alignment horizontal="center" vertical="center"/>
    </xf>
    <xf numFmtId="0" fontId="0" fillId="0" borderId="22" xfId="16" applyFont="1" applyBorder="1">
      <alignment horizontal="center" vertical="center"/>
      <protection locked="0"/>
    </xf>
    <xf numFmtId="0" fontId="17" fillId="0" borderId="4" xfId="7" applyBorder="1" applyAlignment="1">
      <alignment horizontal="center" vertical="center"/>
    </xf>
    <xf numFmtId="0" fontId="17" fillId="0" borderId="0" xfId="7" applyAlignment="1">
      <alignment horizontal="left" vertical="center"/>
    </xf>
    <xf numFmtId="172" fontId="16" fillId="0" borderId="23" xfId="7" applyNumberFormat="1" applyFont="1" applyBorder="1" applyAlignment="1">
      <alignment horizontal="left" vertical="center"/>
    </xf>
    <xf numFmtId="0" fontId="14" fillId="0" borderId="0" xfId="1">
      <alignment vertical="center"/>
    </xf>
    <xf numFmtId="171" fontId="17" fillId="0" borderId="0" xfId="7" applyNumberFormat="1" applyAlignment="1">
      <alignment horizontal="center" vertical="top"/>
    </xf>
    <xf numFmtId="0" fontId="17" fillId="0" borderId="0" xfId="7" applyAlignment="1">
      <alignment horizontal="left" vertical="top"/>
    </xf>
    <xf numFmtId="0" fontId="14" fillId="0" borderId="0" xfId="1" quotePrefix="1">
      <alignment vertical="center"/>
    </xf>
    <xf numFmtId="0" fontId="15" fillId="0" borderId="0" xfId="2">
      <alignment vertical="center"/>
    </xf>
    <xf numFmtId="179" fontId="27" fillId="0" borderId="86" xfId="43" applyNumberFormat="1" applyFont="1" applyBorder="1" applyAlignment="1">
      <alignment horizontal="center" vertical="center"/>
    </xf>
    <xf numFmtId="172" fontId="18" fillId="0" borderId="33" xfId="19" applyNumberFormat="1" applyBorder="1" applyAlignment="1">
      <alignment horizontal="center" vertical="center"/>
    </xf>
    <xf numFmtId="172" fontId="18" fillId="0" borderId="34" xfId="19" applyNumberFormat="1" applyBorder="1" applyAlignment="1">
      <alignment horizontal="center" vertical="center"/>
    </xf>
    <xf numFmtId="172" fontId="18" fillId="0" borderId="85" xfId="19" applyNumberFormat="1" applyBorder="1" applyAlignment="1">
      <alignment horizontal="center" vertical="center"/>
    </xf>
    <xf numFmtId="175" fontId="18" fillId="0" borderId="83" xfId="20" applyNumberFormat="1" applyBorder="1">
      <alignment vertical="center"/>
    </xf>
    <xf numFmtId="179" fontId="27" fillId="0" borderId="87" xfId="43" applyNumberFormat="1" applyFont="1" applyBorder="1" applyAlignment="1">
      <alignment horizontal="center" vertical="center"/>
    </xf>
    <xf numFmtId="0" fontId="26" fillId="0" borderId="0" xfId="41" applyFont="1" applyAlignment="1">
      <alignment horizontal="center" vertical="center"/>
      <protection locked="0"/>
    </xf>
    <xf numFmtId="183" fontId="18" fillId="4" borderId="3" xfId="15" applyNumberFormat="1">
      <alignment vertical="center"/>
      <protection locked="0"/>
    </xf>
    <xf numFmtId="181" fontId="18" fillId="4" borderId="3" xfId="12" applyNumberFormat="1" applyAlignment="1">
      <alignment horizontal="center" vertical="center"/>
      <protection locked="0"/>
    </xf>
    <xf numFmtId="181" fontId="18" fillId="4" borderId="12" xfId="12" applyNumberFormat="1" applyBorder="1" applyAlignment="1">
      <alignment horizontal="center" vertical="center"/>
      <protection locked="0"/>
    </xf>
    <xf numFmtId="172" fontId="18" fillId="0" borderId="88" xfId="19" applyNumberFormat="1" applyBorder="1">
      <alignment vertical="center"/>
    </xf>
    <xf numFmtId="181" fontId="18" fillId="0" borderId="38" xfId="19" applyNumberFormat="1" applyBorder="1">
      <alignment vertical="center"/>
    </xf>
    <xf numFmtId="181" fontId="18" fillId="0" borderId="39" xfId="19" applyNumberFormat="1" applyBorder="1" applyAlignment="1">
      <alignment horizontal="center" vertical="center"/>
    </xf>
    <xf numFmtId="184" fontId="16" fillId="0" borderId="38" xfId="6" applyNumberFormat="1" applyBorder="1" applyAlignment="1">
      <alignment horizontal="right" vertical="center"/>
    </xf>
    <xf numFmtId="181" fontId="18" fillId="0" borderId="39" xfId="19" applyNumberFormat="1" applyBorder="1">
      <alignment vertical="center"/>
    </xf>
    <xf numFmtId="185" fontId="18" fillId="4" borderId="3" xfId="12" applyNumberFormat="1">
      <alignment vertical="center"/>
      <protection locked="0"/>
    </xf>
    <xf numFmtId="181" fontId="27" fillId="0" borderId="41" xfId="42" applyNumberFormat="1" applyFont="1" applyBorder="1" applyAlignment="1">
      <alignment horizontal="center" vertical="center"/>
    </xf>
    <xf numFmtId="181" fontId="27" fillId="0" borderId="86" xfId="42" applyNumberFormat="1" applyFont="1" applyBorder="1" applyAlignment="1">
      <alignment horizontal="center" vertical="center"/>
    </xf>
    <xf numFmtId="181" fontId="18" fillId="0" borderId="38" xfId="19" applyNumberFormat="1" applyBorder="1" applyAlignment="1">
      <alignment horizontal="center" vertical="center"/>
    </xf>
    <xf numFmtId="181" fontId="27" fillId="0" borderId="87" xfId="42" applyNumberFormat="1" applyFont="1" applyBorder="1" applyAlignment="1">
      <alignment horizontal="center" vertical="center"/>
    </xf>
    <xf numFmtId="181" fontId="27" fillId="0" borderId="40" xfId="42" applyNumberFormat="1" applyFont="1" applyBorder="1" applyAlignment="1">
      <alignment horizontal="center" vertical="center"/>
    </xf>
    <xf numFmtId="172" fontId="19" fillId="0" borderId="8" xfId="19" applyNumberFormat="1" applyFont="1" applyBorder="1">
      <alignment vertical="center"/>
    </xf>
    <xf numFmtId="181" fontId="18" fillId="4" borderId="3" xfId="13" applyNumberFormat="1" applyAlignment="1">
      <alignment horizontal="center" vertical="center"/>
      <protection locked="0"/>
    </xf>
    <xf numFmtId="181" fontId="18" fillId="4" borderId="12" xfId="13" applyNumberFormat="1" applyBorder="1" applyAlignment="1">
      <alignment horizontal="center" vertical="center"/>
      <protection locked="0"/>
    </xf>
    <xf numFmtId="181" fontId="18" fillId="0" borderId="39" xfId="20" applyNumberFormat="1" applyBorder="1" applyAlignment="1">
      <alignment horizontal="center" vertical="center"/>
    </xf>
    <xf numFmtId="0" fontId="39" fillId="0" borderId="0" xfId="40" applyFont="1" applyAlignment="1">
      <alignment horizontal="center" vertical="center"/>
    </xf>
    <xf numFmtId="0" fontId="0" fillId="0" borderId="0" xfId="0" applyFill="1">
      <alignment vertical="center"/>
    </xf>
    <xf numFmtId="0" fontId="17" fillId="0" borderId="0" xfId="7" applyFill="1">
      <alignment vertical="center"/>
    </xf>
    <xf numFmtId="168" fontId="18" fillId="0" borderId="0" xfId="19" applyFill="1">
      <alignment vertical="center"/>
    </xf>
    <xf numFmtId="172" fontId="18" fillId="4" borderId="12" xfId="12" applyNumberFormat="1" applyBorder="1">
      <alignment vertical="center"/>
      <protection locked="0"/>
    </xf>
    <xf numFmtId="0" fontId="0" fillId="0" borderId="0" xfId="16" applyFont="1">
      <alignment horizontal="center" vertical="center"/>
      <protection locked="0"/>
    </xf>
    <xf numFmtId="172" fontId="19" fillId="0" borderId="0" xfId="19" applyNumberFormat="1" applyFont="1">
      <alignment vertical="center"/>
    </xf>
    <xf numFmtId="172" fontId="18" fillId="4" borderId="16" xfId="12" applyNumberFormat="1" applyBorder="1">
      <alignment vertical="center"/>
      <protection locked="0"/>
    </xf>
    <xf numFmtId="172" fontId="0" fillId="0" borderId="0" xfId="0" applyNumberFormat="1">
      <alignment vertical="center"/>
    </xf>
    <xf numFmtId="172" fontId="19" fillId="0" borderId="9" xfId="19" applyNumberFormat="1" applyFont="1" applyBorder="1">
      <alignment vertical="center"/>
    </xf>
    <xf numFmtId="172" fontId="19" fillId="0" borderId="10" xfId="19" applyNumberFormat="1" applyFont="1" applyBorder="1">
      <alignment vertical="center"/>
    </xf>
    <xf numFmtId="186" fontId="18" fillId="0" borderId="0" xfId="58" applyNumberFormat="1" applyAlignment="1" applyProtection="1">
      <alignment vertical="center"/>
    </xf>
    <xf numFmtId="187" fontId="18" fillId="0" borderId="0" xfId="58" applyNumberFormat="1" applyAlignment="1" applyProtection="1">
      <alignment vertical="center"/>
    </xf>
    <xf numFmtId="0" fontId="40" fillId="0" borderId="0" xfId="56" applyFont="1">
      <alignment vertical="center"/>
    </xf>
    <xf numFmtId="172" fontId="40" fillId="4" borderId="3" xfId="12" applyNumberFormat="1" applyFont="1">
      <alignment vertical="center"/>
      <protection locked="0"/>
    </xf>
    <xf numFmtId="1" fontId="18" fillId="0" borderId="0" xfId="56" applyNumberFormat="1">
      <alignment vertical="center"/>
    </xf>
    <xf numFmtId="185" fontId="17" fillId="0" borderId="0" xfId="7" applyNumberFormat="1">
      <alignment vertical="center"/>
    </xf>
    <xf numFmtId="0" fontId="26" fillId="0" borderId="0" xfId="40" applyFont="1" applyFill="1" applyAlignment="1">
      <alignment horizontal="center" vertical="center"/>
    </xf>
    <xf numFmtId="172" fontId="40" fillId="11" borderId="3" xfId="12" applyNumberFormat="1" applyFont="1" applyFill="1">
      <alignment vertical="center"/>
      <protection locked="0"/>
    </xf>
    <xf numFmtId="0" fontId="7" fillId="0" borderId="0" xfId="50" applyFill="1">
      <alignment horizontal="center" vertical="center"/>
    </xf>
    <xf numFmtId="0" fontId="16" fillId="0" borderId="0" xfId="6" applyFill="1">
      <alignment vertical="center"/>
    </xf>
    <xf numFmtId="0" fontId="16" fillId="0" borderId="0" xfId="6" applyFill="1" applyAlignment="1">
      <alignment horizontal="center" vertical="center"/>
    </xf>
    <xf numFmtId="0" fontId="16" fillId="0" borderId="89" xfId="6" applyFill="1" applyBorder="1">
      <alignment vertical="center"/>
    </xf>
    <xf numFmtId="168" fontId="18" fillId="4" borderId="17" xfId="12" applyBorder="1">
      <alignment vertical="center"/>
      <protection locked="0"/>
    </xf>
    <xf numFmtId="184" fontId="16" fillId="0" borderId="38" xfId="6" applyNumberFormat="1" applyFill="1" applyBorder="1" applyAlignment="1">
      <alignment horizontal="right" vertical="center"/>
    </xf>
    <xf numFmtId="172" fontId="19" fillId="0" borderId="11" xfId="19" applyNumberFormat="1" applyFont="1" applyFill="1" applyBorder="1">
      <alignment vertical="center"/>
    </xf>
    <xf numFmtId="172" fontId="18" fillId="0" borderId="0" xfId="19" applyNumberFormat="1" applyFill="1">
      <alignment vertical="center"/>
    </xf>
    <xf numFmtId="168" fontId="18" fillId="0" borderId="39" xfId="19" applyFill="1" applyBorder="1">
      <alignment vertical="center"/>
    </xf>
    <xf numFmtId="172" fontId="18" fillId="0" borderId="0" xfId="42" applyNumberFormat="1">
      <alignment vertical="center"/>
    </xf>
    <xf numFmtId="172" fontId="19" fillId="0" borderId="24" xfId="42" applyNumberFormat="1" applyFont="1" applyBorder="1">
      <alignment vertical="center"/>
    </xf>
    <xf numFmtId="172" fontId="18" fillId="0" borderId="26" xfId="42" applyNumberFormat="1" applyBorder="1">
      <alignment vertical="center"/>
    </xf>
    <xf numFmtId="172" fontId="19" fillId="0" borderId="8" xfId="42" applyNumberFormat="1" applyFont="1" applyBorder="1">
      <alignment vertical="center"/>
    </xf>
    <xf numFmtId="172" fontId="18" fillId="0" borderId="0" xfId="42" applyNumberFormat="1" applyBorder="1">
      <alignment vertical="center"/>
    </xf>
    <xf numFmtId="172" fontId="18" fillId="0" borderId="28" xfId="42" applyNumberFormat="1" applyBorder="1">
      <alignment vertical="center"/>
    </xf>
    <xf numFmtId="172" fontId="19" fillId="0" borderId="29" xfId="42" applyNumberFormat="1" applyFont="1" applyBorder="1">
      <alignment vertical="center"/>
    </xf>
    <xf numFmtId="175" fontId="20" fillId="0" borderId="0" xfId="43" applyNumberFormat="1" applyFont="1">
      <alignment vertical="center"/>
    </xf>
    <xf numFmtId="175" fontId="20" fillId="0" borderId="28" xfId="43" applyNumberFormat="1" applyFont="1" applyBorder="1">
      <alignment vertical="center"/>
    </xf>
    <xf numFmtId="172" fontId="19" fillId="0" borderId="30" xfId="42" applyNumberFormat="1" applyFont="1" applyBorder="1">
      <alignment vertical="center"/>
    </xf>
    <xf numFmtId="172" fontId="18" fillId="0" borderId="31" xfId="42" applyNumberFormat="1" applyBorder="1">
      <alignment vertical="center"/>
    </xf>
    <xf numFmtId="172" fontId="19" fillId="0" borderId="27" xfId="42" applyNumberFormat="1" applyFont="1" applyBorder="1">
      <alignment vertical="center"/>
    </xf>
    <xf numFmtId="172" fontId="19" fillId="0" borderId="32" xfId="42" applyNumberFormat="1" applyFont="1" applyBorder="1">
      <alignment vertical="center"/>
    </xf>
    <xf numFmtId="172" fontId="18" fillId="0" borderId="25" xfId="42" applyNumberFormat="1" applyBorder="1">
      <alignment vertical="center"/>
    </xf>
    <xf numFmtId="172" fontId="18" fillId="0" borderId="47" xfId="42" applyNumberFormat="1" applyBorder="1">
      <alignment vertical="center"/>
    </xf>
    <xf numFmtId="172" fontId="19" fillId="0" borderId="0" xfId="42" applyNumberFormat="1" applyFont="1">
      <alignment vertical="center"/>
    </xf>
    <xf numFmtId="172" fontId="18" fillId="0" borderId="14" xfId="42" applyNumberFormat="1" applyBorder="1">
      <alignment vertical="center"/>
    </xf>
    <xf numFmtId="172" fontId="19" fillId="0" borderId="14" xfId="42" applyNumberFormat="1" applyFont="1" applyBorder="1">
      <alignment vertical="center"/>
    </xf>
    <xf numFmtId="172" fontId="18" fillId="0" borderId="35" xfId="19" applyNumberFormat="1" applyBorder="1">
      <alignment vertical="center"/>
    </xf>
    <xf numFmtId="172" fontId="18" fillId="0" borderId="33" xfId="19" applyNumberFormat="1" applyBorder="1">
      <alignment vertical="center"/>
    </xf>
    <xf numFmtId="172" fontId="18" fillId="0" borderId="34" xfId="19" applyNumberFormat="1" applyBorder="1">
      <alignment vertical="center"/>
    </xf>
    <xf numFmtId="172" fontId="19" fillId="0" borderId="4" xfId="19" applyNumberFormat="1" applyFont="1" applyBorder="1">
      <alignment vertical="center"/>
    </xf>
    <xf numFmtId="172" fontId="18" fillId="0" borderId="85" xfId="19" applyNumberFormat="1" applyBorder="1">
      <alignment vertical="center"/>
    </xf>
    <xf numFmtId="172" fontId="19" fillId="0" borderId="85" xfId="19" applyNumberFormat="1" applyFont="1" applyBorder="1">
      <alignment vertical="center"/>
    </xf>
    <xf numFmtId="172" fontId="18" fillId="0" borderId="1" xfId="19" applyNumberFormat="1" applyBorder="1">
      <alignment vertical="center"/>
    </xf>
    <xf numFmtId="188" fontId="17" fillId="0" borderId="0" xfId="7" applyNumberFormat="1" applyAlignment="1">
      <alignment horizontal="right" vertical="center"/>
    </xf>
    <xf numFmtId="172" fontId="19" fillId="0" borderId="14" xfId="19" applyNumberFormat="1" applyFont="1" applyBorder="1">
      <alignment vertical="center"/>
    </xf>
    <xf numFmtId="172" fontId="18" fillId="0" borderId="8" xfId="19" applyNumberFormat="1" applyBorder="1">
      <alignment vertical="center"/>
    </xf>
    <xf numFmtId="188" fontId="16" fillId="0" borderId="0" xfId="6" applyNumberFormat="1" applyAlignment="1">
      <alignment horizontal="right" vertical="center"/>
    </xf>
    <xf numFmtId="181" fontId="18" fillId="0" borderId="99" xfId="19" applyNumberFormat="1" applyBorder="1" applyAlignment="1">
      <alignment horizontal="center" vertical="center"/>
    </xf>
    <xf numFmtId="181" fontId="18" fillId="0" borderId="99" xfId="19" applyNumberFormat="1" applyBorder="1">
      <alignment vertical="center"/>
    </xf>
    <xf numFmtId="181" fontId="27" fillId="0" borderId="41" xfId="42" applyNumberFormat="1" applyFont="1" applyFill="1" applyBorder="1" applyAlignment="1">
      <alignment horizontal="center" vertical="center"/>
    </xf>
    <xf numFmtId="0" fontId="9" fillId="0" borderId="0" xfId="33" applyAlignment="1">
      <alignment horizontal="center" vertical="center"/>
    </xf>
    <xf numFmtId="0" fontId="7" fillId="0" borderId="0" xfId="51">
      <alignment horizontal="center" vertical="center"/>
    </xf>
    <xf numFmtId="0" fontId="7" fillId="0" borderId="0" xfId="29">
      <alignment horizontal="center" vertical="center"/>
    </xf>
    <xf numFmtId="189" fontId="18" fillId="4" borderId="3" xfId="15" applyNumberFormat="1">
      <alignment vertical="center"/>
      <protection locked="0"/>
    </xf>
    <xf numFmtId="169" fontId="1" fillId="27" borderId="3" xfId="89" applyNumberFormat="1" applyFont="1" applyBorder="1" applyAlignment="1" applyProtection="1">
      <alignment vertical="center"/>
      <protection locked="0"/>
    </xf>
    <xf numFmtId="0" fontId="9" fillId="0" borderId="0" xfId="32">
      <alignment vertical="center"/>
    </xf>
    <xf numFmtId="0" fontId="9" fillId="0" borderId="0" xfId="33">
      <alignment vertical="center"/>
    </xf>
    <xf numFmtId="0" fontId="8" fillId="0" borderId="0" xfId="30">
      <alignment vertical="center"/>
    </xf>
    <xf numFmtId="0" fontId="6" fillId="0" borderId="0" xfId="49">
      <alignment vertical="center"/>
    </xf>
    <xf numFmtId="0" fontId="36" fillId="9" borderId="71" xfId="56" applyFont="1" applyFill="1" applyBorder="1" applyAlignment="1">
      <alignment horizontal="left" vertical="center" wrapText="1"/>
    </xf>
    <xf numFmtId="0" fontId="36" fillId="9" borderId="72" xfId="56" applyFont="1" applyFill="1" applyBorder="1" applyAlignment="1">
      <alignment horizontal="left" vertical="center" wrapText="1"/>
    </xf>
    <xf numFmtId="0" fontId="36" fillId="9" borderId="0" xfId="56" applyFont="1" applyFill="1" applyBorder="1" applyAlignment="1">
      <alignment horizontal="left" vertical="center" wrapText="1"/>
    </xf>
    <xf numFmtId="0" fontId="36" fillId="9" borderId="74" xfId="56" applyFont="1" applyFill="1" applyBorder="1" applyAlignment="1">
      <alignment horizontal="left" vertical="center" wrapText="1"/>
    </xf>
    <xf numFmtId="0" fontId="36" fillId="9" borderId="76" xfId="56" applyFont="1" applyFill="1" applyBorder="1" applyAlignment="1">
      <alignment horizontal="left" vertical="center" wrapText="1"/>
    </xf>
    <xf numFmtId="0" fontId="36" fillId="9" borderId="77" xfId="56" applyFont="1" applyFill="1" applyBorder="1" applyAlignment="1">
      <alignment horizontal="left" vertical="center" wrapText="1"/>
    </xf>
    <xf numFmtId="0" fontId="34" fillId="9" borderId="0" xfId="56" applyFont="1" applyFill="1" applyBorder="1">
      <alignment vertical="center"/>
    </xf>
    <xf numFmtId="0" fontId="35" fillId="9" borderId="0" xfId="56" applyFont="1" applyFill="1" applyBorder="1" applyAlignment="1">
      <alignment horizontal="left" vertical="top" wrapText="1"/>
    </xf>
    <xf numFmtId="0" fontId="33" fillId="8" borderId="56" xfId="56" applyFont="1" applyFill="1" applyBorder="1" applyAlignment="1">
      <alignment horizontal="left" vertical="center" wrapText="1"/>
    </xf>
    <xf numFmtId="0" fontId="33" fillId="8" borderId="57" xfId="56" applyFont="1" applyFill="1" applyBorder="1" applyAlignment="1">
      <alignment horizontal="left" vertical="center" wrapText="1"/>
    </xf>
    <xf numFmtId="0" fontId="33" fillId="8" borderId="0" xfId="56" applyFont="1" applyFill="1" applyBorder="1" applyAlignment="1">
      <alignment horizontal="left" vertical="center" wrapText="1"/>
    </xf>
    <xf numFmtId="0" fontId="33" fillId="8" borderId="59" xfId="56" applyFont="1" applyFill="1" applyBorder="1" applyAlignment="1">
      <alignment horizontal="left" vertical="center" wrapText="1"/>
    </xf>
    <xf numFmtId="0" fontId="33" fillId="8" borderId="61" xfId="56" applyFont="1" applyFill="1" applyBorder="1" applyAlignment="1">
      <alignment horizontal="left" vertical="center" wrapText="1"/>
    </xf>
    <xf numFmtId="0" fontId="33" fillId="8" borderId="62" xfId="56" applyFont="1" applyFill="1" applyBorder="1" applyAlignment="1">
      <alignment horizontal="left" vertical="center" wrapText="1"/>
    </xf>
    <xf numFmtId="0" fontId="33" fillId="8" borderId="55" xfId="56" applyFont="1" applyFill="1" applyBorder="1" applyAlignment="1">
      <alignment horizontal="center" vertical="center" wrapText="1"/>
    </xf>
    <xf numFmtId="0" fontId="33" fillId="8" borderId="56" xfId="56" applyFont="1" applyFill="1" applyBorder="1" applyAlignment="1">
      <alignment horizontal="center" vertical="center" wrapText="1"/>
    </xf>
    <xf numFmtId="0" fontId="33" fillId="8" borderId="57" xfId="56" applyFont="1" applyFill="1" applyBorder="1" applyAlignment="1">
      <alignment horizontal="center" vertical="center" wrapText="1"/>
    </xf>
    <xf numFmtId="0" fontId="33" fillId="8" borderId="58" xfId="56" applyFont="1" applyFill="1" applyBorder="1" applyAlignment="1">
      <alignment horizontal="center" vertical="center" wrapText="1"/>
    </xf>
    <xf numFmtId="0" fontId="33" fillId="8" borderId="0" xfId="56" applyFont="1" applyFill="1" applyBorder="1" applyAlignment="1">
      <alignment horizontal="center" vertical="center" wrapText="1"/>
    </xf>
    <xf numFmtId="0" fontId="33" fillId="8" borderId="59" xfId="56" applyFont="1" applyFill="1" applyBorder="1" applyAlignment="1">
      <alignment horizontal="center" vertical="center" wrapText="1"/>
    </xf>
    <xf numFmtId="0" fontId="33" fillId="8" borderId="60" xfId="56" applyFont="1" applyFill="1" applyBorder="1" applyAlignment="1">
      <alignment horizontal="center" vertical="center" wrapText="1"/>
    </xf>
    <xf numFmtId="0" fontId="33" fillId="8" borderId="61" xfId="56" applyFont="1" applyFill="1" applyBorder="1" applyAlignment="1">
      <alignment horizontal="center" vertical="center" wrapText="1"/>
    </xf>
    <xf numFmtId="0" fontId="33" fillId="8" borderId="62" xfId="56" applyFont="1" applyFill="1" applyBorder="1" applyAlignment="1">
      <alignment horizontal="center" vertical="center" wrapText="1"/>
    </xf>
    <xf numFmtId="0" fontId="30" fillId="7" borderId="0" xfId="56" applyFont="1" applyFill="1" applyBorder="1">
      <alignment vertical="center"/>
    </xf>
    <xf numFmtId="0" fontId="31" fillId="7" borderId="0" xfId="56" applyFont="1" applyFill="1" applyBorder="1" applyAlignment="1">
      <alignment horizontal="left" vertical="top" wrapText="1"/>
    </xf>
    <xf numFmtId="0" fontId="28" fillId="0" borderId="49" xfId="56" applyFont="1" applyBorder="1" applyAlignment="1">
      <alignment horizontal="center" vertical="center"/>
    </xf>
    <xf numFmtId="0" fontId="28" fillId="0" borderId="49" xfId="56" applyFont="1" applyBorder="1" applyAlignment="1">
      <alignment horizontal="right" vertical="center"/>
    </xf>
    <xf numFmtId="0" fontId="6" fillId="0" borderId="0" xfId="27">
      <alignment vertical="center"/>
    </xf>
    <xf numFmtId="0" fontId="16" fillId="0" borderId="0" xfId="6" applyAlignment="1">
      <alignment horizontal="center" vertical="center"/>
    </xf>
    <xf numFmtId="0" fontId="17" fillId="0" borderId="0" xfId="40" applyBorder="1" applyAlignment="1">
      <alignment horizontal="right" vertical="center"/>
    </xf>
    <xf numFmtId="0" fontId="17" fillId="0" borderId="14" xfId="40" applyBorder="1" applyAlignment="1">
      <alignment horizontal="right" vertical="center"/>
    </xf>
    <xf numFmtId="0" fontId="16" fillId="6" borderId="0" xfId="38" applyBorder="1" applyAlignment="1">
      <alignment horizontal="center" vertical="center"/>
    </xf>
    <xf numFmtId="0" fontId="17" fillId="0" borderId="0" xfId="40" applyAlignment="1">
      <alignment horizontal="right" vertical="center"/>
    </xf>
    <xf numFmtId="0" fontId="16" fillId="0" borderId="14" xfId="39" applyBorder="1" applyAlignment="1">
      <alignment horizontal="right" vertical="center"/>
    </xf>
    <xf numFmtId="0" fontId="16" fillId="0" borderId="0" xfId="39" applyBorder="1" applyAlignment="1">
      <alignment horizontal="right" vertical="center"/>
    </xf>
    <xf numFmtId="0" fontId="4" fillId="2" borderId="0" xfId="37" applyAlignment="1">
      <alignment horizontal="center" vertical="center"/>
    </xf>
    <xf numFmtId="0" fontId="4" fillId="5" borderId="0" xfId="37" applyFill="1" applyAlignment="1">
      <alignment horizontal="center" vertical="center"/>
    </xf>
    <xf numFmtId="0" fontId="18" fillId="4" borderId="3" xfId="9">
      <alignment vertical="center"/>
      <protection locked="0"/>
    </xf>
    <xf numFmtId="0" fontId="17" fillId="0" borderId="0" xfId="7">
      <alignment vertical="center"/>
    </xf>
    <xf numFmtId="185" fontId="18" fillId="4" borderId="3" xfId="9" applyNumberFormat="1">
      <alignment vertical="center"/>
      <protection locked="0"/>
    </xf>
    <xf numFmtId="0" fontId="16" fillId="0" borderId="0" xfId="6">
      <alignment vertical="center"/>
    </xf>
    <xf numFmtId="172" fontId="18" fillId="0" borderId="36" xfId="19" applyNumberFormat="1" applyBorder="1" applyAlignment="1">
      <alignment horizontal="center" vertical="center"/>
    </xf>
    <xf numFmtId="172" fontId="18" fillId="0" borderId="37" xfId="19" applyNumberFormat="1" applyBorder="1" applyAlignment="1">
      <alignment horizontal="center" vertical="center"/>
    </xf>
    <xf numFmtId="172" fontId="18" fillId="0" borderId="0" xfId="19" applyNumberFormat="1" applyAlignment="1">
      <alignment horizontal="center" vertical="center"/>
    </xf>
    <xf numFmtId="172" fontId="18" fillId="0" borderId="45" xfId="19" applyNumberFormat="1" applyBorder="1" applyAlignment="1">
      <alignment horizontal="center" vertical="center"/>
    </xf>
    <xf numFmtId="0" fontId="18" fillId="4" borderId="3" xfId="9" applyAlignment="1">
      <alignment horizontal="center" vertical="center"/>
      <protection locked="0"/>
    </xf>
    <xf numFmtId="0" fontId="17" fillId="0" borderId="0" xfId="7" applyAlignment="1">
      <alignment horizontal="center" vertical="center"/>
    </xf>
    <xf numFmtId="166" fontId="18" fillId="4" borderId="3" xfId="10" applyAlignment="1">
      <alignment horizontal="center" vertical="center"/>
      <protection locked="0"/>
    </xf>
    <xf numFmtId="172" fontId="18" fillId="4" borderId="3" xfId="12" applyNumberFormat="1" applyAlignment="1">
      <alignment horizontal="center" vertical="center"/>
      <protection locked="0"/>
    </xf>
    <xf numFmtId="167" fontId="18" fillId="0" borderId="6" xfId="18" applyBorder="1" applyAlignment="1">
      <alignment horizontal="center" vertical="center"/>
    </xf>
    <xf numFmtId="167" fontId="18" fillId="0" borderId="0" xfId="18" applyAlignment="1">
      <alignment horizontal="center" vertical="center"/>
    </xf>
    <xf numFmtId="0" fontId="37" fillId="3" borderId="81" xfId="5">
      <alignment vertical="center"/>
    </xf>
  </cellXfs>
  <cellStyles count="105">
    <cellStyle name="20% - Accent1" xfId="82" builtinId="30" customBuiltin="1"/>
    <cellStyle name="20% - Accent2" xfId="86" builtinId="34" customBuiltin="1"/>
    <cellStyle name="20% - Accent3" xfId="90" builtinId="38" customBuiltin="1"/>
    <cellStyle name="20% - Accent4" xfId="94" builtinId="42" customBuiltin="1"/>
    <cellStyle name="20% - Accent5" xfId="98" builtinId="46" customBuiltin="1"/>
    <cellStyle name="20% - Accent6" xfId="102" builtinId="50" customBuiltin="1"/>
    <cellStyle name="40% - Accent1" xfId="83" builtinId="31" customBuiltin="1"/>
    <cellStyle name="40% - Accent2" xfId="87" builtinId="35" customBuiltin="1"/>
    <cellStyle name="40% - Accent3" xfId="91" builtinId="39" customBuiltin="1"/>
    <cellStyle name="40% - Accent4" xfId="95" builtinId="43" customBuiltin="1"/>
    <cellStyle name="40% - Accent5" xfId="99" builtinId="47" customBuiltin="1"/>
    <cellStyle name="40% - Accent6" xfId="103" builtinId="51" customBuiltin="1"/>
    <cellStyle name="60% - Accent1" xfId="84" builtinId="32" customBuiltin="1"/>
    <cellStyle name="60% - Accent2" xfId="88" builtinId="36" customBuiltin="1"/>
    <cellStyle name="60% - Accent3" xfId="92" builtinId="40" customBuiltin="1"/>
    <cellStyle name="60% - Accent4" xfId="96" builtinId="44" customBuiltin="1"/>
    <cellStyle name="60% - Accent5" xfId="100" builtinId="48" customBuiltin="1"/>
    <cellStyle name="60% - Accent6" xfId="104" builtinId="52" customBuiltin="1"/>
    <cellStyle name="Accent1" xfId="81" builtinId="29" customBuiltin="1"/>
    <cellStyle name="Accent2" xfId="85" builtinId="33" customBuiltin="1"/>
    <cellStyle name="Accent3" xfId="89" builtinId="37" customBuiltin="1"/>
    <cellStyle name="Accent4" xfId="93" builtinId="41" customBuiltin="1"/>
    <cellStyle name="Accent5" xfId="97" builtinId="45" customBuiltin="1"/>
    <cellStyle name="Accent6" xfId="101" builtinId="49" customBuiltin="1"/>
    <cellStyle name="Assumption Currency." xfId="15" xr:uid="{1322C01F-43D7-4996-85ED-3A1310C2440D}"/>
    <cellStyle name="Assumption Date." xfId="11" xr:uid="{A3586E6E-FB4F-4FA9-9042-C5B5803C9136}"/>
    <cellStyle name="Assumption Heading." xfId="9" xr:uid="{63C548D8-E19B-4F3C-8C65-7C0C7783B6A3}"/>
    <cellStyle name="Assumption Multiple." xfId="14" xr:uid="{B044C31B-7C5A-486D-91D1-71E3A1E9D3F6}"/>
    <cellStyle name="Assumption Number." xfId="12" xr:uid="{277F923F-EE8A-445F-A058-DF34F556B0F2}"/>
    <cellStyle name="Assumption Percentage." xfId="13" xr:uid="{363CEDC9-5984-4766-B4C6-585913CB9C42}"/>
    <cellStyle name="Assumption Year." xfId="10" xr:uid="{0AC6B41E-FAB8-4571-BA87-F29992F3C298}"/>
    <cellStyle name="Bad" xfId="70" builtinId="27" customBuiltin="1"/>
    <cellStyle name="Calculation" xfId="74" builtinId="22" customBuiltin="1"/>
    <cellStyle name="Cell Link." xfId="16" xr:uid="{2A43CA76-79AA-4EF7-A10C-D47A4B649EC5}"/>
    <cellStyle name="Check Cell" xfId="76" builtinId="23" customBuiltin="1"/>
    <cellStyle name="Comma" xfId="58" builtinId="3" customBuiltin="1"/>
    <cellStyle name="Comma [0]" xfId="60" builtinId="6" customBuiltin="1"/>
    <cellStyle name="Currency" xfId="61" builtinId="4" customBuiltin="1"/>
    <cellStyle name="Currency [0]" xfId="62" builtinId="7" customBuiltin="1"/>
    <cellStyle name="Currency." xfId="22" xr:uid="{F2E868B1-3F91-4D72-A6A5-AD97AE30C282}"/>
    <cellStyle name="Date." xfId="18" xr:uid="{AAA25DDB-DF29-4AA5-91B9-AFCB9B4ED956}"/>
    <cellStyle name="Explanatory Text" xfId="79" builtinId="53" customBuiltin="1"/>
    <cellStyle name="Followed Hyperlink" xfId="59" builtinId="9" customBuiltin="1"/>
    <cellStyle name="Good" xfId="69" builtinId="26" customBuiltin="1"/>
    <cellStyle name="Heading 1" xfId="65" builtinId="16" customBuiltin="1"/>
    <cellStyle name="Heading 1." xfId="4" xr:uid="{00BBA149-A457-4202-B54C-D70A204FA163}"/>
    <cellStyle name="Heading 2" xfId="66" builtinId="17" customBuiltin="1"/>
    <cellStyle name="Heading 2." xfId="5" xr:uid="{66780924-66D8-498D-B40C-D9D137DA08E7}"/>
    <cellStyle name="Heading 3" xfId="67" builtinId="18" customBuiltin="1"/>
    <cellStyle name="Heading 3." xfId="6" xr:uid="{D626AC28-EBC7-42B9-9ED3-12E22952F6E8}"/>
    <cellStyle name="Heading 4" xfId="68" builtinId="19" customBuiltin="1"/>
    <cellStyle name="Heading 4." xfId="7" xr:uid="{E89ABC54-99AC-47B8-B828-CF6ECDFAA889}"/>
    <cellStyle name="Hyperlink" xfId="57" builtinId="8" customBuiltin="1"/>
    <cellStyle name="Hyperlink Arrow." xfId="28" xr:uid="{99B751DC-47AA-40AC-A2CB-43099E42DF40}"/>
    <cellStyle name="Hyperlink Check." xfId="29" xr:uid="{753C9E2E-8E59-4E5A-B88A-9006CD6CC89A}"/>
    <cellStyle name="Hyperlink Text." xfId="27" xr:uid="{038FC1DB-AB1F-4380-8A8A-6436C8F49524}"/>
    <cellStyle name="Hyperlink TOC 1." xfId="30" xr:uid="{4252EC01-783B-4C9D-A8D8-462190C45FFB}"/>
    <cellStyle name="Hyperlink TOC 2." xfId="31" xr:uid="{4755848A-6021-4771-B6FA-B9B586EF8D01}"/>
    <cellStyle name="Hyperlink TOC 3." xfId="32" xr:uid="{13D18E00-A370-4D9A-A29C-112B7448B8DE}"/>
    <cellStyle name="Hyperlink TOC 4." xfId="33" xr:uid="{4B66E2B4-274C-414E-AAC3-4D5E04554C96}"/>
    <cellStyle name="Input" xfId="72" builtinId="20" customBuiltin="1"/>
    <cellStyle name="Linked Cell" xfId="75" builtinId="24" customBuiltin="1"/>
    <cellStyle name="Lookup Table Heading." xfId="24" xr:uid="{C1329043-4989-4058-8093-8ACFEE617A5A}"/>
    <cellStyle name="Lookup Table Label." xfId="26" xr:uid="{DED453B7-936F-42EA-8F66-52D2021E30B9}"/>
    <cellStyle name="Lookup Table Number." xfId="25" xr:uid="{C5CF8EF8-8BC6-4D13-9C0B-3C8479CA1158}"/>
    <cellStyle name="Model Name." xfId="3" xr:uid="{38A4E2AB-01ED-4C2F-9036-907F3C689E67}"/>
    <cellStyle name="Multiple." xfId="21" xr:uid="{238D3D72-BC6A-4011-8D0B-675268C2EFB8}"/>
    <cellStyle name="Neutral" xfId="71" builtinId="28" customBuiltin="1"/>
    <cellStyle name="Normal" xfId="0" builtinId="0" customBuiltin="1"/>
    <cellStyle name="Note" xfId="78" builtinId="10" customBuiltin="1"/>
    <cellStyle name="Number." xfId="19" xr:uid="{F7DF5E6A-FA91-456A-8E39-DCBD709FD8A1}"/>
    <cellStyle name="Output" xfId="73" builtinId="21" customBuiltin="1"/>
    <cellStyle name="Percent" xfId="63" builtinId="5" customBuiltin="1"/>
    <cellStyle name="Percentage." xfId="20" xr:uid="{4C12AC9B-DCAE-4FF1-A822-C9A4267156D9}"/>
    <cellStyle name="Period Title." xfId="23" xr:uid="{8FF44FE3-2130-4857-B3EF-CF8287E44B48}"/>
    <cellStyle name="Presentation Currency." xfId="45" xr:uid="{08DC35D3-A3A8-47E3-9024-BCE485678619}"/>
    <cellStyle name="Presentation Date." xfId="47" xr:uid="{6AE33260-76BA-4488-B48C-D2B8C422E61C}"/>
    <cellStyle name="Presentation Heading 1." xfId="37" xr:uid="{1DAA30B5-23BC-438C-8979-40F7A01147D2}"/>
    <cellStyle name="Presentation Heading 2." xfId="38" xr:uid="{B10B7CA7-2992-482C-80AB-D52D0022E5A7}"/>
    <cellStyle name="Presentation Heading 3." xfId="39" xr:uid="{D060811F-1800-4397-A7C8-0E593ABC8B7A}"/>
    <cellStyle name="Presentation Heading 4." xfId="40" xr:uid="{C80A3D68-92F8-4106-B4EB-1636A49B47C9}"/>
    <cellStyle name="Presentation Hyperlink Arrow." xfId="50" xr:uid="{09449AC7-9D75-423E-9E86-6D664314D746}"/>
    <cellStyle name="Presentation Hyperlink Check." xfId="51" xr:uid="{0D2DE2E6-E0AE-45CA-B73A-7BD8E0A4C8CA}"/>
    <cellStyle name="Presentation Hyperlink Text." xfId="49" xr:uid="{7AFAE4B0-4A78-416F-8CC5-4F0DA2DD15A2}"/>
    <cellStyle name="Presentation Model Name." xfId="36" xr:uid="{C1400AA6-8773-4E0A-B528-963A44F3B622}"/>
    <cellStyle name="Presentation Multiple." xfId="44" xr:uid="{6063A1A0-C66D-4468-BE2A-287DF84C5BE7}"/>
    <cellStyle name="Presentation Normal." xfId="56" xr:uid="{32C5D04A-5627-4290-842F-D38B2AC0A26A}"/>
    <cellStyle name="Presentation Number." xfId="42" xr:uid="{99D3CE6D-331D-4560-9CFB-FB69FA770320}"/>
    <cellStyle name="Presentation Percentage." xfId="43" xr:uid="{B075B9FB-0F83-46BA-9363-CE2ADD570BC1}"/>
    <cellStyle name="Presentation Period Title." xfId="48" xr:uid="{4D60B580-3855-4BB8-9D8A-4A214E221E80}"/>
    <cellStyle name="Presentation Section Number." xfId="35" xr:uid="{87E9BDED-0AED-43F9-BD5D-CCC4ACFF7024}"/>
    <cellStyle name="Presentation Sheet Title." xfId="34" xr:uid="{0950D615-FA65-49D5-BC0E-564C8E9353FA}"/>
    <cellStyle name="Presentation Sub Total." xfId="41" xr:uid="{388C336D-518B-4149-AE9E-483CCF18A218}"/>
    <cellStyle name="Presentation TOC 1." xfId="52" xr:uid="{35121599-0879-44DD-A647-F2582E3E129F}"/>
    <cellStyle name="Presentation TOC 2." xfId="53" xr:uid="{F3A8D681-9A22-4695-B37C-05E7087A208E}"/>
    <cellStyle name="Presentation TOC 3." xfId="54" xr:uid="{601C234A-9842-4AA8-B2B2-0446C0020F0D}"/>
    <cellStyle name="Presentation TOC 4." xfId="55" xr:uid="{AF6A412D-5F5F-4624-9BD4-F1A49E390CDD}"/>
    <cellStyle name="Presentation Year." xfId="46" xr:uid="{9BEFB017-9806-49C6-BDB6-722F72ED3464}"/>
    <cellStyle name="Section Number." xfId="2" xr:uid="{E91B8812-3078-4268-9834-D2F286A34A8B}"/>
    <cellStyle name="Sheet Title." xfId="1" xr:uid="{1DC78694-4509-4D76-88B9-374A0A5B1EAA}"/>
    <cellStyle name="Sub Total." xfId="8" xr:uid="{F1DC9A08-8BD6-450D-A3C0-211CDD4FAF58}"/>
    <cellStyle name="Title" xfId="64" builtinId="15" customBuiltin="1"/>
    <cellStyle name="Total" xfId="80" builtinId="25" customBuiltin="1"/>
    <cellStyle name="Warning Text" xfId="77" builtinId="11" customBuiltin="1"/>
    <cellStyle name="Year." xfId="17" xr:uid="{F3E7EE2C-4807-433F-B5FA-6954EC023690}"/>
  </cellStyles>
  <dxfs count="198">
    <dxf>
      <font>
        <b/>
        <i val="0"/>
        <color indexed="58"/>
      </font>
    </dxf>
    <dxf>
      <font>
        <b/>
        <i/>
        <color indexed="58"/>
      </font>
    </dxf>
    <dxf>
      <font>
        <b/>
        <i val="0"/>
        <color indexed="58"/>
      </font>
    </dxf>
    <dxf>
      <font>
        <b/>
        <i/>
        <color indexed="58"/>
      </font>
    </dxf>
    <dxf>
      <font>
        <b/>
        <i val="0"/>
        <color indexed="58"/>
      </font>
    </dxf>
    <dxf>
      <font>
        <b/>
        <i/>
        <color indexed="58"/>
      </font>
    </dxf>
    <dxf>
      <font>
        <b/>
        <i/>
        <color indexed="58"/>
      </font>
    </dxf>
    <dxf>
      <font>
        <b/>
        <i/>
        <color indexed="58"/>
      </font>
    </dxf>
    <dxf>
      <font>
        <b/>
        <i/>
        <color indexed="58"/>
      </font>
    </dxf>
    <dxf>
      <font>
        <b/>
        <i/>
        <color indexed="58"/>
      </font>
    </dxf>
    <dxf>
      <font>
        <b/>
        <i/>
        <color indexed="58"/>
      </font>
    </dxf>
    <dxf>
      <font>
        <b/>
        <i/>
        <color indexed="58"/>
      </font>
    </dxf>
    <dxf>
      <font>
        <b/>
        <i val="0"/>
        <color indexed="58"/>
      </font>
    </dxf>
    <dxf>
      <font>
        <b/>
        <i val="0"/>
        <color indexed="58"/>
      </font>
    </dxf>
    <dxf>
      <font>
        <b/>
        <i val="0"/>
        <color indexed="58"/>
      </font>
    </dxf>
    <dxf>
      <font>
        <b/>
        <i/>
        <color indexed="58"/>
      </font>
    </dxf>
    <dxf>
      <font>
        <b/>
        <i/>
        <color indexed="58"/>
      </font>
    </dxf>
    <dxf>
      <font>
        <b/>
        <i/>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border>
        <left style="thin">
          <color indexed="64"/>
        </left>
        <right style="thin">
          <color indexed="64"/>
        </right>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font>
        <b/>
        <i val="0"/>
      </font>
      <border>
        <left style="thin">
          <color indexed="64"/>
        </left>
        <right style="thin">
          <color indexed="64"/>
        </right>
        <top style="thin">
          <color indexed="64"/>
        </top>
      </border>
    </dxf>
    <dxf>
      <border>
        <left style="thin">
          <color indexed="64"/>
        </left>
        <right style="thin">
          <color indexed="64"/>
        </right>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font>
        <b/>
        <i val="0"/>
      </font>
      <border>
        <left style="thin">
          <color indexed="64"/>
        </left>
        <right style="thin">
          <color indexed="64"/>
        </right>
        <top style="thin">
          <color indexed="64"/>
        </top>
      </border>
    </dxf>
    <dxf>
      <font>
        <color theme="2"/>
      </font>
      <fill>
        <patternFill patternType="none">
          <fgColor indexed="64"/>
          <bgColor indexed="65"/>
        </patternFill>
      </fill>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color theme="2"/>
      </font>
    </dxf>
    <dxf>
      <font>
        <b/>
        <i val="0"/>
      </font>
      <border>
        <left style="thin">
          <color indexed="64"/>
        </left>
        <right style="thin">
          <color indexed="64"/>
        </right>
        <top style="thin">
          <color indexed="64"/>
        </top>
        <bottom style="thin">
          <color indexed="64"/>
        </bottom>
      </border>
    </dxf>
    <dxf>
      <font>
        <color theme="2"/>
      </font>
    </dxf>
    <dxf>
      <font>
        <color theme="2"/>
      </font>
      <fill>
        <patternFill patternType="none">
          <fgColor indexed="64"/>
          <bgColor indexed="65"/>
        </patternFill>
      </fill>
    </dxf>
    <dxf>
      <font>
        <color theme="2"/>
      </font>
      <fill>
        <patternFill patternType="none">
          <fgColor indexed="64"/>
          <bgColor indexed="65"/>
        </patternFill>
      </fill>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color theme="2"/>
      </font>
    </dxf>
    <dxf>
      <font>
        <b/>
        <i val="0"/>
      </font>
      <border>
        <left style="thin">
          <color indexed="64"/>
        </left>
        <right style="thin">
          <color indexed="64"/>
        </right>
        <top style="thin">
          <color indexed="64"/>
        </top>
      </border>
    </dxf>
    <dxf>
      <font>
        <color theme="2"/>
      </font>
    </dxf>
    <dxf>
      <font>
        <b/>
        <i val="0"/>
        <color indexed="58"/>
      </font>
    </dxf>
    <dxf>
      <border>
        <left style="thin">
          <color indexed="64"/>
        </left>
        <right style="thin">
          <color indexed="64"/>
        </right>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font>
        <b/>
        <i val="0"/>
      </font>
      <border>
        <left style="thin">
          <color indexed="64"/>
        </left>
        <right style="thin">
          <color indexed="64"/>
        </right>
        <top style="thin">
          <color indexed="64"/>
        </top>
      </border>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color theme="2"/>
      </font>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color theme="2"/>
      </font>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b/>
        <i val="0"/>
        <color indexed="58"/>
      </font>
    </dxf>
    <dxf>
      <font>
        <b/>
        <i val="0"/>
        <color indexed="58"/>
      </font>
    </dxf>
    <dxf>
      <font>
        <b/>
        <i val="0"/>
        <color indexed="58"/>
      </font>
    </dxf>
    <dxf>
      <font>
        <b/>
        <i val="0"/>
        <color indexed="58"/>
      </font>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font>
        <b/>
        <i val="0"/>
      </font>
      <border>
        <left style="thin">
          <color indexed="64"/>
        </left>
        <right style="thin">
          <color indexed="64"/>
        </right>
        <top style="thin">
          <color indexed="64"/>
        </top>
      </border>
    </dxf>
    <dxf>
      <font>
        <color theme="2"/>
      </font>
      <fill>
        <patternFill patternType="none">
          <fgColor indexed="64"/>
          <bgColor indexed="65"/>
        </patternFill>
      </fill>
    </dxf>
    <dxf>
      <font>
        <color theme="2"/>
      </font>
      <fill>
        <patternFill patternType="none">
          <fgColor indexed="64"/>
          <bgColor indexed="65"/>
        </patternFill>
      </fill>
    </dxf>
    <dxf>
      <font>
        <color theme="2"/>
      </font>
      <fill>
        <patternFill patternType="none">
          <fgColor indexed="64"/>
          <bgColor indexed="65"/>
        </patternFill>
      </fill>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color theme="2"/>
      </font>
      <fill>
        <patternFill patternType="none">
          <fgColor indexed="64"/>
          <bgColor indexed="65"/>
        </patternFill>
      </fill>
    </dxf>
    <dxf>
      <font>
        <b/>
        <i val="0"/>
      </font>
      <border>
        <left style="thin">
          <color indexed="64"/>
        </left>
        <right style="thin">
          <color indexed="64"/>
        </right>
        <top style="thin">
          <color indexed="64"/>
        </top>
        <bottom style="thin">
          <color indexed="64"/>
        </bottom>
      </border>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ill>
        <patternFill patternType="solid">
          <fgColor indexed="64"/>
          <bgColor theme="4" tint="0.59996337778862885"/>
        </patternFill>
      </fill>
    </dxf>
    <dxf>
      <font>
        <b val="0"/>
        <i val="0"/>
        <color theme="2"/>
      </font>
    </dxf>
    <dxf>
      <font>
        <b val="0"/>
        <i val="0"/>
      </font>
      <border>
        <left style="thin">
          <color theme="0"/>
        </left>
        <right style="thin">
          <color theme="0"/>
        </right>
      </border>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color rgb="FF9C0006"/>
      </font>
      <fill>
        <patternFill>
          <bgColor rgb="FFFFC7CE"/>
        </patternFill>
      </fill>
    </dxf>
    <dxf>
      <font>
        <b/>
        <i val="0"/>
        <color indexed="58"/>
      </font>
    </dxf>
    <dxf>
      <font>
        <b/>
        <i val="0"/>
        <color indexed="58"/>
      </font>
    </dxf>
    <dxf>
      <font>
        <b/>
        <i val="0"/>
        <color indexed="5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404040"/>
      <rgbColor rgb="00FFFFFF"/>
      <rgbColor rgb="00FF0000"/>
      <rgbColor rgb="0000FF00"/>
      <rgbColor rgb="000000FF"/>
      <rgbColor rgb="00FFFF00"/>
      <rgbColor rgb="00FF00FF"/>
      <rgbColor rgb="0000FFFF"/>
      <rgbColor rgb="00800000"/>
      <rgbColor rgb="00008000"/>
      <rgbColor rgb="00E6E6E6"/>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44546A"/>
      <rgbColor rgb="00339966"/>
      <rgbColor rgb="00CB2840"/>
      <rgbColor rgb="003F6798"/>
      <rgbColor rgb="00101D36"/>
      <rgbColor rgb="00993366"/>
      <rgbColor rgb="00FFFF78"/>
      <rgbColor rgb="00FF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769394332037611E-2"/>
          <c:y val="0.26129209768188183"/>
          <c:w val="0.91262057432694332"/>
          <c:h val="0.56259350544655262"/>
        </c:manualLayout>
      </c:layout>
      <c:lineChart>
        <c:grouping val="standard"/>
        <c:varyColors val="0"/>
        <c:ser>
          <c:idx val="0"/>
          <c:order val="0"/>
          <c:tx>
            <c:strRef>
              <c:f>Summary!$B$9</c:f>
              <c:strCache>
                <c:ptCount val="1"/>
                <c:pt idx="0">
                  <c:v>Revenue</c:v>
                </c:pt>
              </c:strCache>
            </c:strRef>
          </c:tx>
          <c:spPr>
            <a:ln w="19050" cap="rnd" cmpd="sng" algn="ctr">
              <a:solidFill>
                <a:schemeClr val="accent1">
                  <a:shade val="95000"/>
                  <a:satMod val="105000"/>
                </a:schemeClr>
              </a:solidFill>
              <a:prstDash val="solid"/>
              <a:round/>
            </a:ln>
            <a:effectLst/>
          </c:spPr>
          <c:marker>
            <c:symbol val="diamond"/>
            <c:size val="3"/>
            <c:spPr>
              <a:solidFill>
                <a:schemeClr val="accent1"/>
              </a:solidFill>
              <a:ln w="19050" cap="flat" cmpd="sng" algn="ctr">
                <a:solidFill>
                  <a:schemeClr val="accent1">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Summary!$E$9:$P$9</c:f>
              <c:numCache>
                <c:formatCode>_(#,##0_);\(#,##0\);_("-"_);_)@_)</c:formatCode>
                <c:ptCount val="12"/>
                <c:pt idx="0">
                  <c:v>3371.0619354838709</c:v>
                </c:pt>
                <c:pt idx="1">
                  <c:v>5460.4498733333321</c:v>
                </c:pt>
                <c:pt idx="2">
                  <c:v>5658.2944516129037</c:v>
                </c:pt>
                <c:pt idx="3">
                  <c:v>6738.0976666666666</c:v>
                </c:pt>
                <c:pt idx="4">
                  <c:v>2898.1579913978489</c:v>
                </c:pt>
                <c:pt idx="5">
                  <c:v>5264.5171290322578</c:v>
                </c:pt>
                <c:pt idx="6">
                  <c:v>6074.5498666666672</c:v>
                </c:pt>
                <c:pt idx="7">
                  <c:v>6044.8385397849461</c:v>
                </c:pt>
                <c:pt idx="8">
                  <c:v>4902.4685600000003</c:v>
                </c:pt>
                <c:pt idx="9">
                  <c:v>5694.5062731182788</c:v>
                </c:pt>
                <c:pt idx="10">
                  <c:v>5619.0533333333333</c:v>
                </c:pt>
                <c:pt idx="11">
                  <c:v>5209.1097290322577</c:v>
                </c:pt>
              </c:numCache>
            </c:numRef>
          </c:val>
          <c:smooth val="0"/>
          <c:extLst>
            <c:ext xmlns:c16="http://schemas.microsoft.com/office/drawing/2014/chart" uri="{C3380CC4-5D6E-409C-BE32-E72D297353CC}">
              <c16:uniqueId val="{00000000-86BF-4793-8E46-CFF26811D09B}"/>
            </c:ext>
          </c:extLst>
        </c:ser>
        <c:ser>
          <c:idx val="1"/>
          <c:order val="1"/>
          <c:tx>
            <c:strRef>
              <c:f>Summary!$B$11</c:f>
              <c:strCache>
                <c:ptCount val="1"/>
                <c:pt idx="0">
                  <c:v>Gross Margin</c:v>
                </c:pt>
              </c:strCache>
            </c:strRef>
          </c:tx>
          <c:spPr>
            <a:ln w="19050" cap="rnd" cmpd="sng" algn="ctr">
              <a:solidFill>
                <a:schemeClr val="accent2">
                  <a:shade val="95000"/>
                  <a:satMod val="105000"/>
                </a:schemeClr>
              </a:solidFill>
              <a:prstDash val="solid"/>
              <a:round/>
            </a:ln>
            <a:effectLst/>
          </c:spPr>
          <c:marker>
            <c:symbol val="square"/>
            <c:size val="3"/>
            <c:spPr>
              <a:solidFill>
                <a:schemeClr val="accent2"/>
              </a:solidFill>
              <a:ln w="19050" cap="flat" cmpd="sng" algn="ctr">
                <a:solidFill>
                  <a:schemeClr val="accent2">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Summary!$E$11:$P$11</c:f>
              <c:numCache>
                <c:formatCode>_(#,##0_);\(#,##0\);_("-"_);_)@_)</c:formatCode>
                <c:ptCount val="12"/>
                <c:pt idx="0">
                  <c:v>2516.747068387097</c:v>
                </c:pt>
                <c:pt idx="1">
                  <c:v>4642.1835751066656</c:v>
                </c:pt>
                <c:pt idx="2">
                  <c:v>4802.2949959569896</c:v>
                </c:pt>
                <c:pt idx="3">
                  <c:v>5865.477632666667</c:v>
                </c:pt>
                <c:pt idx="4">
                  <c:v>2111.2537795182789</c:v>
                </c:pt>
                <c:pt idx="5">
                  <c:v>4376.0605558924726</c:v>
                </c:pt>
                <c:pt idx="6">
                  <c:v>5245.7695018666673</c:v>
                </c:pt>
                <c:pt idx="7">
                  <c:v>5214.9708002279567</c:v>
                </c:pt>
                <c:pt idx="8">
                  <c:v>4053.630666826667</c:v>
                </c:pt>
                <c:pt idx="9">
                  <c:v>4799.6165186279568</c:v>
                </c:pt>
                <c:pt idx="10">
                  <c:v>4824.0965866666666</c:v>
                </c:pt>
                <c:pt idx="11">
                  <c:v>4318.0088594924728</c:v>
                </c:pt>
              </c:numCache>
            </c:numRef>
          </c:val>
          <c:smooth val="0"/>
          <c:extLst>
            <c:ext xmlns:c16="http://schemas.microsoft.com/office/drawing/2014/chart" uri="{C3380CC4-5D6E-409C-BE32-E72D297353CC}">
              <c16:uniqueId val="{00000001-86BF-4793-8E46-CFF26811D09B}"/>
            </c:ext>
          </c:extLst>
        </c:ser>
        <c:ser>
          <c:idx val="2"/>
          <c:order val="2"/>
          <c:tx>
            <c:strRef>
              <c:f>Summary!$B$16</c:f>
              <c:strCache>
                <c:ptCount val="1"/>
                <c:pt idx="0">
                  <c:v>EBITDA</c:v>
                </c:pt>
              </c:strCache>
            </c:strRef>
          </c:tx>
          <c:spPr>
            <a:ln w="19050" cap="rnd" cmpd="sng" algn="ctr">
              <a:solidFill>
                <a:schemeClr val="accent3">
                  <a:shade val="95000"/>
                  <a:satMod val="105000"/>
                </a:schemeClr>
              </a:solidFill>
              <a:prstDash val="solid"/>
              <a:round/>
            </a:ln>
            <a:effectLst/>
          </c:spPr>
          <c:marker>
            <c:symbol val="triangle"/>
            <c:size val="3"/>
            <c:spPr>
              <a:solidFill>
                <a:schemeClr val="accent3"/>
              </a:solidFill>
              <a:ln w="19050" cap="flat" cmpd="sng" algn="ctr">
                <a:solidFill>
                  <a:schemeClr val="accent3">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Summary!$E$16:$P$16</c:f>
              <c:numCache>
                <c:formatCode>_(#,##0_);\(#,##0\);_("-"_);_)@_)</c:formatCode>
                <c:ptCount val="12"/>
                <c:pt idx="0">
                  <c:v>-4159.4996275268823</c:v>
                </c:pt>
                <c:pt idx="1">
                  <c:v>-2082.529655440002</c:v>
                </c:pt>
                <c:pt idx="2">
                  <c:v>-1929.2708153118283</c:v>
                </c:pt>
                <c:pt idx="3">
                  <c:v>-892.34384933333331</c:v>
                </c:pt>
                <c:pt idx="4">
                  <c:v>-4564.5890296258076</c:v>
                </c:pt>
                <c:pt idx="5">
                  <c:v>-2354.3421542795713</c:v>
                </c:pt>
                <c:pt idx="6">
                  <c:v>-2620.0539285333334</c:v>
                </c:pt>
                <c:pt idx="7">
                  <c:v>-2652.6989809806464</c:v>
                </c:pt>
                <c:pt idx="8">
                  <c:v>-3844.5069748266669</c:v>
                </c:pt>
                <c:pt idx="9">
                  <c:v>-3171.5459527139792</c:v>
                </c:pt>
                <c:pt idx="10">
                  <c:v>-2988.6059200000009</c:v>
                </c:pt>
                <c:pt idx="11">
                  <c:v>-3647.4748878795708</c:v>
                </c:pt>
              </c:numCache>
            </c:numRef>
          </c:val>
          <c:smooth val="0"/>
          <c:extLst>
            <c:ext xmlns:c16="http://schemas.microsoft.com/office/drawing/2014/chart" uri="{C3380CC4-5D6E-409C-BE32-E72D297353CC}">
              <c16:uniqueId val="{00000002-86BF-4793-8E46-CFF26811D09B}"/>
            </c:ext>
          </c:extLst>
        </c:ser>
        <c:ser>
          <c:idx val="3"/>
          <c:order val="3"/>
          <c:tx>
            <c:strRef>
              <c:f>Summary!$B$19</c:f>
              <c:strCache>
                <c:ptCount val="1"/>
                <c:pt idx="0">
                  <c:v>EBIT</c:v>
                </c:pt>
              </c:strCache>
            </c:strRef>
          </c:tx>
          <c:spPr>
            <a:ln w="19050" cap="rnd" cmpd="sng" algn="ctr">
              <a:solidFill>
                <a:schemeClr val="accent4">
                  <a:shade val="95000"/>
                  <a:satMod val="105000"/>
                </a:schemeClr>
              </a:solidFill>
              <a:prstDash val="solid"/>
              <a:round/>
            </a:ln>
            <a:effectLst/>
          </c:spPr>
          <c:marker>
            <c:symbol val="x"/>
            <c:size val="3"/>
            <c:spPr>
              <a:noFill/>
              <a:ln w="19050" cap="flat" cmpd="sng" algn="ctr">
                <a:solidFill>
                  <a:schemeClr val="accent4">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Summary!$E$19:$P$19</c:f>
              <c:numCache>
                <c:formatCode>_(#,##0_);\(#,##0\);_("-"_);_)@_)</c:formatCode>
                <c:ptCount val="12"/>
                <c:pt idx="0">
                  <c:v>-7112.4718497491049</c:v>
                </c:pt>
                <c:pt idx="1">
                  <c:v>-7882.7240998844463</c:v>
                </c:pt>
                <c:pt idx="2">
                  <c:v>-7729.4652597562726</c:v>
                </c:pt>
                <c:pt idx="3">
                  <c:v>-6692.5382937777777</c:v>
                </c:pt>
                <c:pt idx="4">
                  <c:v>-10364.783474070253</c:v>
                </c:pt>
                <c:pt idx="5">
                  <c:v>-8154.5365987240157</c:v>
                </c:pt>
                <c:pt idx="6">
                  <c:v>-8420.2483729777778</c:v>
                </c:pt>
                <c:pt idx="7">
                  <c:v>-8452.8934254250908</c:v>
                </c:pt>
                <c:pt idx="8">
                  <c:v>-9644.7014192711104</c:v>
                </c:pt>
                <c:pt idx="9">
                  <c:v>-8971.7403971584245</c:v>
                </c:pt>
                <c:pt idx="10">
                  <c:v>-8788.8003644444452</c:v>
                </c:pt>
                <c:pt idx="11">
                  <c:v>-9447.6693323240142</c:v>
                </c:pt>
              </c:numCache>
            </c:numRef>
          </c:val>
          <c:smooth val="0"/>
          <c:extLst>
            <c:ext xmlns:c16="http://schemas.microsoft.com/office/drawing/2014/chart" uri="{C3380CC4-5D6E-409C-BE32-E72D297353CC}">
              <c16:uniqueId val="{00000003-86BF-4793-8E46-CFF26811D09B}"/>
            </c:ext>
          </c:extLst>
        </c:ser>
        <c:ser>
          <c:idx val="5"/>
          <c:order val="4"/>
          <c:tx>
            <c:strRef>
              <c:f>Summary!$B$22</c:f>
              <c:strCache>
                <c:ptCount val="1"/>
                <c:pt idx="0">
                  <c:v>Net Profit Before Tax</c:v>
                </c:pt>
              </c:strCache>
            </c:strRef>
          </c:tx>
          <c:spPr>
            <a:ln w="19050" cap="rnd" cmpd="sng" algn="ctr">
              <a:solidFill>
                <a:schemeClr val="accent6">
                  <a:shade val="95000"/>
                  <a:satMod val="105000"/>
                </a:schemeClr>
              </a:solidFill>
              <a:prstDash val="solid"/>
              <a:round/>
            </a:ln>
            <a:effectLst/>
          </c:spPr>
          <c:marker>
            <c:symbol val="circle"/>
            <c:size val="3"/>
            <c:spPr>
              <a:solidFill>
                <a:schemeClr val="accent6"/>
              </a:solidFill>
              <a:ln w="19050" cap="flat" cmpd="sng" algn="ctr">
                <a:solidFill>
                  <a:schemeClr val="accent6">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Summary!$E$22:$P$22</c:f>
              <c:numCache>
                <c:formatCode>_(#,##0_);\(#,##0\);_("-"_);_)@_)</c:formatCode>
                <c:ptCount val="12"/>
                <c:pt idx="0">
                  <c:v>-7112.4718497491049</c:v>
                </c:pt>
                <c:pt idx="1">
                  <c:v>-7882.7240998844463</c:v>
                </c:pt>
                <c:pt idx="2">
                  <c:v>-7729.4652597562726</c:v>
                </c:pt>
                <c:pt idx="3">
                  <c:v>-6692.5382937777777</c:v>
                </c:pt>
                <c:pt idx="4">
                  <c:v>-10364.783474070253</c:v>
                </c:pt>
                <c:pt idx="5">
                  <c:v>-8154.5365987240157</c:v>
                </c:pt>
                <c:pt idx="6">
                  <c:v>-8420.2483729777778</c:v>
                </c:pt>
                <c:pt idx="7">
                  <c:v>-8452.8934254250908</c:v>
                </c:pt>
                <c:pt idx="8">
                  <c:v>-9644.7014192711104</c:v>
                </c:pt>
                <c:pt idx="9">
                  <c:v>-8971.7403971584245</c:v>
                </c:pt>
                <c:pt idx="10">
                  <c:v>-8788.8003644444452</c:v>
                </c:pt>
                <c:pt idx="11">
                  <c:v>-9447.6693323240142</c:v>
                </c:pt>
              </c:numCache>
            </c:numRef>
          </c:val>
          <c:smooth val="0"/>
          <c:extLst>
            <c:ext xmlns:c16="http://schemas.microsoft.com/office/drawing/2014/chart" uri="{C3380CC4-5D6E-409C-BE32-E72D297353CC}">
              <c16:uniqueId val="{00000004-86BF-4793-8E46-CFF26811D09B}"/>
            </c:ext>
          </c:extLst>
        </c:ser>
        <c:ser>
          <c:idx val="4"/>
          <c:order val="5"/>
          <c:tx>
            <c:strRef>
              <c:f>Summary!$B$25</c:f>
              <c:strCache>
                <c:ptCount val="1"/>
                <c:pt idx="0">
                  <c:v>Net Profit After Tax</c:v>
                </c:pt>
              </c:strCache>
            </c:strRef>
          </c:tx>
          <c:spPr>
            <a:ln w="19050" cap="rnd" cmpd="sng" algn="ctr">
              <a:solidFill>
                <a:schemeClr val="accent5">
                  <a:shade val="95000"/>
                  <a:satMod val="105000"/>
                </a:schemeClr>
              </a:solidFill>
              <a:prstDash val="solid"/>
              <a:round/>
            </a:ln>
            <a:effectLst/>
          </c:spPr>
          <c:marker>
            <c:symbol val="star"/>
            <c:size val="3"/>
            <c:spPr>
              <a:noFill/>
              <a:ln w="19050" cap="flat" cmpd="sng" algn="ctr">
                <a:solidFill>
                  <a:schemeClr val="accent5">
                    <a:shade val="95000"/>
                    <a:satMod val="105000"/>
                  </a:schemeClr>
                </a:solidFill>
                <a:prstDash val="solid"/>
                <a:round/>
              </a:ln>
              <a:effectLst/>
            </c:spPr>
          </c:marker>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Summary!$E$25:$P$25</c:f>
              <c:numCache>
                <c:formatCode>_(#,##0_);\(#,##0\);_("-"_);_)@_)</c:formatCode>
                <c:ptCount val="12"/>
                <c:pt idx="0">
                  <c:v>-7112.4718497491049</c:v>
                </c:pt>
                <c:pt idx="1">
                  <c:v>-7882.7240998844463</c:v>
                </c:pt>
                <c:pt idx="2">
                  <c:v>-7729.4652597562726</c:v>
                </c:pt>
                <c:pt idx="3">
                  <c:v>-6692.5382937777777</c:v>
                </c:pt>
                <c:pt idx="4">
                  <c:v>-10364.783474070253</c:v>
                </c:pt>
                <c:pt idx="5">
                  <c:v>-8154.5365987240157</c:v>
                </c:pt>
                <c:pt idx="6">
                  <c:v>-8420.2483729777778</c:v>
                </c:pt>
                <c:pt idx="7">
                  <c:v>-8452.8934254250908</c:v>
                </c:pt>
                <c:pt idx="8">
                  <c:v>-9644.7014192711104</c:v>
                </c:pt>
                <c:pt idx="9">
                  <c:v>-8971.7403971584245</c:v>
                </c:pt>
                <c:pt idx="10">
                  <c:v>-8788.8003644444452</c:v>
                </c:pt>
                <c:pt idx="11">
                  <c:v>-9447.6693323240142</c:v>
                </c:pt>
              </c:numCache>
            </c:numRef>
          </c:val>
          <c:smooth val="0"/>
          <c:extLst>
            <c:ext xmlns:c16="http://schemas.microsoft.com/office/drawing/2014/chart" uri="{C3380CC4-5D6E-409C-BE32-E72D297353CC}">
              <c16:uniqueId val="{00000005-86BF-4793-8E46-CFF26811D09B}"/>
            </c:ext>
          </c:extLst>
        </c:ser>
        <c:dLbls>
          <c:showLegendKey val="0"/>
          <c:showVal val="0"/>
          <c:showCatName val="0"/>
          <c:showSerName val="0"/>
          <c:showPercent val="0"/>
          <c:showBubbleSize val="0"/>
        </c:dLbls>
        <c:marker val="1"/>
        <c:smooth val="0"/>
        <c:axId val="464859904"/>
        <c:axId val="465464704"/>
      </c:lineChart>
      <c:catAx>
        <c:axId val="464859904"/>
        <c:scaling>
          <c:orientation val="minMax"/>
        </c:scaling>
        <c:delete val="0"/>
        <c:axPos val="b"/>
        <c:majorGridlines>
          <c:spPr>
            <a:ln w="9525" cap="flat" cmpd="sng" algn="ctr">
              <a:solidFill>
                <a:schemeClr val="bg1">
                  <a:lumMod val="95000"/>
                </a:schemeClr>
              </a:solidFill>
              <a:prstDash val="solid"/>
              <a:round/>
            </a:ln>
            <a:effectLst/>
          </c:spPr>
        </c:majorGridlines>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5464704"/>
        <c:crosses val="autoZero"/>
        <c:auto val="1"/>
        <c:lblAlgn val="ctr"/>
        <c:lblOffset val="100"/>
        <c:noMultiLvlLbl val="0"/>
      </c:catAx>
      <c:valAx>
        <c:axId val="465464704"/>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high"/>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4859904"/>
        <c:crosses val="autoZero"/>
        <c:crossBetween val="midCat"/>
      </c:valAx>
      <c:spPr>
        <a:noFill/>
        <a:ln>
          <a:noFill/>
        </a:ln>
        <a:effectLst/>
      </c:spPr>
    </c:plotArea>
    <c:legend>
      <c:legendPos val="t"/>
      <c:layout>
        <c:manualLayout>
          <c:xMode val="edge"/>
          <c:yMode val="edge"/>
          <c:x val="8.4388185654008435E-2"/>
          <c:y val="5.9801559593007571E-2"/>
          <c:w val="0.82559774964838262"/>
          <c:h val="0.1782054661284082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82438298754892E-2"/>
          <c:y val="8.6100064060706374E-2"/>
          <c:w val="0.60617935019702929"/>
          <c:h val="0.83316802504950049"/>
        </c:manualLayout>
      </c:layout>
      <c:barChart>
        <c:barDir val="col"/>
        <c:grouping val="clustered"/>
        <c:varyColors val="0"/>
        <c:ser>
          <c:idx val="0"/>
          <c:order val="0"/>
          <c:tx>
            <c:strRef>
              <c:f>Summary!$S$19</c:f>
              <c:strCache>
                <c:ptCount val="1"/>
                <c:pt idx="0">
                  <c:v>Rent</c:v>
                </c:pt>
              </c:strCache>
            </c:strRef>
          </c:tx>
          <c:spPr>
            <a:solidFill>
              <a:schemeClr val="accent1"/>
            </a:solidFill>
            <a:ln>
              <a:noFill/>
            </a:ln>
            <a:effectLst/>
          </c:spPr>
          <c:invertIfNegative val="0"/>
          <c:val>
            <c:numRef>
              <c:f>Summary!$AH$19</c:f>
              <c:numCache>
                <c:formatCode>_(#,##0_);\(#,##0\);_("-"_);_)@_)</c:formatCode>
                <c:ptCount val="1"/>
                <c:pt idx="0">
                  <c:v>70000.000000000015</c:v>
                </c:pt>
              </c:numCache>
            </c:numRef>
          </c:val>
          <c:extLst>
            <c:ext xmlns:c16="http://schemas.microsoft.com/office/drawing/2014/chart" uri="{C3380CC4-5D6E-409C-BE32-E72D297353CC}">
              <c16:uniqueId val="{00000000-AD87-4B67-88DB-0F99A6F85D95}"/>
            </c:ext>
          </c:extLst>
        </c:ser>
        <c:ser>
          <c:idx val="1"/>
          <c:order val="1"/>
          <c:tx>
            <c:strRef>
              <c:f>Summary!$S$20</c:f>
              <c:strCache>
                <c:ptCount val="1"/>
                <c:pt idx="0">
                  <c:v>Staff Cost</c:v>
                </c:pt>
              </c:strCache>
            </c:strRef>
          </c:tx>
          <c:spPr>
            <a:solidFill>
              <a:schemeClr val="accent2"/>
            </a:solidFill>
            <a:ln>
              <a:noFill/>
            </a:ln>
            <a:effectLst/>
          </c:spPr>
          <c:invertIfNegative val="0"/>
          <c:val>
            <c:numRef>
              <c:f>Summary!$AH$20</c:f>
              <c:numCache>
                <c:formatCode>_(#,##0_);\(#,##0\);_("-"_);_)@_)</c:formatCode>
                <c:ptCount val="1"/>
                <c:pt idx="0">
                  <c:v>6903.0000000000009</c:v>
                </c:pt>
              </c:numCache>
            </c:numRef>
          </c:val>
          <c:extLst>
            <c:ext xmlns:c16="http://schemas.microsoft.com/office/drawing/2014/chart" uri="{C3380CC4-5D6E-409C-BE32-E72D297353CC}">
              <c16:uniqueId val="{00000001-AD87-4B67-88DB-0F99A6F85D95}"/>
            </c:ext>
          </c:extLst>
        </c:ser>
        <c:ser>
          <c:idx val="2"/>
          <c:order val="2"/>
          <c:tx>
            <c:strRef>
              <c:f>Summary!$S$21</c:f>
              <c:strCache>
                <c:ptCount val="1"/>
                <c:pt idx="0">
                  <c:v>Rates</c:v>
                </c:pt>
              </c:strCache>
            </c:strRef>
          </c:tx>
          <c:spPr>
            <a:solidFill>
              <a:schemeClr val="accent3"/>
            </a:solidFill>
            <a:ln>
              <a:noFill/>
            </a:ln>
            <a:effectLst/>
          </c:spPr>
          <c:invertIfNegative val="0"/>
          <c:val>
            <c:numRef>
              <c:f>Summary!$AH$21</c:f>
              <c:numCache>
                <c:formatCode>_(#,##0_);\(#,##0\);_("-"_);_)@_)</c:formatCode>
                <c:ptCount val="1"/>
                <c:pt idx="0">
                  <c:v>2725.0000000000014</c:v>
                </c:pt>
              </c:numCache>
            </c:numRef>
          </c:val>
          <c:extLst>
            <c:ext xmlns:c16="http://schemas.microsoft.com/office/drawing/2014/chart" uri="{C3380CC4-5D6E-409C-BE32-E72D297353CC}">
              <c16:uniqueId val="{00000002-AD87-4B67-88DB-0F99A6F85D95}"/>
            </c:ext>
          </c:extLst>
        </c:ser>
        <c:ser>
          <c:idx val="3"/>
          <c:order val="3"/>
          <c:tx>
            <c:strRef>
              <c:f>Summary!$S$22</c:f>
              <c:strCache>
                <c:ptCount val="1"/>
                <c:pt idx="0">
                  <c:v>Cleaning &amp; Other</c:v>
                </c:pt>
              </c:strCache>
            </c:strRef>
          </c:tx>
          <c:spPr>
            <a:solidFill>
              <a:schemeClr val="accent4"/>
            </a:solidFill>
            <a:ln>
              <a:noFill/>
            </a:ln>
            <a:effectLst/>
          </c:spPr>
          <c:invertIfNegative val="0"/>
          <c:val>
            <c:numRef>
              <c:f>Summary!$AH$22</c:f>
              <c:numCache>
                <c:formatCode>_(#,##0_);\(#,##0\);_("-"_);_)@_)</c:formatCode>
                <c:ptCount val="1"/>
                <c:pt idx="0">
                  <c:v>2400</c:v>
                </c:pt>
              </c:numCache>
            </c:numRef>
          </c:val>
          <c:extLst>
            <c:ext xmlns:c16="http://schemas.microsoft.com/office/drawing/2014/chart" uri="{C3380CC4-5D6E-409C-BE32-E72D297353CC}">
              <c16:uniqueId val="{00000003-AD87-4B67-88DB-0F99A6F85D95}"/>
            </c:ext>
          </c:extLst>
        </c:ser>
        <c:ser>
          <c:idx val="4"/>
          <c:order val="4"/>
          <c:tx>
            <c:strRef>
              <c:f>Summary!$S$23</c:f>
              <c:strCache>
                <c:ptCount val="1"/>
                <c:pt idx="0">
                  <c:v>Other</c:v>
                </c:pt>
              </c:strCache>
            </c:strRef>
          </c:tx>
          <c:spPr>
            <a:solidFill>
              <a:schemeClr val="accent5"/>
            </a:solidFill>
            <a:ln>
              <a:noFill/>
            </a:ln>
            <a:effectLst/>
          </c:spPr>
          <c:invertIfNegative val="0"/>
          <c:val>
            <c:numRef>
              <c:f>Summary!$AH$23</c:f>
              <c:numCache>
                <c:formatCode>_(#,##0_);\(#,##0\);_("-"_);_)@_)</c:formatCode>
                <c:ptCount val="1"/>
                <c:pt idx="0">
                  <c:v>5649.5723176881711</c:v>
                </c:pt>
              </c:numCache>
            </c:numRef>
          </c:val>
          <c:extLst>
            <c:ext xmlns:c16="http://schemas.microsoft.com/office/drawing/2014/chart" uri="{C3380CC4-5D6E-409C-BE32-E72D297353CC}">
              <c16:uniqueId val="{00000004-AD87-4B67-88DB-0F99A6F85D95}"/>
            </c:ext>
          </c:extLst>
        </c:ser>
        <c:dLbls>
          <c:showLegendKey val="0"/>
          <c:showVal val="0"/>
          <c:showCatName val="0"/>
          <c:showSerName val="0"/>
          <c:showPercent val="0"/>
          <c:showBubbleSize val="0"/>
        </c:dLbls>
        <c:gapWidth val="150"/>
        <c:overlap val="-100"/>
        <c:axId val="467268352"/>
        <c:axId val="467269888"/>
      </c:barChart>
      <c:catAx>
        <c:axId val="467268352"/>
        <c:scaling>
          <c:orientation val="minMax"/>
        </c:scaling>
        <c:delete val="1"/>
        <c:axPos val="b"/>
        <c:majorTickMark val="out"/>
        <c:minorTickMark val="none"/>
        <c:tickLblPos val="none"/>
        <c:crossAx val="467269888"/>
        <c:crosses val="autoZero"/>
        <c:auto val="1"/>
        <c:lblAlgn val="ctr"/>
        <c:lblOffset val="100"/>
        <c:noMultiLvlLbl val="0"/>
      </c:catAx>
      <c:valAx>
        <c:axId val="467269888"/>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7268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Net Cashflow (3mth moving average)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KPIs!$D$68:$F$68</c:f>
              <c:strCache>
                <c:ptCount val="3"/>
                <c:pt idx="0">
                  <c:v>3 Mth Cashflow</c:v>
                </c:pt>
              </c:strCache>
            </c:strRef>
          </c:tx>
          <c:spPr>
            <a:solidFill>
              <a:schemeClr val="accent1"/>
            </a:solidFill>
            <a:ln>
              <a:noFill/>
            </a:ln>
            <a:effectLst/>
          </c:spPr>
          <c:invertIfNegative val="0"/>
          <c:cat>
            <c:numRef>
              <c:f>KPIs!$L$63:$AP$63</c:f>
              <c:numCache>
                <c:formatCode>General</c:formatCode>
                <c:ptCount val="31"/>
                <c:pt idx="0">
                  <c:v>6</c:v>
                </c:pt>
                <c:pt idx="1">
                  <c:v>7</c:v>
                </c:pt>
                <c:pt idx="2">
                  <c:v>8</c:v>
                </c:pt>
                <c:pt idx="3">
                  <c:v>9</c:v>
                </c:pt>
                <c:pt idx="4">
                  <c:v>10</c:v>
                </c:pt>
                <c:pt idx="5">
                  <c:v>11</c:v>
                </c:pt>
                <c:pt idx="6">
                  <c:v>12</c:v>
                </c:pt>
                <c:pt idx="7">
                  <c:v>13</c:v>
                </c:pt>
                <c:pt idx="8">
                  <c:v>14</c:v>
                </c:pt>
                <c:pt idx="9">
                  <c:v>15</c:v>
                </c:pt>
                <c:pt idx="10">
                  <c:v>16</c:v>
                </c:pt>
                <c:pt idx="11">
                  <c:v>17</c:v>
                </c:pt>
                <c:pt idx="12">
                  <c:v>18</c:v>
                </c:pt>
                <c:pt idx="13">
                  <c:v>19</c:v>
                </c:pt>
                <c:pt idx="14">
                  <c:v>20</c:v>
                </c:pt>
                <c:pt idx="15">
                  <c:v>21</c:v>
                </c:pt>
                <c:pt idx="16">
                  <c:v>22</c:v>
                </c:pt>
                <c:pt idx="17">
                  <c:v>23</c:v>
                </c:pt>
                <c:pt idx="18">
                  <c:v>24</c:v>
                </c:pt>
                <c:pt idx="19">
                  <c:v>25</c:v>
                </c:pt>
                <c:pt idx="20">
                  <c:v>26</c:v>
                </c:pt>
                <c:pt idx="21">
                  <c:v>27</c:v>
                </c:pt>
                <c:pt idx="22">
                  <c:v>28</c:v>
                </c:pt>
                <c:pt idx="23">
                  <c:v>29</c:v>
                </c:pt>
                <c:pt idx="24">
                  <c:v>30</c:v>
                </c:pt>
                <c:pt idx="25">
                  <c:v>31</c:v>
                </c:pt>
                <c:pt idx="26">
                  <c:v>32</c:v>
                </c:pt>
                <c:pt idx="27">
                  <c:v>33</c:v>
                </c:pt>
                <c:pt idx="28">
                  <c:v>34</c:v>
                </c:pt>
                <c:pt idx="29">
                  <c:v>35</c:v>
                </c:pt>
                <c:pt idx="30">
                  <c:v>36</c:v>
                </c:pt>
              </c:numCache>
            </c:numRef>
          </c:cat>
          <c:val>
            <c:numRef>
              <c:f>KPIs!$L$68:$AP$68</c:f>
              <c:numCache>
                <c:formatCode>_-* #,##0_-;\-* #,##0_-;_-* "-"??_-;_-@_-</c:formatCode>
                <c:ptCount val="31"/>
                <c:pt idx="0">
                  <c:v>-7774.0824130193578</c:v>
                </c:pt>
                <c:pt idx="1">
                  <c:v>-9404.6877206090321</c:v>
                </c:pt>
                <c:pt idx="2">
                  <c:v>-7916.328227667098</c:v>
                </c:pt>
                <c:pt idx="3">
                  <c:v>-9290.4442899917449</c:v>
                </c:pt>
                <c:pt idx="4">
                  <c:v>-10349.927799780133</c:v>
                </c:pt>
                <c:pt idx="5">
                  <c:v>-10147.457606471744</c:v>
                </c:pt>
                <c:pt idx="6">
                  <c:v>-9794.4585623824532</c:v>
                </c:pt>
                <c:pt idx="7">
                  <c:v>-10896.60770204955</c:v>
                </c:pt>
                <c:pt idx="8">
                  <c:v>-8892.6545377040038</c:v>
                </c:pt>
                <c:pt idx="9">
                  <c:v>-5946.6464839509754</c:v>
                </c:pt>
                <c:pt idx="10">
                  <c:v>-1248.3033139574281</c:v>
                </c:pt>
                <c:pt idx="11">
                  <c:v>-5336.5710988862047</c:v>
                </c:pt>
                <c:pt idx="12">
                  <c:v>-6275.9451543122668</c:v>
                </c:pt>
                <c:pt idx="13">
                  <c:v>-6951.9272177251678</c:v>
                </c:pt>
                <c:pt idx="14">
                  <c:v>-3169.5473420167709</c:v>
                </c:pt>
                <c:pt idx="15">
                  <c:v>-4163.8904399458015</c:v>
                </c:pt>
                <c:pt idx="16">
                  <c:v>-5432.4471563002098</c:v>
                </c:pt>
                <c:pt idx="17">
                  <c:v>-5760.8485205883808</c:v>
                </c:pt>
                <c:pt idx="18">
                  <c:v>-5382.8207493006448</c:v>
                </c:pt>
                <c:pt idx="19">
                  <c:v>-6800.751930236559</c:v>
                </c:pt>
                <c:pt idx="20">
                  <c:v>-4008.9098936593564</c:v>
                </c:pt>
                <c:pt idx="21">
                  <c:v>-340.43516104773516</c:v>
                </c:pt>
                <c:pt idx="22">
                  <c:v>4665.5441410425847</c:v>
                </c:pt>
                <c:pt idx="23">
                  <c:v>-539.72309135742034</c:v>
                </c:pt>
                <c:pt idx="24">
                  <c:v>-2085.8637090529064</c:v>
                </c:pt>
                <c:pt idx="25">
                  <c:v>-2872.2959650529056</c:v>
                </c:pt>
                <c:pt idx="26">
                  <c:v>1203.8742371664521</c:v>
                </c:pt>
                <c:pt idx="27">
                  <c:v>-219.16818063277242</c:v>
                </c:pt>
                <c:pt idx="28">
                  <c:v>-1941.8120448934169</c:v>
                </c:pt>
                <c:pt idx="29">
                  <c:v>-2279.4872451359988</c:v>
                </c:pt>
                <c:pt idx="30">
                  <c:v>-1823.1302791865819</c:v>
                </c:pt>
              </c:numCache>
            </c:numRef>
          </c:val>
          <c:extLst xmlns:c15="http://schemas.microsoft.com/office/drawing/2012/chart">
            <c:ext xmlns:c16="http://schemas.microsoft.com/office/drawing/2014/chart" uri="{C3380CC4-5D6E-409C-BE32-E72D297353CC}">
              <c16:uniqueId val="{00000000-2A1C-4B7D-AC98-F4EEFC022C33}"/>
            </c:ext>
          </c:extLst>
        </c:ser>
        <c:dLbls>
          <c:showLegendKey val="0"/>
          <c:showVal val="0"/>
          <c:showCatName val="0"/>
          <c:showSerName val="0"/>
          <c:showPercent val="0"/>
          <c:showBubbleSize val="0"/>
        </c:dLbls>
        <c:gapWidth val="50"/>
        <c:axId val="1218898792"/>
        <c:axId val="1218896168"/>
        <c:extLst/>
      </c:barChart>
      <c:catAx>
        <c:axId val="1218898792"/>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6168"/>
        <c:crosses val="autoZero"/>
        <c:auto val="1"/>
        <c:lblAlgn val="ctr"/>
        <c:lblOffset val="100"/>
        <c:noMultiLvlLbl val="0"/>
      </c:catAx>
      <c:valAx>
        <c:axId val="12188961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879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KPIs!$D$65:$F$65</c:f>
              <c:strCache>
                <c:ptCount val="3"/>
                <c:pt idx="0">
                  <c:v>EBITDA</c:v>
                </c:pt>
              </c:strCache>
            </c:strRef>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numRef>
              <c:f>KPIs!$G$63:$AP$63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KPIs!$G$65:$AP$65</c:f>
              <c:numCache>
                <c:formatCode>_-* #,##0_-;\-* #,##0_-;_-* "-"??_-;_-@_-</c:formatCode>
                <c:ptCount val="36"/>
                <c:pt idx="0">
                  <c:v>-4159.4996275268823</c:v>
                </c:pt>
                <c:pt idx="1">
                  <c:v>-2082.529655440002</c:v>
                </c:pt>
                <c:pt idx="2">
                  <c:v>-1929.2708153118283</c:v>
                </c:pt>
                <c:pt idx="3">
                  <c:v>-892.34384933333331</c:v>
                </c:pt>
                <c:pt idx="4">
                  <c:v>-4564.5890296258076</c:v>
                </c:pt>
                <c:pt idx="5">
                  <c:v>-2354.3421542795713</c:v>
                </c:pt>
                <c:pt idx="6">
                  <c:v>-2620.0539285333334</c:v>
                </c:pt>
                <c:pt idx="7">
                  <c:v>-2652.6989809806464</c:v>
                </c:pt>
                <c:pt idx="8">
                  <c:v>-3844.5069748266669</c:v>
                </c:pt>
                <c:pt idx="9">
                  <c:v>-3171.5459527139792</c:v>
                </c:pt>
                <c:pt idx="10">
                  <c:v>-2988.6059200000009</c:v>
                </c:pt>
                <c:pt idx="11">
                  <c:v>-3647.4748878795708</c:v>
                </c:pt>
                <c:pt idx="12">
                  <c:v>-4118.3165446881721</c:v>
                </c:pt>
                <c:pt idx="13">
                  <c:v>-1115.6185543200008</c:v>
                </c:pt>
                <c:pt idx="14">
                  <c:v>-811.14888034408796</c:v>
                </c:pt>
                <c:pt idx="15">
                  <c:v>96.589796666665279</c:v>
                </c:pt>
                <c:pt idx="16">
                  <c:v>-4600.74635571613</c:v>
                </c:pt>
                <c:pt idx="17">
                  <c:v>-1778.147464318281</c:v>
                </c:pt>
                <c:pt idx="18">
                  <c:v>-922.4245653333337</c:v>
                </c:pt>
                <c:pt idx="19">
                  <c:v>-911.67270454193658</c:v>
                </c:pt>
                <c:pt idx="20">
                  <c:v>-2502.871282666667</c:v>
                </c:pt>
                <c:pt idx="21">
                  <c:v>-1775.5244023913983</c:v>
                </c:pt>
                <c:pt idx="22">
                  <c:v>-1312.7033808000006</c:v>
                </c:pt>
                <c:pt idx="23">
                  <c:v>-2317.3299770150552</c:v>
                </c:pt>
                <c:pt idx="24">
                  <c:v>-2921.3145472688175</c:v>
                </c:pt>
                <c:pt idx="25">
                  <c:v>1242.2364776000013</c:v>
                </c:pt>
                <c:pt idx="26">
                  <c:v>1353.4523341075273</c:v>
                </c:pt>
                <c:pt idx="27">
                  <c:v>1594.7166666666653</c:v>
                </c:pt>
                <c:pt idx="28">
                  <c:v>-3467.5347416258082</c:v>
                </c:pt>
                <c:pt idx="29">
                  <c:v>-295.23468271827915</c:v>
                </c:pt>
                <c:pt idx="30">
                  <c:v>418.64762666666593</c:v>
                </c:pt>
                <c:pt idx="31">
                  <c:v>791.93374198709807</c:v>
                </c:pt>
                <c:pt idx="32">
                  <c:v>-1447.275590506666</c:v>
                </c:pt>
                <c:pt idx="33">
                  <c:v>-762.31341743655958</c:v>
                </c:pt>
                <c:pt idx="34">
                  <c:v>180.10238080000181</c:v>
                </c:pt>
                <c:pt idx="35">
                  <c:v>-1268.4450661505389</c:v>
                </c:pt>
              </c:numCache>
            </c:numRef>
          </c:val>
          <c:extLst>
            <c:ext xmlns:c16="http://schemas.microsoft.com/office/drawing/2014/chart" uri="{C3380CC4-5D6E-409C-BE32-E72D297353CC}">
              <c16:uniqueId val="{00000000-2A1C-4B7D-AC98-F4EEFC022C33}"/>
            </c:ext>
          </c:extLst>
        </c:ser>
        <c:dLbls>
          <c:showLegendKey val="0"/>
          <c:showVal val="0"/>
          <c:showCatName val="0"/>
          <c:showSerName val="0"/>
          <c:showPercent val="0"/>
          <c:showBubbleSize val="0"/>
        </c:dLbls>
        <c:gapWidth val="50"/>
        <c:overlap val="-27"/>
        <c:axId val="1218898792"/>
        <c:axId val="1218896168"/>
        <c:extLst>
          <c:ext xmlns:c15="http://schemas.microsoft.com/office/drawing/2012/chart" uri="{02D57815-91ED-43cb-92C2-25804820EDAC}">
            <c15:filteredBarSeries>
              <c15:ser>
                <c:idx val="1"/>
                <c:order val="1"/>
                <c:tx>
                  <c:strRef>
                    <c:extLst>
                      <c:ext uri="{02D57815-91ED-43cb-92C2-25804820EDAC}">
                        <c15:formulaRef>
                          <c15:sqref>KPIs!$D$66:$F$66</c15:sqref>
                        </c15:formulaRef>
                      </c:ext>
                    </c:extLst>
                    <c:strCache>
                      <c:ptCount val="3"/>
                      <c:pt idx="0">
                        <c:v>Net CashFlow</c:v>
                      </c:pt>
                    </c:strCache>
                  </c:strRef>
                </c:tx>
                <c:spPr>
                  <a:solidFill>
                    <a:schemeClr val="accent2"/>
                  </a:solidFill>
                  <a:ln>
                    <a:noFill/>
                  </a:ln>
                  <a:effectLst/>
                </c:spPr>
                <c:invertIfNegative val="0"/>
                <c:cat>
                  <c:numRef>
                    <c:extLst>
                      <c:ext uri="{02D57815-91ED-43cb-92C2-25804820EDAC}">
                        <c15:formulaRef>
                          <c15:sqref>KPIs!$G$63:$AP$63</c15:sqref>
                        </c15:formulaRef>
                      </c:ext>
                    </c:extLst>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extLst>
                      <c:ext uri="{02D57815-91ED-43cb-92C2-25804820EDAC}">
                        <c15:formulaRef>
                          <c15:sqref>KPIs!$G$66:$AP$66</c15:sqref>
                        </c15:formulaRef>
                      </c:ext>
                    </c:extLst>
                    <c:numCache>
                      <c:formatCode>_-* #,##0_-;\-* #,##0_-;_-* "-"??_-;_-@_-</c:formatCode>
                      <c:ptCount val="36"/>
                      <c:pt idx="0">
                        <c:v>45160.869850494637</c:v>
                      </c:pt>
                      <c:pt idx="1">
                        <c:v>-11801.124452086973</c:v>
                      </c:pt>
                      <c:pt idx="2">
                        <c:v>49225.272093748041</c:v>
                      </c:pt>
                      <c:pt idx="3">
                        <c:v>5643.1918542666654</c:v>
                      </c:pt>
                      <c:pt idx="4">
                        <c:v>-21541.310924787958</c:v>
                      </c:pt>
                      <c:pt idx="5">
                        <c:v>8124.0366575019361</c:v>
                      </c:pt>
                      <c:pt idx="6">
                        <c:v>4012.5865466769901</c:v>
                      </c:pt>
                      <c:pt idx="7">
                        <c:v>-20052.951431846024</c:v>
                      </c:pt>
                      <c:pt idx="8">
                        <c:v>6749.9205951772892</c:v>
                      </c:pt>
                      <c:pt idx="9">
                        <c:v>2953.1030368886022</c:v>
                      </c:pt>
                      <c:pt idx="10">
                        <c:v>-19850.481238537635</c:v>
                      </c:pt>
                      <c:pt idx="11">
                        <c:v>7102.9196392665808</c:v>
                      </c:pt>
                      <c:pt idx="12">
                        <c:v>1850.9538972215059</c:v>
                      </c:pt>
                      <c:pt idx="13">
                        <c:v>-17846.528074192091</c:v>
                      </c:pt>
                      <c:pt idx="14">
                        <c:v>10048.92769301961</c:v>
                      </c:pt>
                      <c:pt idx="15">
                        <c:v>6549.2970672150523</c:v>
                      </c:pt>
                      <c:pt idx="16">
                        <c:v>-21934.795859120866</c:v>
                      </c:pt>
                      <c:pt idx="17">
                        <c:v>9109.553637593548</c:v>
                      </c:pt>
                      <c:pt idx="18">
                        <c:v>5873.3150038021504</c:v>
                      </c:pt>
                      <c:pt idx="19">
                        <c:v>-18152.415983412469</c:v>
                      </c:pt>
                      <c:pt idx="20">
                        <c:v>8115.2105396645175</c:v>
                      </c:pt>
                      <c:pt idx="21">
                        <c:v>4604.758287447743</c:v>
                      </c:pt>
                      <c:pt idx="22">
                        <c:v>-18480.817347700642</c:v>
                      </c:pt>
                      <c:pt idx="23">
                        <c:v>8493.2383109522543</c:v>
                      </c:pt>
                      <c:pt idx="24">
                        <c:v>3186.8271065118288</c:v>
                      </c:pt>
                      <c:pt idx="25">
                        <c:v>-15688.97531112344</c:v>
                      </c:pt>
                      <c:pt idx="26">
                        <c:v>12161.713043563876</c:v>
                      </c:pt>
                      <c:pt idx="27">
                        <c:v>8192.8064086021495</c:v>
                      </c:pt>
                      <c:pt idx="28">
                        <c:v>-20894.242543523444</c:v>
                      </c:pt>
                      <c:pt idx="29">
                        <c:v>10615.572425868388</c:v>
                      </c:pt>
                      <c:pt idx="30">
                        <c:v>7406.3741526021504</c:v>
                      </c:pt>
                      <c:pt idx="31">
                        <c:v>-16818.072341304087</c:v>
                      </c:pt>
                      <c:pt idx="32">
                        <c:v>9192.5300080691632</c:v>
                      </c:pt>
                      <c:pt idx="33">
                        <c:v>5683.7302883415068</c:v>
                      </c:pt>
                      <c:pt idx="34">
                        <c:v>-17155.747541546669</c:v>
                      </c:pt>
                      <c:pt idx="35">
                        <c:v>9648.8869740185801</c:v>
                      </c:pt>
                    </c:numCache>
                  </c:numRef>
                </c:val>
                <c:extLst>
                  <c:ext xmlns:c16="http://schemas.microsoft.com/office/drawing/2014/chart" uri="{C3380CC4-5D6E-409C-BE32-E72D297353CC}">
                    <c16:uniqueId val="{00000001-2A1C-4B7D-AC98-F4EEFC022C3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KPIs!$D$67:$F$67</c15:sqref>
                        </c15:formulaRef>
                      </c:ext>
                    </c:extLst>
                    <c:strCache>
                      <c:ptCount val="3"/>
                      <c:pt idx="0">
                        <c:v>Cash Balance</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KPIs!$G$63:$AP$63</c15:sqref>
                        </c15:formulaRef>
                      </c:ext>
                    </c:extLst>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extLst xmlns:c15="http://schemas.microsoft.com/office/drawing/2012/chart">
                      <c:ext xmlns:c15="http://schemas.microsoft.com/office/drawing/2012/chart" uri="{02D57815-91ED-43cb-92C2-25804820EDAC}">
                        <c15:formulaRef>
                          <c15:sqref>KPIs!$G$67:$AP$67</c15:sqref>
                        </c15:formulaRef>
                      </c:ext>
                    </c:extLst>
                    <c:numCache>
                      <c:formatCode>_-* #,##0_-;\-* #,##0_-;_-* "-"??_-;_-@_-</c:formatCode>
                      <c:ptCount val="36"/>
                      <c:pt idx="0">
                        <c:v>56366.869850494637</c:v>
                      </c:pt>
                      <c:pt idx="1">
                        <c:v>44565.745398407664</c:v>
                      </c:pt>
                      <c:pt idx="2">
                        <c:v>93791.017492155705</c:v>
                      </c:pt>
                      <c:pt idx="3">
                        <c:v>99434.209346422373</c:v>
                      </c:pt>
                      <c:pt idx="4">
                        <c:v>77892.898421634411</c:v>
                      </c:pt>
                      <c:pt idx="5">
                        <c:v>86016.935079136339</c:v>
                      </c:pt>
                      <c:pt idx="6">
                        <c:v>90029.52162581333</c:v>
                      </c:pt>
                      <c:pt idx="7">
                        <c:v>69976.570193967302</c:v>
                      </c:pt>
                      <c:pt idx="8">
                        <c:v>76726.490789144591</c:v>
                      </c:pt>
                      <c:pt idx="9">
                        <c:v>79679.59382603319</c:v>
                      </c:pt>
                      <c:pt idx="10">
                        <c:v>59829.112587495554</c:v>
                      </c:pt>
                      <c:pt idx="11">
                        <c:v>66932.032226762138</c:v>
                      </c:pt>
                      <c:pt idx="12">
                        <c:v>68782.986123983646</c:v>
                      </c:pt>
                      <c:pt idx="13">
                        <c:v>50936.458049791559</c:v>
                      </c:pt>
                      <c:pt idx="14">
                        <c:v>60985.385742811166</c:v>
                      </c:pt>
                      <c:pt idx="15">
                        <c:v>67534.682810026221</c:v>
                      </c:pt>
                      <c:pt idx="16">
                        <c:v>45599.886950905355</c:v>
                      </c:pt>
                      <c:pt idx="17">
                        <c:v>54709.440588498903</c:v>
                      </c:pt>
                      <c:pt idx="18">
                        <c:v>60582.755592301051</c:v>
                      </c:pt>
                      <c:pt idx="19">
                        <c:v>42430.339608888578</c:v>
                      </c:pt>
                      <c:pt idx="20">
                        <c:v>50545.550148553099</c:v>
                      </c:pt>
                      <c:pt idx="21">
                        <c:v>55150.308436000843</c:v>
                      </c:pt>
                      <c:pt idx="22">
                        <c:v>36669.491088300201</c:v>
                      </c:pt>
                      <c:pt idx="23">
                        <c:v>45162.729399252457</c:v>
                      </c:pt>
                      <c:pt idx="24">
                        <c:v>48349.556505764289</c:v>
                      </c:pt>
                      <c:pt idx="25">
                        <c:v>32660.58119464085</c:v>
                      </c:pt>
                      <c:pt idx="26">
                        <c:v>44822.294238204726</c:v>
                      </c:pt>
                      <c:pt idx="27">
                        <c:v>53015.100646806874</c:v>
                      </c:pt>
                      <c:pt idx="28">
                        <c:v>32120.85810328343</c:v>
                      </c:pt>
                      <c:pt idx="29">
                        <c:v>42736.430529151818</c:v>
                      </c:pt>
                      <c:pt idx="30">
                        <c:v>50142.804681753965</c:v>
                      </c:pt>
                      <c:pt idx="31">
                        <c:v>33324.732340449875</c:v>
                      </c:pt>
                      <c:pt idx="32">
                        <c:v>42517.262348519042</c:v>
                      </c:pt>
                      <c:pt idx="33">
                        <c:v>48200.992636860552</c:v>
                      </c:pt>
                      <c:pt idx="34">
                        <c:v>31045.245095313883</c:v>
                      </c:pt>
                      <c:pt idx="35">
                        <c:v>40694.132069332467</c:v>
                      </c:pt>
                    </c:numCache>
                  </c:numRef>
                </c:val>
                <c:extLst xmlns:c15="http://schemas.microsoft.com/office/drawing/2012/chart">
                  <c:ext xmlns:c16="http://schemas.microsoft.com/office/drawing/2014/chart" uri="{C3380CC4-5D6E-409C-BE32-E72D297353CC}">
                    <c16:uniqueId val="{00000002-2A1C-4B7D-AC98-F4EEFC022C33}"/>
                  </c:ext>
                </c:extLst>
              </c15:ser>
            </c15:filteredBarSeries>
          </c:ext>
        </c:extLst>
      </c:barChart>
      <c:catAx>
        <c:axId val="1218898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6168"/>
        <c:crosses val="autoZero"/>
        <c:auto val="1"/>
        <c:lblAlgn val="ctr"/>
        <c:lblOffset val="100"/>
        <c:noMultiLvlLbl val="0"/>
      </c:catAx>
      <c:valAx>
        <c:axId val="12188961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879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KPIs!$D$67:$F$67</c:f>
              <c:strCache>
                <c:ptCount val="3"/>
                <c:pt idx="0">
                  <c:v>Cash Balance</c:v>
                </c:pt>
              </c:strCache>
              <c:extLst xmlns:c15="http://schemas.microsoft.com/office/drawing/2012/chart"/>
            </c:strRef>
          </c:tx>
          <c:spPr>
            <a:ln w="28575" cap="rnd">
              <a:solidFill>
                <a:schemeClr val="accent3"/>
              </a:solidFill>
              <a:round/>
            </a:ln>
            <a:effectLst/>
          </c:spPr>
          <c:marker>
            <c:symbol val="none"/>
          </c:marker>
          <c:trendline>
            <c:spPr>
              <a:ln w="19050" cap="rnd">
                <a:solidFill>
                  <a:schemeClr val="accent3"/>
                </a:solidFill>
                <a:prstDash val="sysDot"/>
              </a:ln>
              <a:effectLst/>
            </c:spPr>
            <c:trendlineType val="movingAvg"/>
            <c:period val="3"/>
            <c:dispRSqr val="0"/>
            <c:dispEq val="0"/>
          </c:trendline>
          <c:cat>
            <c:numRef>
              <c:f>KPIs!$G$63:$AP$63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extLst xmlns:c15="http://schemas.microsoft.com/office/drawing/2012/chart"/>
            </c:numRef>
          </c:cat>
          <c:val>
            <c:numRef>
              <c:f>KPIs!$G$67:$AP$67</c:f>
              <c:numCache>
                <c:formatCode>_-* #,##0_-;\-* #,##0_-;_-* "-"??_-;_-@_-</c:formatCode>
                <c:ptCount val="36"/>
                <c:pt idx="0">
                  <c:v>56366.869850494637</c:v>
                </c:pt>
                <c:pt idx="1">
                  <c:v>44565.745398407664</c:v>
                </c:pt>
                <c:pt idx="2">
                  <c:v>93791.017492155705</c:v>
                </c:pt>
                <c:pt idx="3">
                  <c:v>99434.209346422373</c:v>
                </c:pt>
                <c:pt idx="4">
                  <c:v>77892.898421634411</c:v>
                </c:pt>
                <c:pt idx="5">
                  <c:v>86016.935079136339</c:v>
                </c:pt>
                <c:pt idx="6">
                  <c:v>90029.52162581333</c:v>
                </c:pt>
                <c:pt idx="7">
                  <c:v>69976.570193967302</c:v>
                </c:pt>
                <c:pt idx="8">
                  <c:v>76726.490789144591</c:v>
                </c:pt>
                <c:pt idx="9">
                  <c:v>79679.59382603319</c:v>
                </c:pt>
                <c:pt idx="10">
                  <c:v>59829.112587495554</c:v>
                </c:pt>
                <c:pt idx="11">
                  <c:v>66932.032226762138</c:v>
                </c:pt>
                <c:pt idx="12">
                  <c:v>68782.986123983646</c:v>
                </c:pt>
                <c:pt idx="13">
                  <c:v>50936.458049791559</c:v>
                </c:pt>
                <c:pt idx="14">
                  <c:v>60985.385742811166</c:v>
                </c:pt>
                <c:pt idx="15">
                  <c:v>67534.682810026221</c:v>
                </c:pt>
                <c:pt idx="16">
                  <c:v>45599.886950905355</c:v>
                </c:pt>
                <c:pt idx="17">
                  <c:v>54709.440588498903</c:v>
                </c:pt>
                <c:pt idx="18">
                  <c:v>60582.755592301051</c:v>
                </c:pt>
                <c:pt idx="19">
                  <c:v>42430.339608888578</c:v>
                </c:pt>
                <c:pt idx="20">
                  <c:v>50545.550148553099</c:v>
                </c:pt>
                <c:pt idx="21">
                  <c:v>55150.308436000843</c:v>
                </c:pt>
                <c:pt idx="22">
                  <c:v>36669.491088300201</c:v>
                </c:pt>
                <c:pt idx="23">
                  <c:v>45162.729399252457</c:v>
                </c:pt>
                <c:pt idx="24">
                  <c:v>48349.556505764289</c:v>
                </c:pt>
                <c:pt idx="25">
                  <c:v>32660.58119464085</c:v>
                </c:pt>
                <c:pt idx="26">
                  <c:v>44822.294238204726</c:v>
                </c:pt>
                <c:pt idx="27">
                  <c:v>53015.100646806874</c:v>
                </c:pt>
                <c:pt idx="28">
                  <c:v>32120.85810328343</c:v>
                </c:pt>
                <c:pt idx="29">
                  <c:v>42736.430529151818</c:v>
                </c:pt>
                <c:pt idx="30">
                  <c:v>50142.804681753965</c:v>
                </c:pt>
                <c:pt idx="31">
                  <c:v>33324.732340449875</c:v>
                </c:pt>
                <c:pt idx="32">
                  <c:v>42517.262348519042</c:v>
                </c:pt>
                <c:pt idx="33">
                  <c:v>48200.992636860552</c:v>
                </c:pt>
                <c:pt idx="34">
                  <c:v>31045.245095313883</c:v>
                </c:pt>
                <c:pt idx="35">
                  <c:v>40694.132069332467</c:v>
                </c:pt>
              </c:numCache>
              <c:extLst xmlns:c15="http://schemas.microsoft.com/office/drawing/2012/chart"/>
            </c:numRef>
          </c:val>
          <c:smooth val="1"/>
          <c:extLst xmlns:c15="http://schemas.microsoft.com/office/drawing/2012/chart">
            <c:ext xmlns:c16="http://schemas.microsoft.com/office/drawing/2014/chart" uri="{C3380CC4-5D6E-409C-BE32-E72D297353CC}">
              <c16:uniqueId val="{00000002-2A1C-4B7D-AC98-F4EEFC022C33}"/>
            </c:ext>
          </c:extLst>
        </c:ser>
        <c:dLbls>
          <c:showLegendKey val="0"/>
          <c:showVal val="0"/>
          <c:showCatName val="0"/>
          <c:showSerName val="0"/>
          <c:showPercent val="0"/>
          <c:showBubbleSize val="0"/>
        </c:dLbls>
        <c:smooth val="0"/>
        <c:axId val="1218898792"/>
        <c:axId val="1218896168"/>
        <c:extLst>
          <c:ext xmlns:c15="http://schemas.microsoft.com/office/drawing/2012/chart" uri="{02D57815-91ED-43cb-92C2-25804820EDAC}">
            <c15:filteredLineSeries>
              <c15:ser>
                <c:idx val="0"/>
                <c:order val="0"/>
                <c:tx>
                  <c:strRef>
                    <c:extLst>
                      <c:ext uri="{02D57815-91ED-43cb-92C2-25804820EDAC}">
                        <c15:formulaRef>
                          <c15:sqref>KPIs!$D$65:$F$65</c15:sqref>
                        </c15:formulaRef>
                      </c:ext>
                    </c:extLst>
                    <c:strCache>
                      <c:ptCount val="3"/>
                      <c:pt idx="0">
                        <c:v>EBITDA</c:v>
                      </c:pt>
                    </c:strCache>
                  </c:strRef>
                </c:tx>
                <c:spPr>
                  <a:ln w="28575" cap="rnd">
                    <a:solidFill>
                      <a:schemeClr val="accent1"/>
                    </a:solidFill>
                    <a:round/>
                  </a:ln>
                  <a:effectLst/>
                </c:spPr>
                <c:marker>
                  <c:symbol val="none"/>
                </c:marker>
                <c:cat>
                  <c:numRef>
                    <c:extLst>
                      <c:ext uri="{02D57815-91ED-43cb-92C2-25804820EDAC}">
                        <c15:formulaRef>
                          <c15:sqref>KPIs!$G$63:$AP$63</c15:sqref>
                        </c15:formulaRef>
                      </c:ext>
                    </c:extLst>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extLst>
                      <c:ext uri="{02D57815-91ED-43cb-92C2-25804820EDAC}">
                        <c15:formulaRef>
                          <c15:sqref>KPIs!$G$65:$AP$65</c15:sqref>
                        </c15:formulaRef>
                      </c:ext>
                    </c:extLst>
                    <c:numCache>
                      <c:formatCode>_-* #,##0_-;\-* #,##0_-;_-* "-"??_-;_-@_-</c:formatCode>
                      <c:ptCount val="36"/>
                      <c:pt idx="0">
                        <c:v>-4159.4996275268823</c:v>
                      </c:pt>
                      <c:pt idx="1">
                        <c:v>-2082.529655440002</c:v>
                      </c:pt>
                      <c:pt idx="2">
                        <c:v>-1929.2708153118283</c:v>
                      </c:pt>
                      <c:pt idx="3">
                        <c:v>-892.34384933333331</c:v>
                      </c:pt>
                      <c:pt idx="4">
                        <c:v>-4564.5890296258076</c:v>
                      </c:pt>
                      <c:pt idx="5">
                        <c:v>-2354.3421542795713</c:v>
                      </c:pt>
                      <c:pt idx="6">
                        <c:v>-2620.0539285333334</c:v>
                      </c:pt>
                      <c:pt idx="7">
                        <c:v>-2652.6989809806464</c:v>
                      </c:pt>
                      <c:pt idx="8">
                        <c:v>-3844.5069748266669</c:v>
                      </c:pt>
                      <c:pt idx="9">
                        <c:v>-3171.5459527139792</c:v>
                      </c:pt>
                      <c:pt idx="10">
                        <c:v>-2988.6059200000009</c:v>
                      </c:pt>
                      <c:pt idx="11">
                        <c:v>-3647.4748878795708</c:v>
                      </c:pt>
                      <c:pt idx="12">
                        <c:v>-4118.3165446881721</c:v>
                      </c:pt>
                      <c:pt idx="13">
                        <c:v>-1115.6185543200008</c:v>
                      </c:pt>
                      <c:pt idx="14">
                        <c:v>-811.14888034408796</c:v>
                      </c:pt>
                      <c:pt idx="15">
                        <c:v>96.589796666665279</c:v>
                      </c:pt>
                      <c:pt idx="16">
                        <c:v>-4600.74635571613</c:v>
                      </c:pt>
                      <c:pt idx="17">
                        <c:v>-1778.147464318281</c:v>
                      </c:pt>
                      <c:pt idx="18">
                        <c:v>-922.4245653333337</c:v>
                      </c:pt>
                      <c:pt idx="19">
                        <c:v>-911.67270454193658</c:v>
                      </c:pt>
                      <c:pt idx="20">
                        <c:v>-2502.871282666667</c:v>
                      </c:pt>
                      <c:pt idx="21">
                        <c:v>-1775.5244023913983</c:v>
                      </c:pt>
                      <c:pt idx="22">
                        <c:v>-1312.7033808000006</c:v>
                      </c:pt>
                      <c:pt idx="23">
                        <c:v>-2317.3299770150552</c:v>
                      </c:pt>
                      <c:pt idx="24">
                        <c:v>-2921.3145472688175</c:v>
                      </c:pt>
                      <c:pt idx="25">
                        <c:v>1242.2364776000013</c:v>
                      </c:pt>
                      <c:pt idx="26">
                        <c:v>1353.4523341075273</c:v>
                      </c:pt>
                      <c:pt idx="27">
                        <c:v>1594.7166666666653</c:v>
                      </c:pt>
                      <c:pt idx="28">
                        <c:v>-3467.5347416258082</c:v>
                      </c:pt>
                      <c:pt idx="29">
                        <c:v>-295.23468271827915</c:v>
                      </c:pt>
                      <c:pt idx="30">
                        <c:v>418.64762666666593</c:v>
                      </c:pt>
                      <c:pt idx="31">
                        <c:v>791.93374198709807</c:v>
                      </c:pt>
                      <c:pt idx="32">
                        <c:v>-1447.275590506666</c:v>
                      </c:pt>
                      <c:pt idx="33">
                        <c:v>-762.31341743655958</c:v>
                      </c:pt>
                      <c:pt idx="34">
                        <c:v>180.10238080000181</c:v>
                      </c:pt>
                      <c:pt idx="35">
                        <c:v>-1268.4450661505389</c:v>
                      </c:pt>
                    </c:numCache>
                  </c:numRef>
                </c:val>
                <c:smooth val="0"/>
                <c:extLst>
                  <c:ext xmlns:c16="http://schemas.microsoft.com/office/drawing/2014/chart" uri="{C3380CC4-5D6E-409C-BE32-E72D297353CC}">
                    <c16:uniqueId val="{00000000-2A1C-4B7D-AC98-F4EEFC022C3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KPIs!$D$66:$F$66</c15:sqref>
                        </c15:formulaRef>
                      </c:ext>
                    </c:extLst>
                    <c:strCache>
                      <c:ptCount val="3"/>
                      <c:pt idx="0">
                        <c:v>Net CashFlow</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KPIs!$G$63:$AP$63</c15:sqref>
                        </c15:formulaRef>
                      </c:ext>
                    </c:extLst>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extLst xmlns:c15="http://schemas.microsoft.com/office/drawing/2012/chart">
                      <c:ext xmlns:c15="http://schemas.microsoft.com/office/drawing/2012/chart" uri="{02D57815-91ED-43cb-92C2-25804820EDAC}">
                        <c15:formulaRef>
                          <c15:sqref>KPIs!$G$66:$AP$66</c15:sqref>
                        </c15:formulaRef>
                      </c:ext>
                    </c:extLst>
                    <c:numCache>
                      <c:formatCode>_-* #,##0_-;\-* #,##0_-;_-* "-"??_-;_-@_-</c:formatCode>
                      <c:ptCount val="36"/>
                      <c:pt idx="0">
                        <c:v>45160.869850494637</c:v>
                      </c:pt>
                      <c:pt idx="1">
                        <c:v>-11801.124452086973</c:v>
                      </c:pt>
                      <c:pt idx="2">
                        <c:v>49225.272093748041</c:v>
                      </c:pt>
                      <c:pt idx="3">
                        <c:v>5643.1918542666654</c:v>
                      </c:pt>
                      <c:pt idx="4">
                        <c:v>-21541.310924787958</c:v>
                      </c:pt>
                      <c:pt idx="5">
                        <c:v>8124.0366575019361</c:v>
                      </c:pt>
                      <c:pt idx="6">
                        <c:v>4012.5865466769901</c:v>
                      </c:pt>
                      <c:pt idx="7">
                        <c:v>-20052.951431846024</c:v>
                      </c:pt>
                      <c:pt idx="8">
                        <c:v>6749.9205951772892</c:v>
                      </c:pt>
                      <c:pt idx="9">
                        <c:v>2953.1030368886022</c:v>
                      </c:pt>
                      <c:pt idx="10">
                        <c:v>-19850.481238537635</c:v>
                      </c:pt>
                      <c:pt idx="11">
                        <c:v>7102.9196392665808</c:v>
                      </c:pt>
                      <c:pt idx="12">
                        <c:v>1850.9538972215059</c:v>
                      </c:pt>
                      <c:pt idx="13">
                        <c:v>-17846.528074192091</c:v>
                      </c:pt>
                      <c:pt idx="14">
                        <c:v>10048.92769301961</c:v>
                      </c:pt>
                      <c:pt idx="15">
                        <c:v>6549.2970672150523</c:v>
                      </c:pt>
                      <c:pt idx="16">
                        <c:v>-21934.795859120866</c:v>
                      </c:pt>
                      <c:pt idx="17">
                        <c:v>9109.553637593548</c:v>
                      </c:pt>
                      <c:pt idx="18">
                        <c:v>5873.3150038021504</c:v>
                      </c:pt>
                      <c:pt idx="19">
                        <c:v>-18152.415983412469</c:v>
                      </c:pt>
                      <c:pt idx="20">
                        <c:v>8115.2105396645175</c:v>
                      </c:pt>
                      <c:pt idx="21">
                        <c:v>4604.758287447743</c:v>
                      </c:pt>
                      <c:pt idx="22">
                        <c:v>-18480.817347700642</c:v>
                      </c:pt>
                      <c:pt idx="23">
                        <c:v>8493.2383109522543</c:v>
                      </c:pt>
                      <c:pt idx="24">
                        <c:v>3186.8271065118288</c:v>
                      </c:pt>
                      <c:pt idx="25">
                        <c:v>-15688.97531112344</c:v>
                      </c:pt>
                      <c:pt idx="26">
                        <c:v>12161.713043563876</c:v>
                      </c:pt>
                      <c:pt idx="27">
                        <c:v>8192.8064086021495</c:v>
                      </c:pt>
                      <c:pt idx="28">
                        <c:v>-20894.242543523444</c:v>
                      </c:pt>
                      <c:pt idx="29">
                        <c:v>10615.572425868388</c:v>
                      </c:pt>
                      <c:pt idx="30">
                        <c:v>7406.3741526021504</c:v>
                      </c:pt>
                      <c:pt idx="31">
                        <c:v>-16818.072341304087</c:v>
                      </c:pt>
                      <c:pt idx="32">
                        <c:v>9192.5300080691632</c:v>
                      </c:pt>
                      <c:pt idx="33">
                        <c:v>5683.7302883415068</c:v>
                      </c:pt>
                      <c:pt idx="34">
                        <c:v>-17155.747541546669</c:v>
                      </c:pt>
                      <c:pt idx="35">
                        <c:v>9648.8869740185801</c:v>
                      </c:pt>
                    </c:numCache>
                  </c:numRef>
                </c:val>
                <c:smooth val="0"/>
                <c:extLst xmlns:c15="http://schemas.microsoft.com/office/drawing/2012/chart">
                  <c:ext xmlns:c16="http://schemas.microsoft.com/office/drawing/2014/chart" uri="{C3380CC4-5D6E-409C-BE32-E72D297353CC}">
                    <c16:uniqueId val="{00000001-2A1C-4B7D-AC98-F4EEFC022C33}"/>
                  </c:ext>
                </c:extLst>
              </c15:ser>
            </c15:filteredLineSeries>
          </c:ext>
        </c:extLst>
      </c:lineChart>
      <c:catAx>
        <c:axId val="1218898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6168"/>
        <c:crosses val="autoZero"/>
        <c:auto val="1"/>
        <c:lblAlgn val="ctr"/>
        <c:lblOffset val="100"/>
        <c:noMultiLvlLbl val="0"/>
      </c:catAx>
      <c:valAx>
        <c:axId val="12188961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8792"/>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Attendance and Class Size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KPIs!$D$73:$F$73</c:f>
              <c:strCache>
                <c:ptCount val="3"/>
                <c:pt idx="0">
                  <c:v>Average Class Size</c:v>
                </c:pt>
              </c:strCache>
            </c:strRef>
          </c:tx>
          <c:spPr>
            <a:solidFill>
              <a:schemeClr val="accent2"/>
            </a:solidFill>
            <a:ln>
              <a:noFill/>
            </a:ln>
            <a:effectLst/>
          </c:spPr>
          <c:invertIfNegative val="0"/>
          <c:cat>
            <c:numRef>
              <c:f>KPIs!$G$63:$AP$63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KPIs!$G$73:$AP$73</c:f>
              <c:numCache>
                <c:formatCode>_-* #,##0.0_-;\-* #,##0.0_-;_-* "-"??_-;_-@_-</c:formatCode>
                <c:ptCount val="36"/>
                <c:pt idx="0">
                  <c:v>5.1367741935483879</c:v>
                </c:pt>
                <c:pt idx="1">
                  <c:v>10.356273333333332</c:v>
                </c:pt>
                <c:pt idx="2">
                  <c:v>10.288516129032258</c:v>
                </c:pt>
                <c:pt idx="3">
                  <c:v>12.600499999999998</c:v>
                </c:pt>
                <c:pt idx="4">
                  <c:v>4.4667225806451594</c:v>
                </c:pt>
                <c:pt idx="5">
                  <c:v>8.9534516129032244</c:v>
                </c:pt>
                <c:pt idx="6">
                  <c:v>10.709485714285714</c:v>
                </c:pt>
                <c:pt idx="7">
                  <c:v>10.615658064516129</c:v>
                </c:pt>
                <c:pt idx="8">
                  <c:v>7.6352133333333336</c:v>
                </c:pt>
                <c:pt idx="9">
                  <c:v>8.9189225806451606</c:v>
                </c:pt>
                <c:pt idx="10">
                  <c:v>10.049333333333335</c:v>
                </c:pt>
                <c:pt idx="11">
                  <c:v>7.8656516129032257</c:v>
                </c:pt>
                <c:pt idx="12">
                  <c:v>6.2925483870967742</c:v>
                </c:pt>
                <c:pt idx="13">
                  <c:v>12.569509166666666</c:v>
                </c:pt>
                <c:pt idx="14">
                  <c:v>12.378370967741935</c:v>
                </c:pt>
                <c:pt idx="15">
                  <c:v>15.034687499999999</c:v>
                </c:pt>
                <c:pt idx="16">
                  <c:v>5.2878112903225798</c:v>
                </c:pt>
                <c:pt idx="17">
                  <c:v>10.52030564516129</c:v>
                </c:pt>
                <c:pt idx="18">
                  <c:v>12.494399999999999</c:v>
                </c:pt>
                <c:pt idx="19">
                  <c:v>10.934446594982079</c:v>
                </c:pt>
                <c:pt idx="20">
                  <c:v>7.8138148148148145</c:v>
                </c:pt>
                <c:pt idx="21">
                  <c:v>9.0713827956989235</c:v>
                </c:pt>
                <c:pt idx="22">
                  <c:v>10.160992592592594</c:v>
                </c:pt>
                <c:pt idx="23">
                  <c:v>7.9082838709677405</c:v>
                </c:pt>
                <c:pt idx="24">
                  <c:v>7.1914838709677422</c:v>
                </c:pt>
                <c:pt idx="25">
                  <c:v>14.290914814814816</c:v>
                </c:pt>
                <c:pt idx="26">
                  <c:v>14.003813620071686</c:v>
                </c:pt>
                <c:pt idx="27">
                  <c:v>16</c:v>
                </c:pt>
                <c:pt idx="28">
                  <c:v>5.9264358422939054</c:v>
                </c:pt>
                <c:pt idx="29">
                  <c:v>10.565072903225808</c:v>
                </c:pt>
                <c:pt idx="30">
                  <c:v>12.494399999999999</c:v>
                </c:pt>
                <c:pt idx="31">
                  <c:v>12.251043225806452</c:v>
                </c:pt>
                <c:pt idx="32">
                  <c:v>8.7202173333333342</c:v>
                </c:pt>
                <c:pt idx="33">
                  <c:v>10.085243225806451</c:v>
                </c:pt>
                <c:pt idx="34">
                  <c:v>11.255253333333334</c:v>
                </c:pt>
                <c:pt idx="35">
                  <c:v>8.7289548387096776</c:v>
                </c:pt>
              </c:numCache>
            </c:numRef>
          </c:val>
          <c:extLst>
            <c:ext xmlns:c16="http://schemas.microsoft.com/office/drawing/2014/chart" uri="{C3380CC4-5D6E-409C-BE32-E72D297353CC}">
              <c16:uniqueId val="{00000000-4217-4F0E-AE08-586C4E4686F8}"/>
            </c:ext>
          </c:extLst>
        </c:ser>
        <c:dLbls>
          <c:showLegendKey val="0"/>
          <c:showVal val="0"/>
          <c:showCatName val="0"/>
          <c:showSerName val="0"/>
          <c:showPercent val="0"/>
          <c:showBubbleSize val="0"/>
        </c:dLbls>
        <c:gapWidth val="50"/>
        <c:axId val="1218898792"/>
        <c:axId val="1218896168"/>
      </c:barChart>
      <c:lineChart>
        <c:grouping val="standard"/>
        <c:varyColors val="0"/>
        <c:ser>
          <c:idx val="0"/>
          <c:order val="0"/>
          <c:tx>
            <c:strRef>
              <c:f>KPIs!$D$72:$F$72</c:f>
              <c:strCache>
                <c:ptCount val="3"/>
                <c:pt idx="0">
                  <c:v>Classes per week</c:v>
                </c:pt>
              </c:strCache>
            </c:strRef>
          </c:tx>
          <c:spPr>
            <a:ln w="28575" cap="rnd">
              <a:solidFill>
                <a:schemeClr val="accent1"/>
              </a:solidFill>
              <a:round/>
            </a:ln>
            <a:effectLst/>
          </c:spPr>
          <c:marker>
            <c:symbol val="none"/>
          </c:marker>
          <c:cat>
            <c:strRef>
              <c:f>KPIs!$G$64:$AP$64</c:f>
              <c:strCache>
                <c:ptCount val="36"/>
                <c:pt idx="0">
                  <c:v>Aug-23</c:v>
                </c:pt>
                <c:pt idx="1">
                  <c:v>Sep-23</c:v>
                </c:pt>
                <c:pt idx="2">
                  <c:v>Oct-23</c:v>
                </c:pt>
                <c:pt idx="3">
                  <c:v>Nov-23</c:v>
                </c:pt>
                <c:pt idx="4">
                  <c:v>Dec-23</c:v>
                </c:pt>
                <c:pt idx="5">
                  <c:v>Jan-24</c:v>
                </c:pt>
                <c:pt idx="6">
                  <c:v>Feb-24</c:v>
                </c:pt>
                <c:pt idx="7">
                  <c:v>Mar-24</c:v>
                </c:pt>
                <c:pt idx="8">
                  <c:v>Apr-24</c:v>
                </c:pt>
                <c:pt idx="9">
                  <c:v>May-24</c:v>
                </c:pt>
                <c:pt idx="10">
                  <c:v>Jun-24</c:v>
                </c:pt>
                <c:pt idx="11">
                  <c:v>Jul-24</c:v>
                </c:pt>
                <c:pt idx="12">
                  <c:v>Aug-24</c:v>
                </c:pt>
                <c:pt idx="13">
                  <c:v>Sep-24</c:v>
                </c:pt>
                <c:pt idx="14">
                  <c:v>Oct-24</c:v>
                </c:pt>
                <c:pt idx="15">
                  <c:v>Nov-24</c:v>
                </c:pt>
                <c:pt idx="16">
                  <c:v>Dec-24</c:v>
                </c:pt>
                <c:pt idx="17">
                  <c:v>Jan-25</c:v>
                </c:pt>
                <c:pt idx="18">
                  <c:v>Feb-25</c:v>
                </c:pt>
                <c:pt idx="19">
                  <c:v>Mar-25</c:v>
                </c:pt>
                <c:pt idx="20">
                  <c:v>Apr-25</c:v>
                </c:pt>
                <c:pt idx="21">
                  <c:v>May-25</c:v>
                </c:pt>
                <c:pt idx="22">
                  <c:v>Jun-25</c:v>
                </c:pt>
                <c:pt idx="23">
                  <c:v>Jul-25</c:v>
                </c:pt>
                <c:pt idx="24">
                  <c:v>Aug-25</c:v>
                </c:pt>
                <c:pt idx="25">
                  <c:v>Sep-25</c:v>
                </c:pt>
                <c:pt idx="26">
                  <c:v>Oct-25</c:v>
                </c:pt>
                <c:pt idx="27">
                  <c:v>Nov-25</c:v>
                </c:pt>
                <c:pt idx="28">
                  <c:v>Dec-25</c:v>
                </c:pt>
                <c:pt idx="29">
                  <c:v>Jan-26</c:v>
                </c:pt>
                <c:pt idx="30">
                  <c:v>Feb-26</c:v>
                </c:pt>
                <c:pt idx="31">
                  <c:v>Mar-26</c:v>
                </c:pt>
                <c:pt idx="32">
                  <c:v>Apr-26</c:v>
                </c:pt>
                <c:pt idx="33">
                  <c:v>May-26</c:v>
                </c:pt>
                <c:pt idx="34">
                  <c:v>Jun-26</c:v>
                </c:pt>
                <c:pt idx="35">
                  <c:v>Jul-26</c:v>
                </c:pt>
              </c:strCache>
            </c:strRef>
          </c:cat>
          <c:val>
            <c:numRef>
              <c:f>KPIs!$G$72:$AP$72</c:f>
              <c:numCache>
                <c:formatCode>0</c:formatCode>
                <c:ptCount val="36"/>
                <c:pt idx="0">
                  <c:v>7</c:v>
                </c:pt>
                <c:pt idx="1">
                  <c:v>7</c:v>
                </c:pt>
                <c:pt idx="2">
                  <c:v>7</c:v>
                </c:pt>
                <c:pt idx="3">
                  <c:v>7</c:v>
                </c:pt>
                <c:pt idx="4">
                  <c:v>7</c:v>
                </c:pt>
                <c:pt idx="5">
                  <c:v>7</c:v>
                </c:pt>
                <c:pt idx="6">
                  <c:v>7</c:v>
                </c:pt>
                <c:pt idx="7">
                  <c:v>7</c:v>
                </c:pt>
                <c:pt idx="8">
                  <c:v>7</c:v>
                </c:pt>
                <c:pt idx="9">
                  <c:v>7</c:v>
                </c:pt>
                <c:pt idx="10">
                  <c:v>7</c:v>
                </c:pt>
                <c:pt idx="11">
                  <c:v>7</c:v>
                </c:pt>
                <c:pt idx="12">
                  <c:v>8</c:v>
                </c:pt>
                <c:pt idx="13">
                  <c:v>8</c:v>
                </c:pt>
                <c:pt idx="14">
                  <c:v>8</c:v>
                </c:pt>
                <c:pt idx="15">
                  <c:v>8</c:v>
                </c:pt>
                <c:pt idx="16">
                  <c:v>8</c:v>
                </c:pt>
                <c:pt idx="17">
                  <c:v>8</c:v>
                </c:pt>
                <c:pt idx="18">
                  <c:v>8</c:v>
                </c:pt>
                <c:pt idx="19">
                  <c:v>9</c:v>
                </c:pt>
                <c:pt idx="20">
                  <c:v>9</c:v>
                </c:pt>
                <c:pt idx="21">
                  <c:v>9</c:v>
                </c:pt>
                <c:pt idx="22">
                  <c:v>9</c:v>
                </c:pt>
                <c:pt idx="23">
                  <c:v>9</c:v>
                </c:pt>
                <c:pt idx="24">
                  <c:v>9</c:v>
                </c:pt>
                <c:pt idx="25">
                  <c:v>9</c:v>
                </c:pt>
                <c:pt idx="26">
                  <c:v>9</c:v>
                </c:pt>
                <c:pt idx="27">
                  <c:v>9</c:v>
                </c:pt>
                <c:pt idx="28">
                  <c:v>9</c:v>
                </c:pt>
                <c:pt idx="29">
                  <c:v>10</c:v>
                </c:pt>
                <c:pt idx="30">
                  <c:v>10</c:v>
                </c:pt>
                <c:pt idx="31">
                  <c:v>10</c:v>
                </c:pt>
                <c:pt idx="32">
                  <c:v>10</c:v>
                </c:pt>
                <c:pt idx="33">
                  <c:v>10</c:v>
                </c:pt>
                <c:pt idx="34">
                  <c:v>10</c:v>
                </c:pt>
                <c:pt idx="35">
                  <c:v>10</c:v>
                </c:pt>
              </c:numCache>
            </c:numRef>
          </c:val>
          <c:smooth val="0"/>
          <c:extLst>
            <c:ext xmlns:c16="http://schemas.microsoft.com/office/drawing/2014/chart" uri="{C3380CC4-5D6E-409C-BE32-E72D297353CC}">
              <c16:uniqueId val="{00000001-4217-4F0E-AE08-586C4E4686F8}"/>
            </c:ext>
          </c:extLst>
        </c:ser>
        <c:ser>
          <c:idx val="2"/>
          <c:order val="2"/>
          <c:tx>
            <c:strRef>
              <c:f>KPIs!$D$74:$F$74</c:f>
              <c:strCache>
                <c:ptCount val="3"/>
                <c:pt idx="0">
                  <c:v>Max Class Size</c:v>
                </c:pt>
              </c:strCache>
            </c:strRef>
          </c:tx>
          <c:spPr>
            <a:ln w="28575" cap="rnd">
              <a:solidFill>
                <a:schemeClr val="accent3"/>
              </a:solidFill>
              <a:round/>
            </a:ln>
            <a:effectLst/>
          </c:spPr>
          <c:marker>
            <c:symbol val="none"/>
          </c:marker>
          <c:cat>
            <c:strRef>
              <c:f>KPIs!$G$64:$AP$64</c:f>
              <c:strCache>
                <c:ptCount val="36"/>
                <c:pt idx="0">
                  <c:v>Aug-23</c:v>
                </c:pt>
                <c:pt idx="1">
                  <c:v>Sep-23</c:v>
                </c:pt>
                <c:pt idx="2">
                  <c:v>Oct-23</c:v>
                </c:pt>
                <c:pt idx="3">
                  <c:v>Nov-23</c:v>
                </c:pt>
                <c:pt idx="4">
                  <c:v>Dec-23</c:v>
                </c:pt>
                <c:pt idx="5">
                  <c:v>Jan-24</c:v>
                </c:pt>
                <c:pt idx="6">
                  <c:v>Feb-24</c:v>
                </c:pt>
                <c:pt idx="7">
                  <c:v>Mar-24</c:v>
                </c:pt>
                <c:pt idx="8">
                  <c:v>Apr-24</c:v>
                </c:pt>
                <c:pt idx="9">
                  <c:v>May-24</c:v>
                </c:pt>
                <c:pt idx="10">
                  <c:v>Jun-24</c:v>
                </c:pt>
                <c:pt idx="11">
                  <c:v>Jul-24</c:v>
                </c:pt>
                <c:pt idx="12">
                  <c:v>Aug-24</c:v>
                </c:pt>
                <c:pt idx="13">
                  <c:v>Sep-24</c:v>
                </c:pt>
                <c:pt idx="14">
                  <c:v>Oct-24</c:v>
                </c:pt>
                <c:pt idx="15">
                  <c:v>Nov-24</c:v>
                </c:pt>
                <c:pt idx="16">
                  <c:v>Dec-24</c:v>
                </c:pt>
                <c:pt idx="17">
                  <c:v>Jan-25</c:v>
                </c:pt>
                <c:pt idx="18">
                  <c:v>Feb-25</c:v>
                </c:pt>
                <c:pt idx="19">
                  <c:v>Mar-25</c:v>
                </c:pt>
                <c:pt idx="20">
                  <c:v>Apr-25</c:v>
                </c:pt>
                <c:pt idx="21">
                  <c:v>May-25</c:v>
                </c:pt>
                <c:pt idx="22">
                  <c:v>Jun-25</c:v>
                </c:pt>
                <c:pt idx="23">
                  <c:v>Jul-25</c:v>
                </c:pt>
                <c:pt idx="24">
                  <c:v>Aug-25</c:v>
                </c:pt>
                <c:pt idx="25">
                  <c:v>Sep-25</c:v>
                </c:pt>
                <c:pt idx="26">
                  <c:v>Oct-25</c:v>
                </c:pt>
                <c:pt idx="27">
                  <c:v>Nov-25</c:v>
                </c:pt>
                <c:pt idx="28">
                  <c:v>Dec-25</c:v>
                </c:pt>
                <c:pt idx="29">
                  <c:v>Jan-26</c:v>
                </c:pt>
                <c:pt idx="30">
                  <c:v>Feb-26</c:v>
                </c:pt>
                <c:pt idx="31">
                  <c:v>Mar-26</c:v>
                </c:pt>
                <c:pt idx="32">
                  <c:v>Apr-26</c:v>
                </c:pt>
                <c:pt idx="33">
                  <c:v>May-26</c:v>
                </c:pt>
                <c:pt idx="34">
                  <c:v>Jun-26</c:v>
                </c:pt>
                <c:pt idx="35">
                  <c:v>Jul-26</c:v>
                </c:pt>
              </c:strCache>
            </c:strRef>
          </c:cat>
          <c:val>
            <c:numRef>
              <c:f>KPIs!$G$74:$AP$74</c:f>
              <c:numCache>
                <c:formatCode>General</c:formatCode>
                <c:ptCount val="36"/>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numCache>
            </c:numRef>
          </c:val>
          <c:smooth val="0"/>
          <c:extLst>
            <c:ext xmlns:c16="http://schemas.microsoft.com/office/drawing/2014/chart" uri="{C3380CC4-5D6E-409C-BE32-E72D297353CC}">
              <c16:uniqueId val="{00000003-4217-4F0E-AE08-586C4E4686F8}"/>
            </c:ext>
          </c:extLst>
        </c:ser>
        <c:dLbls>
          <c:showLegendKey val="0"/>
          <c:showVal val="0"/>
          <c:showCatName val="0"/>
          <c:showSerName val="0"/>
          <c:showPercent val="0"/>
          <c:showBubbleSize val="0"/>
        </c:dLbls>
        <c:marker val="1"/>
        <c:smooth val="0"/>
        <c:axId val="1218898792"/>
        <c:axId val="1218896168"/>
      </c:lineChart>
      <c:catAx>
        <c:axId val="1218898792"/>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6168"/>
        <c:crosses val="autoZero"/>
        <c:auto val="1"/>
        <c:lblAlgn val="ctr"/>
        <c:lblOffset val="100"/>
        <c:noMultiLvlLbl val="0"/>
      </c:catAx>
      <c:valAx>
        <c:axId val="121889616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Members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KPIs!$D$76:$F$76</c:f>
              <c:strCache>
                <c:ptCount val="3"/>
                <c:pt idx="0">
                  <c:v>Members</c:v>
                </c:pt>
              </c:strCache>
            </c:strRef>
          </c:tx>
          <c:spPr>
            <a:solidFill>
              <a:schemeClr val="accent1"/>
            </a:solidFill>
            <a:ln>
              <a:noFill/>
            </a:ln>
            <a:effectLst/>
          </c:spPr>
          <c:invertIfNegative val="0"/>
          <c:cat>
            <c:numRef>
              <c:f>KPIs!$G$63:$AP$63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KPIs!$G$76:$AP$76</c:f>
              <c:numCache>
                <c:formatCode>General</c:formatCode>
                <c:ptCount val="36"/>
                <c:pt idx="0">
                  <c:v>120</c:v>
                </c:pt>
                <c:pt idx="1">
                  <c:v>124</c:v>
                </c:pt>
                <c:pt idx="2">
                  <c:v>128</c:v>
                </c:pt>
                <c:pt idx="3">
                  <c:v>132</c:v>
                </c:pt>
                <c:pt idx="4">
                  <c:v>136</c:v>
                </c:pt>
                <c:pt idx="5">
                  <c:v>140</c:v>
                </c:pt>
                <c:pt idx="6">
                  <c:v>144</c:v>
                </c:pt>
                <c:pt idx="7">
                  <c:v>148</c:v>
                </c:pt>
                <c:pt idx="8">
                  <c:v>152</c:v>
                </c:pt>
                <c:pt idx="9">
                  <c:v>156</c:v>
                </c:pt>
                <c:pt idx="10">
                  <c:v>160</c:v>
                </c:pt>
                <c:pt idx="11">
                  <c:v>164</c:v>
                </c:pt>
                <c:pt idx="12">
                  <c:v>168</c:v>
                </c:pt>
                <c:pt idx="13">
                  <c:v>172</c:v>
                </c:pt>
                <c:pt idx="14">
                  <c:v>176</c:v>
                </c:pt>
                <c:pt idx="15">
                  <c:v>180</c:v>
                </c:pt>
                <c:pt idx="16">
                  <c:v>184</c:v>
                </c:pt>
                <c:pt idx="17">
                  <c:v>188</c:v>
                </c:pt>
                <c:pt idx="18">
                  <c:v>192</c:v>
                </c:pt>
                <c:pt idx="19">
                  <c:v>196</c:v>
                </c:pt>
                <c:pt idx="20">
                  <c:v>200</c:v>
                </c:pt>
                <c:pt idx="21">
                  <c:v>204</c:v>
                </c:pt>
                <c:pt idx="22">
                  <c:v>208</c:v>
                </c:pt>
                <c:pt idx="23">
                  <c:v>212</c:v>
                </c:pt>
                <c:pt idx="24">
                  <c:v>216</c:v>
                </c:pt>
                <c:pt idx="25">
                  <c:v>220</c:v>
                </c:pt>
                <c:pt idx="26">
                  <c:v>224</c:v>
                </c:pt>
                <c:pt idx="27">
                  <c:v>228</c:v>
                </c:pt>
                <c:pt idx="28">
                  <c:v>232</c:v>
                </c:pt>
                <c:pt idx="29">
                  <c:v>236</c:v>
                </c:pt>
                <c:pt idx="30">
                  <c:v>240</c:v>
                </c:pt>
                <c:pt idx="31">
                  <c:v>244</c:v>
                </c:pt>
                <c:pt idx="32">
                  <c:v>248</c:v>
                </c:pt>
                <c:pt idx="33">
                  <c:v>252</c:v>
                </c:pt>
                <c:pt idx="34">
                  <c:v>256</c:v>
                </c:pt>
                <c:pt idx="35">
                  <c:v>260</c:v>
                </c:pt>
              </c:numCache>
            </c:numRef>
          </c:val>
          <c:extLst>
            <c:ext xmlns:c16="http://schemas.microsoft.com/office/drawing/2014/chart" uri="{C3380CC4-5D6E-409C-BE32-E72D297353CC}">
              <c16:uniqueId val="{00000001-341B-4523-85CB-C6CDEAF2FFFF}"/>
            </c:ext>
          </c:extLst>
        </c:ser>
        <c:dLbls>
          <c:showLegendKey val="0"/>
          <c:showVal val="0"/>
          <c:showCatName val="0"/>
          <c:showSerName val="0"/>
          <c:showPercent val="0"/>
          <c:showBubbleSize val="0"/>
        </c:dLbls>
        <c:gapWidth val="150"/>
        <c:axId val="1218898792"/>
        <c:axId val="1218896168"/>
      </c:barChart>
      <c:catAx>
        <c:axId val="1218898792"/>
        <c:scaling>
          <c:orientation val="minMax"/>
        </c:scaling>
        <c:delete val="0"/>
        <c:axPos val="b"/>
        <c:numFmt formatCode="General" sourceLinked="1"/>
        <c:majorTickMark val="none"/>
        <c:minorTickMark val="none"/>
        <c:tickLblPos val="low"/>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6168"/>
        <c:crosses val="autoZero"/>
        <c:auto val="1"/>
        <c:lblAlgn val="ctr"/>
        <c:lblOffset val="100"/>
        <c:noMultiLvlLbl val="0"/>
      </c:catAx>
      <c:valAx>
        <c:axId val="1218896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8898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Scenarios!$B$153</c:f>
              <c:strCache>
                <c:ptCount val="1"/>
                <c:pt idx="0">
                  <c:v>Base Case</c:v>
                </c:pt>
              </c:strCache>
            </c:strRef>
          </c:tx>
          <c:marker>
            <c:symbol val="none"/>
          </c:marker>
          <c:cat>
            <c:strRef>
              <c:f>Scenarios!$I$152:$T$152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Scenarios!$I$153:$T$153</c:f>
              <c:numCache>
                <c:formatCode>_(#,##0.0_);\(#,##0.0\);_("-"_);_)@_)</c:formatCode>
                <c:ptCount val="12"/>
                <c:pt idx="0">
                  <c:v>2516.747068387097</c:v>
                </c:pt>
                <c:pt idx="1">
                  <c:v>4642.1835751066656</c:v>
                </c:pt>
                <c:pt idx="2">
                  <c:v>4802.2949959569896</c:v>
                </c:pt>
                <c:pt idx="3">
                  <c:v>5865.477632666667</c:v>
                </c:pt>
                <c:pt idx="4">
                  <c:v>2111.2537795182789</c:v>
                </c:pt>
                <c:pt idx="5">
                  <c:v>4376.0605558924726</c:v>
                </c:pt>
                <c:pt idx="6">
                  <c:v>5245.7695018666673</c:v>
                </c:pt>
                <c:pt idx="7">
                  <c:v>5214.9708002279567</c:v>
                </c:pt>
                <c:pt idx="8">
                  <c:v>4053.630666826667</c:v>
                </c:pt>
                <c:pt idx="9">
                  <c:v>4799.6165186279568</c:v>
                </c:pt>
                <c:pt idx="10">
                  <c:v>4824.0965866666666</c:v>
                </c:pt>
                <c:pt idx="11">
                  <c:v>4318.0088594924728</c:v>
                </c:pt>
              </c:numCache>
            </c:numRef>
          </c:val>
          <c:smooth val="0"/>
          <c:extLst>
            <c:ext xmlns:c16="http://schemas.microsoft.com/office/drawing/2014/chart" uri="{C3380CC4-5D6E-409C-BE32-E72D297353CC}">
              <c16:uniqueId val="{00000000-2522-4F16-BF06-814A3111FFED}"/>
            </c:ext>
          </c:extLst>
        </c:ser>
        <c:ser>
          <c:idx val="1"/>
          <c:order val="1"/>
          <c:tx>
            <c:strRef>
              <c:f>Scenarios!$B$154</c:f>
              <c:strCache>
                <c:ptCount val="1"/>
                <c:pt idx="0">
                  <c:v>Slower Growth</c:v>
                </c:pt>
              </c:strCache>
            </c:strRef>
          </c:tx>
          <c:marker>
            <c:symbol val="none"/>
          </c:marker>
          <c:cat>
            <c:strRef>
              <c:f>Scenarios!$I$152:$T$152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Scenarios!$I$154:$T$154</c:f>
              <c:numCache>
                <c:formatCode>_(#,##0.0_);\(#,##0.0\);_("-"_);_)@_)</c:formatCode>
                <c:ptCount val="12"/>
                <c:pt idx="0">
                  <c:v>2516.747068387097</c:v>
                </c:pt>
                <c:pt idx="1">
                  <c:v>4518.7183561533338</c:v>
                </c:pt>
                <c:pt idx="2">
                  <c:v>4600.0007773333346</c:v>
                </c:pt>
                <c:pt idx="3">
                  <c:v>5543.7383463333326</c:v>
                </c:pt>
                <c:pt idx="4">
                  <c:v>1931.1706160172034</c:v>
                </c:pt>
                <c:pt idx="5">
                  <c:v>4000.65765904301</c:v>
                </c:pt>
                <c:pt idx="6">
                  <c:v>4781.8725989333334</c:v>
                </c:pt>
                <c:pt idx="7">
                  <c:v>4697.4922110172047</c:v>
                </c:pt>
                <c:pt idx="8">
                  <c:v>3601.6832282133332</c:v>
                </c:pt>
                <c:pt idx="9">
                  <c:v>4218.6835869913984</c:v>
                </c:pt>
                <c:pt idx="10">
                  <c:v>4208.0595133333336</c:v>
                </c:pt>
                <c:pt idx="11">
                  <c:v>3714.6737685849448</c:v>
                </c:pt>
              </c:numCache>
            </c:numRef>
          </c:val>
          <c:smooth val="0"/>
          <c:extLst>
            <c:ext xmlns:c16="http://schemas.microsoft.com/office/drawing/2014/chart" uri="{C3380CC4-5D6E-409C-BE32-E72D297353CC}">
              <c16:uniqueId val="{00000001-2522-4F16-BF06-814A3111FFED}"/>
            </c:ext>
          </c:extLst>
        </c:ser>
        <c:ser>
          <c:idx val="2"/>
          <c:order val="2"/>
          <c:tx>
            <c:strRef>
              <c:f>Scenarios!$B$155</c:f>
              <c:strCache>
                <c:ptCount val="1"/>
                <c:pt idx="0">
                  <c:v>Faster Growth</c:v>
                </c:pt>
              </c:strCache>
            </c:strRef>
          </c:tx>
          <c:marker>
            <c:symbol val="none"/>
          </c:marker>
          <c:cat>
            <c:strRef>
              <c:f>Scenarios!$I$152:$T$152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Scenarios!$I$155:$T$155</c:f>
              <c:numCache>
                <c:formatCode>_(#,##0.0_);\(#,##0.0\);_("-"_);_)@_)</c:formatCode>
                <c:ptCount val="12"/>
                <c:pt idx="0">
                  <c:v>2516.747068387097</c:v>
                </c:pt>
                <c:pt idx="1">
                  <c:v>4765.64879406</c:v>
                </c:pt>
                <c:pt idx="2">
                  <c:v>5004.5892145806456</c:v>
                </c:pt>
                <c:pt idx="3">
                  <c:v>6187.2169190000004</c:v>
                </c:pt>
                <c:pt idx="4">
                  <c:v>2291.3369430193543</c:v>
                </c:pt>
                <c:pt idx="5">
                  <c:v>4751.4634527419357</c:v>
                </c:pt>
                <c:pt idx="6">
                  <c:v>5709.6664047999993</c:v>
                </c:pt>
                <c:pt idx="7">
                  <c:v>5732.4493894387106</c:v>
                </c:pt>
                <c:pt idx="8">
                  <c:v>4505.5781054399995</c:v>
                </c:pt>
                <c:pt idx="9">
                  <c:v>5380.5494502645161</c:v>
                </c:pt>
                <c:pt idx="10">
                  <c:v>5440.1336600000004</c:v>
                </c:pt>
                <c:pt idx="11">
                  <c:v>4921.3439503999998</c:v>
                </c:pt>
              </c:numCache>
            </c:numRef>
          </c:val>
          <c:smooth val="0"/>
          <c:extLst>
            <c:ext xmlns:c16="http://schemas.microsoft.com/office/drawing/2014/chart" uri="{C3380CC4-5D6E-409C-BE32-E72D297353CC}">
              <c16:uniqueId val="{00000002-2522-4F16-BF06-814A3111FFED}"/>
            </c:ext>
          </c:extLst>
        </c:ser>
        <c:dLbls>
          <c:showLegendKey val="0"/>
          <c:showVal val="0"/>
          <c:showCatName val="0"/>
          <c:showSerName val="0"/>
          <c:showPercent val="0"/>
          <c:showBubbleSize val="0"/>
        </c:dLbls>
        <c:smooth val="0"/>
        <c:axId val="403413967"/>
        <c:axId val="2102975487"/>
      </c:lineChart>
      <c:catAx>
        <c:axId val="403413967"/>
        <c:scaling>
          <c:orientation val="minMax"/>
        </c:scaling>
        <c:delete val="0"/>
        <c:axPos val="b"/>
        <c:numFmt formatCode="General" sourceLinked="1"/>
        <c:majorTickMark val="out"/>
        <c:minorTickMark val="none"/>
        <c:tickLblPos val="nextTo"/>
        <c:crossAx val="2102975487"/>
        <c:crosses val="autoZero"/>
        <c:auto val="1"/>
        <c:lblAlgn val="ctr"/>
        <c:lblOffset val="100"/>
        <c:noMultiLvlLbl val="0"/>
      </c:catAx>
      <c:valAx>
        <c:axId val="2102975487"/>
        <c:scaling>
          <c:orientation val="minMax"/>
        </c:scaling>
        <c:delete val="0"/>
        <c:axPos val="l"/>
        <c:majorGridlines>
          <c:spPr>
            <a:ln>
              <a:solidFill>
                <a:schemeClr val="bg2"/>
              </a:solidFill>
            </a:ln>
          </c:spPr>
        </c:majorGridlines>
        <c:numFmt formatCode="#,##0" sourceLinked="0"/>
        <c:majorTickMark val="out"/>
        <c:minorTickMark val="none"/>
        <c:tickLblPos val="nextTo"/>
        <c:crossAx val="403413967"/>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Scenarios!$B$188</c:f>
              <c:strCache>
                <c:ptCount val="1"/>
                <c:pt idx="0">
                  <c:v>Base Case</c:v>
                </c:pt>
              </c:strCache>
            </c:strRef>
          </c:tx>
          <c:marker>
            <c:symbol val="none"/>
          </c:marker>
          <c:cat>
            <c:strRef>
              <c:f>Scenarios!$I$185:$T$185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Scenarios!$I$188:$T$188</c:f>
              <c:numCache>
                <c:formatCode>_(#,##0.0_);\(#,##0.0\);_("-"_);_)@_)</c:formatCode>
                <c:ptCount val="12"/>
                <c:pt idx="0">
                  <c:v>-7112.4718497491049</c:v>
                </c:pt>
                <c:pt idx="1">
                  <c:v>-7882.7240998844463</c:v>
                </c:pt>
                <c:pt idx="2">
                  <c:v>-7729.4652597562726</c:v>
                </c:pt>
                <c:pt idx="3">
                  <c:v>-6692.5382937777777</c:v>
                </c:pt>
                <c:pt idx="4">
                  <c:v>-10364.783474070253</c:v>
                </c:pt>
                <c:pt idx="5">
                  <c:v>-8154.5365987240157</c:v>
                </c:pt>
                <c:pt idx="6">
                  <c:v>-8420.2483729777778</c:v>
                </c:pt>
                <c:pt idx="7">
                  <c:v>-8452.8934254250908</c:v>
                </c:pt>
                <c:pt idx="8">
                  <c:v>-9644.7014192711104</c:v>
                </c:pt>
                <c:pt idx="9">
                  <c:v>-8971.7403971584245</c:v>
                </c:pt>
                <c:pt idx="10">
                  <c:v>-8788.8003644444452</c:v>
                </c:pt>
                <c:pt idx="11">
                  <c:v>-9447.6693323240142</c:v>
                </c:pt>
              </c:numCache>
            </c:numRef>
          </c:val>
          <c:smooth val="0"/>
          <c:extLst>
            <c:ext xmlns:c16="http://schemas.microsoft.com/office/drawing/2014/chart" uri="{C3380CC4-5D6E-409C-BE32-E72D297353CC}">
              <c16:uniqueId val="{00000000-34D0-40DB-BD56-B050CED0417C}"/>
            </c:ext>
          </c:extLst>
        </c:ser>
        <c:ser>
          <c:idx val="1"/>
          <c:order val="1"/>
          <c:tx>
            <c:strRef>
              <c:f>Scenarios!$B$189</c:f>
              <c:strCache>
                <c:ptCount val="1"/>
                <c:pt idx="0">
                  <c:v>Slower Growth</c:v>
                </c:pt>
              </c:strCache>
            </c:strRef>
          </c:tx>
          <c:marker>
            <c:symbol val="none"/>
          </c:marker>
          <c:cat>
            <c:strRef>
              <c:f>Scenarios!$I$185:$T$185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Scenarios!$I$189:$T$189</c:f>
              <c:numCache>
                <c:formatCode>_(#,##0.0_);\(#,##0.0\);_("-"_);_)@_)</c:formatCode>
                <c:ptCount val="12"/>
                <c:pt idx="0">
                  <c:v>-7112.4718497491049</c:v>
                </c:pt>
                <c:pt idx="1">
                  <c:v>-8002.1820624311113</c:v>
                </c:pt>
                <c:pt idx="2">
                  <c:v>-7924.7265884444441</c:v>
                </c:pt>
                <c:pt idx="3">
                  <c:v>-7003.3128157777792</c:v>
                </c:pt>
                <c:pt idx="4">
                  <c:v>-10535.795786053048</c:v>
                </c:pt>
                <c:pt idx="5">
                  <c:v>-8515.2438257992835</c:v>
                </c:pt>
                <c:pt idx="6">
                  <c:v>-8866.2083233777776</c:v>
                </c:pt>
                <c:pt idx="7">
                  <c:v>-8949.9727560530482</c:v>
                </c:pt>
                <c:pt idx="8">
                  <c:v>-10076.444983324443</c:v>
                </c:pt>
                <c:pt idx="9">
                  <c:v>-9528.3247103068097</c:v>
                </c:pt>
                <c:pt idx="10">
                  <c:v>-9378.4387911111116</c:v>
                </c:pt>
                <c:pt idx="11">
                  <c:v>-10023.622416470253</c:v>
                </c:pt>
              </c:numCache>
            </c:numRef>
          </c:val>
          <c:smooth val="0"/>
          <c:extLst>
            <c:ext xmlns:c16="http://schemas.microsoft.com/office/drawing/2014/chart" uri="{C3380CC4-5D6E-409C-BE32-E72D297353CC}">
              <c16:uniqueId val="{00000001-34D0-40DB-BD56-B050CED0417C}"/>
            </c:ext>
          </c:extLst>
        </c:ser>
        <c:ser>
          <c:idx val="2"/>
          <c:order val="2"/>
          <c:tx>
            <c:strRef>
              <c:f>Scenarios!$B$190</c:f>
              <c:strCache>
                <c:ptCount val="1"/>
                <c:pt idx="0">
                  <c:v>Faster Growth</c:v>
                </c:pt>
              </c:strCache>
            </c:strRef>
          </c:tx>
          <c:marker>
            <c:symbol val="none"/>
          </c:marker>
          <c:cat>
            <c:strRef>
              <c:f>Scenarios!$I$185:$T$185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Scenarios!$I$190:$T$190</c:f>
              <c:numCache>
                <c:formatCode>_(#,##0.0_);\(#,##0.0\);_("-"_);_)@_)</c:formatCode>
                <c:ptCount val="12"/>
                <c:pt idx="0">
                  <c:v>-7112.4718497491049</c:v>
                </c:pt>
                <c:pt idx="1">
                  <c:v>-7763.2661373377787</c:v>
                </c:pt>
                <c:pt idx="2">
                  <c:v>-7534.2039310681002</c:v>
                </c:pt>
                <c:pt idx="3">
                  <c:v>-6381.7637717777779</c:v>
                </c:pt>
                <c:pt idx="4">
                  <c:v>-10193.771162087456</c:v>
                </c:pt>
                <c:pt idx="5">
                  <c:v>-7793.829371648746</c:v>
                </c:pt>
                <c:pt idx="6">
                  <c:v>-7974.2884225777789</c:v>
                </c:pt>
                <c:pt idx="7">
                  <c:v>-7955.8140947971324</c:v>
                </c:pt>
                <c:pt idx="8">
                  <c:v>-9212.9578552177773</c:v>
                </c:pt>
                <c:pt idx="9">
                  <c:v>-8415.1560840100356</c:v>
                </c:pt>
                <c:pt idx="10">
                  <c:v>-8199.1619377777788</c:v>
                </c:pt>
                <c:pt idx="11">
                  <c:v>-8871.7162481777777</c:v>
                </c:pt>
              </c:numCache>
            </c:numRef>
          </c:val>
          <c:smooth val="0"/>
          <c:extLst>
            <c:ext xmlns:c16="http://schemas.microsoft.com/office/drawing/2014/chart" uri="{C3380CC4-5D6E-409C-BE32-E72D297353CC}">
              <c16:uniqueId val="{00000002-34D0-40DB-BD56-B050CED0417C}"/>
            </c:ext>
          </c:extLst>
        </c:ser>
        <c:dLbls>
          <c:showLegendKey val="0"/>
          <c:showVal val="0"/>
          <c:showCatName val="0"/>
          <c:showSerName val="0"/>
          <c:showPercent val="0"/>
          <c:showBubbleSize val="0"/>
        </c:dLbls>
        <c:smooth val="0"/>
        <c:axId val="946986415"/>
        <c:axId val="61112944"/>
      </c:lineChart>
      <c:catAx>
        <c:axId val="946986415"/>
        <c:scaling>
          <c:orientation val="minMax"/>
        </c:scaling>
        <c:delete val="0"/>
        <c:axPos val="b"/>
        <c:numFmt formatCode="General" sourceLinked="1"/>
        <c:majorTickMark val="out"/>
        <c:minorTickMark val="none"/>
        <c:tickLblPos val="nextTo"/>
        <c:crossAx val="61112944"/>
        <c:crosses val="autoZero"/>
        <c:auto val="1"/>
        <c:lblAlgn val="ctr"/>
        <c:lblOffset val="100"/>
        <c:noMultiLvlLbl val="0"/>
      </c:catAx>
      <c:valAx>
        <c:axId val="61112944"/>
        <c:scaling>
          <c:orientation val="minMax"/>
        </c:scaling>
        <c:delete val="0"/>
        <c:axPos val="l"/>
        <c:majorGridlines>
          <c:spPr>
            <a:ln>
              <a:solidFill>
                <a:schemeClr val="bg2"/>
              </a:solidFill>
            </a:ln>
          </c:spPr>
        </c:majorGridlines>
        <c:numFmt formatCode="#,##0" sourceLinked="0"/>
        <c:majorTickMark val="out"/>
        <c:minorTickMark val="none"/>
        <c:tickLblPos val="nextTo"/>
        <c:crossAx val="946986415"/>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Scenarios!$B$251</c:f>
              <c:strCache>
                <c:ptCount val="1"/>
                <c:pt idx="0">
                  <c:v>Base Case</c:v>
                </c:pt>
              </c:strCache>
            </c:strRef>
          </c:tx>
          <c:marker>
            <c:symbol val="none"/>
          </c:marker>
          <c:cat>
            <c:strRef>
              <c:f>Scenarios!$I$250:$T$250</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Scenarios!$I$251:$T$251</c:f>
              <c:numCache>
                <c:formatCode>_(#,##0.0_);\(#,##0.0\);_("-"_);_)@_)</c:formatCode>
                <c:ptCount val="12"/>
                <c:pt idx="0">
                  <c:v>45160.869850494637</c:v>
                </c:pt>
                <c:pt idx="1">
                  <c:v>-11801.124452086973</c:v>
                </c:pt>
                <c:pt idx="2">
                  <c:v>49225.272093748041</c:v>
                </c:pt>
                <c:pt idx="3">
                  <c:v>5643.1918542666654</c:v>
                </c:pt>
                <c:pt idx="4">
                  <c:v>-21541.310924787958</c:v>
                </c:pt>
                <c:pt idx="5">
                  <c:v>8124.0366575019361</c:v>
                </c:pt>
                <c:pt idx="6">
                  <c:v>4012.5865466769901</c:v>
                </c:pt>
                <c:pt idx="7">
                  <c:v>-20052.951431846024</c:v>
                </c:pt>
                <c:pt idx="8">
                  <c:v>6749.9205951772892</c:v>
                </c:pt>
                <c:pt idx="9">
                  <c:v>2953.1030368886022</c:v>
                </c:pt>
                <c:pt idx="10">
                  <c:v>-19850.481238537635</c:v>
                </c:pt>
                <c:pt idx="11">
                  <c:v>7102.9196392665808</c:v>
                </c:pt>
              </c:numCache>
            </c:numRef>
          </c:val>
          <c:smooth val="0"/>
          <c:extLst>
            <c:ext xmlns:c16="http://schemas.microsoft.com/office/drawing/2014/chart" uri="{C3380CC4-5D6E-409C-BE32-E72D297353CC}">
              <c16:uniqueId val="{00000000-BFDA-4A5E-A11D-9B84D609620F}"/>
            </c:ext>
          </c:extLst>
        </c:ser>
        <c:ser>
          <c:idx val="1"/>
          <c:order val="1"/>
          <c:tx>
            <c:strRef>
              <c:f>Scenarios!$B$252</c:f>
              <c:strCache>
                <c:ptCount val="1"/>
                <c:pt idx="0">
                  <c:v>Slower Growth</c:v>
                </c:pt>
              </c:strCache>
            </c:strRef>
          </c:tx>
          <c:marker>
            <c:symbol val="none"/>
          </c:marker>
          <c:cat>
            <c:strRef>
              <c:f>Scenarios!$I$250:$T$250</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Scenarios!$I$252:$T$252</c:f>
              <c:numCache>
                <c:formatCode>_(#,##0.0_);\(#,##0.0\);_("-"_);_)@_)</c:formatCode>
                <c:ptCount val="12"/>
                <c:pt idx="0">
                  <c:v>45160.869850494637</c:v>
                </c:pt>
                <c:pt idx="1">
                  <c:v>-11920.364296685639</c:v>
                </c:pt>
                <c:pt idx="2">
                  <c:v>49030.032558432293</c:v>
                </c:pt>
                <c:pt idx="3">
                  <c:v>5332.8602851333317</c:v>
                </c:pt>
                <c:pt idx="4">
                  <c:v>-21712.842399800433</c:v>
                </c:pt>
                <c:pt idx="5">
                  <c:v>7763.1881965574212</c:v>
                </c:pt>
                <c:pt idx="6">
                  <c:v>3566.7139867836577</c:v>
                </c:pt>
                <c:pt idx="7">
                  <c:v>-20550.034244090755</c:v>
                </c:pt>
                <c:pt idx="8">
                  <c:v>6317.4447631912253</c:v>
                </c:pt>
                <c:pt idx="9">
                  <c:v>2396.1384474378501</c:v>
                </c:pt>
                <c:pt idx="10">
                  <c:v>-20440.673269204301</c:v>
                </c:pt>
                <c:pt idx="11">
                  <c:v>6527.5860618629677</c:v>
                </c:pt>
              </c:numCache>
            </c:numRef>
          </c:val>
          <c:smooth val="0"/>
          <c:extLst>
            <c:ext xmlns:c16="http://schemas.microsoft.com/office/drawing/2014/chart" uri="{C3380CC4-5D6E-409C-BE32-E72D297353CC}">
              <c16:uniqueId val="{00000001-BFDA-4A5E-A11D-9B84D609620F}"/>
            </c:ext>
          </c:extLst>
        </c:ser>
        <c:ser>
          <c:idx val="2"/>
          <c:order val="2"/>
          <c:tx>
            <c:strRef>
              <c:f>Scenarios!$B$253</c:f>
              <c:strCache>
                <c:ptCount val="1"/>
                <c:pt idx="0">
                  <c:v>Faster Growth</c:v>
                </c:pt>
              </c:strCache>
            </c:strRef>
          </c:tx>
          <c:marker>
            <c:symbol val="none"/>
          </c:marker>
          <c:cat>
            <c:strRef>
              <c:f>Scenarios!$I$250:$T$250</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Scenarios!$I$253:$T$253</c:f>
              <c:numCache>
                <c:formatCode>_(#,##0.0_);\(#,##0.0\);_("-"_);_)@_)</c:formatCode>
                <c:ptCount val="12"/>
                <c:pt idx="0">
                  <c:v>45160.869850494637</c:v>
                </c:pt>
                <c:pt idx="1">
                  <c:v>-11681.884607488304</c:v>
                </c:pt>
                <c:pt idx="2">
                  <c:v>49420.511629063782</c:v>
                </c:pt>
                <c:pt idx="3">
                  <c:v>5953.5234234</c:v>
                </c:pt>
                <c:pt idx="4">
                  <c:v>-21369.779449775488</c:v>
                </c:pt>
                <c:pt idx="5">
                  <c:v>8484.8851184464547</c:v>
                </c:pt>
                <c:pt idx="6">
                  <c:v>4458.4591065703207</c:v>
                </c:pt>
                <c:pt idx="7">
                  <c:v>-19555.868619601293</c:v>
                </c:pt>
                <c:pt idx="8">
                  <c:v>7182.3964271633558</c:v>
                </c:pt>
                <c:pt idx="9">
                  <c:v>3510.0676263393552</c:v>
                </c:pt>
                <c:pt idx="10">
                  <c:v>-19260.28920787097</c:v>
                </c:pt>
                <c:pt idx="11">
                  <c:v>7678.2532166701931</c:v>
                </c:pt>
              </c:numCache>
            </c:numRef>
          </c:val>
          <c:smooth val="0"/>
          <c:extLst>
            <c:ext xmlns:c16="http://schemas.microsoft.com/office/drawing/2014/chart" uri="{C3380CC4-5D6E-409C-BE32-E72D297353CC}">
              <c16:uniqueId val="{00000002-BFDA-4A5E-A11D-9B84D609620F}"/>
            </c:ext>
          </c:extLst>
        </c:ser>
        <c:dLbls>
          <c:showLegendKey val="0"/>
          <c:showVal val="0"/>
          <c:showCatName val="0"/>
          <c:showSerName val="0"/>
          <c:showPercent val="0"/>
          <c:showBubbleSize val="0"/>
        </c:dLbls>
        <c:smooth val="0"/>
        <c:axId val="2106264191"/>
        <c:axId val="92235311"/>
      </c:lineChart>
      <c:catAx>
        <c:axId val="2106264191"/>
        <c:scaling>
          <c:orientation val="minMax"/>
        </c:scaling>
        <c:delete val="0"/>
        <c:axPos val="b"/>
        <c:numFmt formatCode="General" sourceLinked="1"/>
        <c:majorTickMark val="out"/>
        <c:minorTickMark val="none"/>
        <c:tickLblPos val="nextTo"/>
        <c:crossAx val="92235311"/>
        <c:crosses val="autoZero"/>
        <c:auto val="1"/>
        <c:lblAlgn val="ctr"/>
        <c:lblOffset val="100"/>
        <c:noMultiLvlLbl val="0"/>
      </c:catAx>
      <c:valAx>
        <c:axId val="92235311"/>
        <c:scaling>
          <c:orientation val="minMax"/>
        </c:scaling>
        <c:delete val="0"/>
        <c:axPos val="l"/>
        <c:majorGridlines>
          <c:spPr>
            <a:ln>
              <a:solidFill>
                <a:schemeClr val="bg2"/>
              </a:solidFill>
            </a:ln>
          </c:spPr>
        </c:majorGridlines>
        <c:numFmt formatCode="#,##0" sourceLinked="0"/>
        <c:majorTickMark val="out"/>
        <c:minorTickMark val="none"/>
        <c:tickLblPos val="nextTo"/>
        <c:crossAx val="2106264191"/>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Scenarios!$B$223</c:f>
              <c:strCache>
                <c:ptCount val="1"/>
                <c:pt idx="0">
                  <c:v>Base Case</c:v>
                </c:pt>
              </c:strCache>
            </c:strRef>
          </c:tx>
          <c:marker>
            <c:symbol val="none"/>
          </c:marker>
          <c:cat>
            <c:strRef>
              <c:f>Scenarios!$I$222:$T$222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Scenarios!$I$223:$T$223</c:f>
              <c:numCache>
                <c:formatCode>_(#,##0.0_);\(#,##0.0\);_("-"_);_)@_)</c:formatCode>
                <c:ptCount val="12"/>
                <c:pt idx="0">
                  <c:v>290.5281502509024</c:v>
                </c:pt>
                <c:pt idx="1">
                  <c:v>-7592.1959496335767</c:v>
                </c:pt>
                <c:pt idx="2">
                  <c:v>-15321.6612093898</c:v>
                </c:pt>
                <c:pt idx="3">
                  <c:v>-22014.199503167649</c:v>
                </c:pt>
                <c:pt idx="4">
                  <c:v>-32378.982977237843</c:v>
                </c:pt>
                <c:pt idx="5">
                  <c:v>-40533.519575961865</c:v>
                </c:pt>
                <c:pt idx="6">
                  <c:v>-48953.767948939698</c:v>
                </c:pt>
                <c:pt idx="7">
                  <c:v>-57406.661374364747</c:v>
                </c:pt>
                <c:pt idx="8">
                  <c:v>-67051.362793635897</c:v>
                </c:pt>
                <c:pt idx="9">
                  <c:v>-76023.103190794296</c:v>
                </c:pt>
                <c:pt idx="10">
                  <c:v>-84811.903555238765</c:v>
                </c:pt>
                <c:pt idx="11">
                  <c:v>-94259.572887562797</c:v>
                </c:pt>
              </c:numCache>
            </c:numRef>
          </c:val>
          <c:smooth val="0"/>
          <c:extLst>
            <c:ext xmlns:c16="http://schemas.microsoft.com/office/drawing/2014/chart" uri="{C3380CC4-5D6E-409C-BE32-E72D297353CC}">
              <c16:uniqueId val="{00000000-9ABC-4D3A-B83B-E3137ACF6778}"/>
            </c:ext>
          </c:extLst>
        </c:ser>
        <c:ser>
          <c:idx val="1"/>
          <c:order val="1"/>
          <c:tx>
            <c:strRef>
              <c:f>Scenarios!$B$224</c:f>
              <c:strCache>
                <c:ptCount val="1"/>
                <c:pt idx="0">
                  <c:v>Slower Growth</c:v>
                </c:pt>
              </c:strCache>
            </c:strRef>
          </c:tx>
          <c:marker>
            <c:symbol val="none"/>
          </c:marker>
          <c:cat>
            <c:strRef>
              <c:f>Scenarios!$I$222:$T$222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Scenarios!$I$224:$T$224</c:f>
              <c:numCache>
                <c:formatCode>_(#,##0.0_);\(#,##0.0\);_("-"_);_)@_)</c:formatCode>
                <c:ptCount val="12"/>
                <c:pt idx="0">
                  <c:v>290.5281502509024</c:v>
                </c:pt>
                <c:pt idx="1">
                  <c:v>-7711.6539121802198</c:v>
                </c:pt>
                <c:pt idx="2">
                  <c:v>-15636.380500624655</c:v>
                </c:pt>
                <c:pt idx="3">
                  <c:v>-22639.693316402438</c:v>
                </c:pt>
                <c:pt idx="4">
                  <c:v>-33175.489102455555</c:v>
                </c:pt>
                <c:pt idx="5">
                  <c:v>-41690.732928254816</c:v>
                </c:pt>
                <c:pt idx="6">
                  <c:v>-50556.941251632583</c:v>
                </c:pt>
                <c:pt idx="7">
                  <c:v>-59506.914007685671</c:v>
                </c:pt>
                <c:pt idx="8">
                  <c:v>-69583.358991010115</c:v>
                </c:pt>
                <c:pt idx="9">
                  <c:v>-79111.683701316884</c:v>
                </c:pt>
                <c:pt idx="10">
                  <c:v>-88490.122492428054</c:v>
                </c:pt>
                <c:pt idx="11">
                  <c:v>-98513.744908898283</c:v>
                </c:pt>
              </c:numCache>
            </c:numRef>
          </c:val>
          <c:smooth val="0"/>
          <c:extLst>
            <c:ext xmlns:c16="http://schemas.microsoft.com/office/drawing/2014/chart" uri="{C3380CC4-5D6E-409C-BE32-E72D297353CC}">
              <c16:uniqueId val="{00000001-9ABC-4D3A-B83B-E3137ACF6778}"/>
            </c:ext>
          </c:extLst>
        </c:ser>
        <c:ser>
          <c:idx val="2"/>
          <c:order val="2"/>
          <c:tx>
            <c:strRef>
              <c:f>Scenarios!$B$225</c:f>
              <c:strCache>
                <c:ptCount val="1"/>
                <c:pt idx="0">
                  <c:v>Faster Growth</c:v>
                </c:pt>
              </c:strCache>
            </c:strRef>
          </c:tx>
          <c:marker>
            <c:symbol val="none"/>
          </c:marker>
          <c:cat>
            <c:strRef>
              <c:f>Scenarios!$I$222:$T$222</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Scenarios!$I$225:$T$225</c:f>
              <c:numCache>
                <c:formatCode>_(#,##0.0_);\(#,##0.0\);_("-"_);_)@_)</c:formatCode>
                <c:ptCount val="12"/>
                <c:pt idx="0">
                  <c:v>290.5281502509024</c:v>
                </c:pt>
                <c:pt idx="1">
                  <c:v>-7472.7379870869045</c:v>
                </c:pt>
                <c:pt idx="2">
                  <c:v>-15006.941918154946</c:v>
                </c:pt>
                <c:pt idx="3">
                  <c:v>-21388.705689932802</c:v>
                </c:pt>
                <c:pt idx="4">
                  <c:v>-31582.476852020307</c:v>
                </c:pt>
                <c:pt idx="5">
                  <c:v>-39376.306223668973</c:v>
                </c:pt>
                <c:pt idx="6">
                  <c:v>-47350.594646246813</c:v>
                </c:pt>
                <c:pt idx="7">
                  <c:v>-55306.408741043939</c:v>
                </c:pt>
                <c:pt idx="8">
                  <c:v>-64519.366596261738</c:v>
                </c:pt>
                <c:pt idx="9">
                  <c:v>-72934.522680271737</c:v>
                </c:pt>
                <c:pt idx="10">
                  <c:v>-81133.684618049534</c:v>
                </c:pt>
                <c:pt idx="11">
                  <c:v>-90005.400866227341</c:v>
                </c:pt>
              </c:numCache>
            </c:numRef>
          </c:val>
          <c:smooth val="0"/>
          <c:extLst>
            <c:ext xmlns:c16="http://schemas.microsoft.com/office/drawing/2014/chart" uri="{C3380CC4-5D6E-409C-BE32-E72D297353CC}">
              <c16:uniqueId val="{00000002-9ABC-4D3A-B83B-E3137ACF6778}"/>
            </c:ext>
          </c:extLst>
        </c:ser>
        <c:dLbls>
          <c:showLegendKey val="0"/>
          <c:showVal val="0"/>
          <c:showCatName val="0"/>
          <c:showSerName val="0"/>
          <c:showPercent val="0"/>
          <c:showBubbleSize val="0"/>
        </c:dLbls>
        <c:smooth val="0"/>
        <c:axId val="946968815"/>
        <c:axId val="61111280"/>
      </c:lineChart>
      <c:catAx>
        <c:axId val="946968815"/>
        <c:scaling>
          <c:orientation val="minMax"/>
        </c:scaling>
        <c:delete val="0"/>
        <c:axPos val="b"/>
        <c:numFmt formatCode="General" sourceLinked="1"/>
        <c:majorTickMark val="out"/>
        <c:minorTickMark val="none"/>
        <c:tickLblPos val="nextTo"/>
        <c:crossAx val="61111280"/>
        <c:crosses val="autoZero"/>
        <c:auto val="1"/>
        <c:lblAlgn val="ctr"/>
        <c:lblOffset val="100"/>
        <c:noMultiLvlLbl val="0"/>
      </c:catAx>
      <c:valAx>
        <c:axId val="61111280"/>
        <c:scaling>
          <c:orientation val="minMax"/>
        </c:scaling>
        <c:delete val="0"/>
        <c:axPos val="l"/>
        <c:majorGridlines>
          <c:spPr>
            <a:ln>
              <a:solidFill>
                <a:schemeClr val="bg2"/>
              </a:solidFill>
            </a:ln>
          </c:spPr>
        </c:majorGridlines>
        <c:numFmt formatCode="#,##0" sourceLinked="0"/>
        <c:majorTickMark val="out"/>
        <c:minorTickMark val="none"/>
        <c:tickLblPos val="nextTo"/>
        <c:crossAx val="946968815"/>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574016463200956E-2"/>
          <c:y val="0.31203101884991646"/>
          <c:w val="0.92564354523804415"/>
          <c:h val="0.41652732044858037"/>
        </c:manualLayout>
      </c:layout>
      <c:barChart>
        <c:barDir val="col"/>
        <c:grouping val="clustered"/>
        <c:varyColors val="0"/>
        <c:ser>
          <c:idx val="0"/>
          <c:order val="0"/>
          <c:tx>
            <c:strRef>
              <c:f>Summary!$B$76</c:f>
              <c:strCache>
                <c:ptCount val="1"/>
                <c:pt idx="0">
                  <c:v>Operating Cash Flows</c:v>
                </c:pt>
              </c:strCache>
            </c:strRef>
          </c:tx>
          <c:spPr>
            <a:solidFill>
              <a:schemeClr val="accent1"/>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Summary!$E$76:$P$76</c:f>
              <c:numCache>
                <c:formatCode>_(#,##0_);\(#,##0\);_("-"_);_)@_)</c:formatCode>
                <c:ptCount val="12"/>
                <c:pt idx="0">
                  <c:v>-44839.13014950537</c:v>
                </c:pt>
                <c:pt idx="1">
                  <c:v>-11801.124452086973</c:v>
                </c:pt>
                <c:pt idx="2">
                  <c:v>49225.272093748041</c:v>
                </c:pt>
                <c:pt idx="3">
                  <c:v>5643.1918542666654</c:v>
                </c:pt>
                <c:pt idx="4">
                  <c:v>-21541.310924787958</c:v>
                </c:pt>
                <c:pt idx="5">
                  <c:v>8124.0366575019361</c:v>
                </c:pt>
                <c:pt idx="6">
                  <c:v>4012.5865466769901</c:v>
                </c:pt>
                <c:pt idx="7">
                  <c:v>-20052.951431846024</c:v>
                </c:pt>
                <c:pt idx="8">
                  <c:v>6749.9205951772892</c:v>
                </c:pt>
                <c:pt idx="9">
                  <c:v>2953.1030368886022</c:v>
                </c:pt>
                <c:pt idx="10">
                  <c:v>-19850.481238537635</c:v>
                </c:pt>
                <c:pt idx="11">
                  <c:v>7102.9196392665808</c:v>
                </c:pt>
              </c:numCache>
            </c:numRef>
          </c:val>
          <c:extLst>
            <c:ext xmlns:c16="http://schemas.microsoft.com/office/drawing/2014/chart" uri="{C3380CC4-5D6E-409C-BE32-E72D297353CC}">
              <c16:uniqueId val="{00000000-78EC-4976-A916-9C5DDDE747C1}"/>
            </c:ext>
          </c:extLst>
        </c:ser>
        <c:ser>
          <c:idx val="1"/>
          <c:order val="1"/>
          <c:tx>
            <c:strRef>
              <c:f>Summary!$B$79</c:f>
              <c:strCache>
                <c:ptCount val="1"/>
                <c:pt idx="0">
                  <c:v>Investing Cash Flows</c:v>
                </c:pt>
              </c:strCache>
            </c:strRef>
          </c:tx>
          <c:spPr>
            <a:solidFill>
              <a:schemeClr val="accent2"/>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Summary!$E$79:$P$79</c:f>
              <c:numCache>
                <c:formatCode>_(#,##0_);\(#,##0\);_("-"_);_)@_)</c:formatCode>
                <c:ptCount val="12"/>
                <c:pt idx="0">
                  <c:v>-210000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8EC-4976-A916-9C5DDDE747C1}"/>
            </c:ext>
          </c:extLst>
        </c:ser>
        <c:ser>
          <c:idx val="2"/>
          <c:order val="2"/>
          <c:tx>
            <c:strRef>
              <c:f>Summary!$B$86</c:f>
              <c:strCache>
                <c:ptCount val="1"/>
                <c:pt idx="0">
                  <c:v>Financing Cash Flows</c:v>
                </c:pt>
              </c:strCache>
            </c:strRef>
          </c:tx>
          <c:spPr>
            <a:solidFill>
              <a:schemeClr val="accent3"/>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Summary!$E$86:$P$86</c:f>
              <c:numCache>
                <c:formatCode>_(#,##0_);\(#,##0\);_("-"_);_)@_)</c:formatCode>
                <c:ptCount val="12"/>
                <c:pt idx="0">
                  <c:v>300000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8EC-4976-A916-9C5DDDE747C1}"/>
            </c:ext>
          </c:extLst>
        </c:ser>
        <c:dLbls>
          <c:showLegendKey val="0"/>
          <c:showVal val="0"/>
          <c:showCatName val="0"/>
          <c:showSerName val="0"/>
          <c:showPercent val="0"/>
          <c:showBubbleSize val="0"/>
        </c:dLbls>
        <c:gapWidth val="150"/>
        <c:axId val="464884096"/>
        <c:axId val="464885632"/>
      </c:barChart>
      <c:lineChart>
        <c:grouping val="standard"/>
        <c:varyColors val="0"/>
        <c:ser>
          <c:idx val="3"/>
          <c:order val="3"/>
          <c:tx>
            <c:strRef>
              <c:f>Summary!$B$87</c:f>
              <c:strCache>
                <c:ptCount val="1"/>
                <c:pt idx="0">
                  <c:v>Change in Cash Held</c:v>
                </c:pt>
              </c:strCache>
            </c:strRef>
          </c:tx>
          <c:spPr>
            <a:ln w="19050" cap="rnd" cmpd="sng" algn="ctr">
              <a:solidFill>
                <a:schemeClr val="accent4">
                  <a:shade val="95000"/>
                  <a:satMod val="105000"/>
                </a:schemeClr>
              </a:solidFill>
              <a:prstDash val="solid"/>
              <a:round/>
            </a:ln>
            <a:effectLst/>
          </c:spPr>
          <c:marker>
            <c:symbol val="none"/>
          </c:marker>
          <c:cat>
            <c:strRef>
              <c:f>Summary!$E$8:$P$8</c:f>
              <c:strCache>
                <c:ptCount val="12"/>
                <c:pt idx="0">
                  <c:v>Aug-23 </c:v>
                </c:pt>
                <c:pt idx="1">
                  <c:v>Sep-23 </c:v>
                </c:pt>
                <c:pt idx="2">
                  <c:v>Oct-23 </c:v>
                </c:pt>
                <c:pt idx="3">
                  <c:v>Nov-23 </c:v>
                </c:pt>
                <c:pt idx="4">
                  <c:v>Dec-23 </c:v>
                </c:pt>
                <c:pt idx="5">
                  <c:v>Jan-24 </c:v>
                </c:pt>
                <c:pt idx="6">
                  <c:v>Feb-24 </c:v>
                </c:pt>
                <c:pt idx="7">
                  <c:v>Mar-24 </c:v>
                </c:pt>
                <c:pt idx="8">
                  <c:v>Apr-24 </c:v>
                </c:pt>
                <c:pt idx="9">
                  <c:v>May-24 </c:v>
                </c:pt>
                <c:pt idx="10">
                  <c:v>Jun-24 </c:v>
                </c:pt>
                <c:pt idx="11">
                  <c:v>Jul-24 </c:v>
                </c:pt>
              </c:strCache>
            </c:strRef>
          </c:cat>
          <c:val>
            <c:numRef>
              <c:f>Summary!$E$87:$P$87</c:f>
              <c:numCache>
                <c:formatCode>_(#,##0_);\(#,##0\);_("-"_);_)@_)</c:formatCode>
                <c:ptCount val="12"/>
                <c:pt idx="0">
                  <c:v>45160.869850494637</c:v>
                </c:pt>
                <c:pt idx="1">
                  <c:v>-11801.124452086973</c:v>
                </c:pt>
                <c:pt idx="2">
                  <c:v>49225.272093748041</c:v>
                </c:pt>
                <c:pt idx="3">
                  <c:v>5643.1918542666654</c:v>
                </c:pt>
                <c:pt idx="4">
                  <c:v>-21541.310924787958</c:v>
                </c:pt>
                <c:pt idx="5">
                  <c:v>8124.0366575019361</c:v>
                </c:pt>
                <c:pt idx="6">
                  <c:v>4012.5865466769901</c:v>
                </c:pt>
                <c:pt idx="7">
                  <c:v>-20052.951431846024</c:v>
                </c:pt>
                <c:pt idx="8">
                  <c:v>6749.9205951772892</c:v>
                </c:pt>
                <c:pt idx="9">
                  <c:v>2953.1030368886022</c:v>
                </c:pt>
                <c:pt idx="10">
                  <c:v>-19850.481238537635</c:v>
                </c:pt>
                <c:pt idx="11">
                  <c:v>7102.9196392665808</c:v>
                </c:pt>
              </c:numCache>
            </c:numRef>
          </c:val>
          <c:smooth val="0"/>
          <c:extLst>
            <c:ext xmlns:c16="http://schemas.microsoft.com/office/drawing/2014/chart" uri="{C3380CC4-5D6E-409C-BE32-E72D297353CC}">
              <c16:uniqueId val="{00000003-78EC-4976-A916-9C5DDDE747C1}"/>
            </c:ext>
          </c:extLst>
        </c:ser>
        <c:dLbls>
          <c:showLegendKey val="0"/>
          <c:showVal val="0"/>
          <c:showCatName val="0"/>
          <c:showSerName val="0"/>
          <c:showPercent val="0"/>
          <c:showBubbleSize val="0"/>
        </c:dLbls>
        <c:marker val="1"/>
        <c:smooth val="0"/>
        <c:axId val="464884096"/>
        <c:axId val="464885632"/>
      </c:lineChart>
      <c:catAx>
        <c:axId val="464884096"/>
        <c:scaling>
          <c:orientation val="minMax"/>
        </c:scaling>
        <c:delete val="0"/>
        <c:axPos val="b"/>
        <c:majorGridlines>
          <c:spPr>
            <a:ln w="9525" cap="flat" cmpd="sng" algn="ctr">
              <a:solidFill>
                <a:schemeClr val="bg1">
                  <a:lumMod val="95000"/>
                </a:schemeClr>
              </a:solidFill>
              <a:prstDash val="solid"/>
              <a:round/>
            </a:ln>
            <a:effectLst/>
          </c:spPr>
        </c:majorGridlines>
        <c:numFmt formatCode="General" sourceLinked="0"/>
        <c:majorTickMark val="none"/>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4885632"/>
        <c:crosses val="autoZero"/>
        <c:auto val="1"/>
        <c:lblAlgn val="ctr"/>
        <c:lblOffset val="100"/>
        <c:noMultiLvlLbl val="0"/>
      </c:catAx>
      <c:valAx>
        <c:axId val="464885632"/>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high"/>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4884096"/>
        <c:crosses val="autoZero"/>
        <c:crossBetween val="between"/>
      </c:valAx>
      <c:spPr>
        <a:noFill/>
        <a:ln>
          <a:noFill/>
        </a:ln>
        <a:effectLst/>
      </c:spPr>
    </c:plotArea>
    <c:legend>
      <c:legendPos val="t"/>
      <c:layout>
        <c:manualLayout>
          <c:xMode val="edge"/>
          <c:yMode val="edge"/>
          <c:x val="7.4385347608115743E-2"/>
          <c:y val="8.7878787878787876E-2"/>
          <c:w val="0.81853147103206103"/>
          <c:h val="0.1830928179432116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Scenarios!$B$160</c:f>
              <c:strCache>
                <c:ptCount val="1"/>
                <c:pt idx="0">
                  <c:v>Base Case</c:v>
                </c:pt>
              </c:strCache>
            </c:strRef>
          </c:tx>
          <c:marker>
            <c:symbol val="none"/>
          </c:marker>
          <c:cat>
            <c:strRef>
              <c:f>Scenarios!$I$157:$T$157</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Scenarios!$I$160:$T$160</c:f>
              <c:numCache>
                <c:formatCode>_(#,##0.0_);\(#,##0.0\);_("-"_);_)@_)</c:formatCode>
                <c:ptCount val="12"/>
                <c:pt idx="0">
                  <c:v>6676.2466959139792</c:v>
                </c:pt>
                <c:pt idx="1">
                  <c:v>6724.7132305466675</c:v>
                </c:pt>
                <c:pt idx="2">
                  <c:v>6731.5658112688179</c:v>
                </c:pt>
                <c:pt idx="3">
                  <c:v>6757.8214820000003</c:v>
                </c:pt>
                <c:pt idx="4">
                  <c:v>6675.8428091440865</c:v>
                </c:pt>
                <c:pt idx="5">
                  <c:v>6730.402710172044</c:v>
                </c:pt>
                <c:pt idx="6">
                  <c:v>7865.8234304000007</c:v>
                </c:pt>
                <c:pt idx="7">
                  <c:v>7867.6697812086031</c:v>
                </c:pt>
                <c:pt idx="8">
                  <c:v>7898.137641653334</c:v>
                </c:pt>
                <c:pt idx="9">
                  <c:v>7971.162471341936</c:v>
                </c:pt>
                <c:pt idx="10">
                  <c:v>7812.7025066666674</c:v>
                </c:pt>
                <c:pt idx="11">
                  <c:v>7965.4837473720436</c:v>
                </c:pt>
              </c:numCache>
            </c:numRef>
          </c:val>
          <c:smooth val="0"/>
          <c:extLst>
            <c:ext xmlns:c16="http://schemas.microsoft.com/office/drawing/2014/chart" uri="{C3380CC4-5D6E-409C-BE32-E72D297353CC}">
              <c16:uniqueId val="{00000000-7E2C-462A-945C-5C4E08421B46}"/>
            </c:ext>
          </c:extLst>
        </c:ser>
        <c:ser>
          <c:idx val="1"/>
          <c:order val="1"/>
          <c:tx>
            <c:strRef>
              <c:f>Scenarios!$B$161</c:f>
              <c:strCache>
                <c:ptCount val="1"/>
                <c:pt idx="0">
                  <c:v>Slower Growth</c:v>
                </c:pt>
              </c:strCache>
            </c:strRef>
          </c:tx>
          <c:marker>
            <c:symbol val="none"/>
          </c:marker>
          <c:cat>
            <c:strRef>
              <c:f>Scenarios!$I$157:$T$157</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Scenarios!$I$161:$T$161</c:f>
              <c:numCache>
                <c:formatCode>_(#,##0.0_);\(#,##0.0\);_("-"_);_)@_)</c:formatCode>
                <c:ptCount val="12"/>
                <c:pt idx="0">
                  <c:v>6676.2466959139792</c:v>
                </c:pt>
                <c:pt idx="1">
                  <c:v>6720.7059741400008</c:v>
                </c:pt>
                <c:pt idx="2">
                  <c:v>6724.5329213333343</c:v>
                </c:pt>
                <c:pt idx="3">
                  <c:v>6746.8567176666675</c:v>
                </c:pt>
                <c:pt idx="4">
                  <c:v>6666.7719576258069</c:v>
                </c:pt>
                <c:pt idx="5">
                  <c:v>6715.7070403978496</c:v>
                </c:pt>
                <c:pt idx="6">
                  <c:v>7847.8864778666675</c:v>
                </c:pt>
                <c:pt idx="7">
                  <c:v>7847.2705226258076</c:v>
                </c:pt>
                <c:pt idx="8">
                  <c:v>7877.9337670933337</c:v>
                </c:pt>
                <c:pt idx="9">
                  <c:v>7946.8138528537638</c:v>
                </c:pt>
                <c:pt idx="10">
                  <c:v>7786.3038600000009</c:v>
                </c:pt>
                <c:pt idx="11">
                  <c:v>7938.101740610753</c:v>
                </c:pt>
              </c:numCache>
            </c:numRef>
          </c:val>
          <c:smooth val="0"/>
          <c:extLst>
            <c:ext xmlns:c16="http://schemas.microsoft.com/office/drawing/2014/chart" uri="{C3380CC4-5D6E-409C-BE32-E72D297353CC}">
              <c16:uniqueId val="{00000001-7E2C-462A-945C-5C4E08421B46}"/>
            </c:ext>
          </c:extLst>
        </c:ser>
        <c:ser>
          <c:idx val="2"/>
          <c:order val="2"/>
          <c:tx>
            <c:strRef>
              <c:f>Scenarios!$B$162</c:f>
              <c:strCache>
                <c:ptCount val="1"/>
                <c:pt idx="0">
                  <c:v>Faster Growth</c:v>
                </c:pt>
              </c:strCache>
            </c:strRef>
          </c:tx>
          <c:marker>
            <c:symbol val="none"/>
          </c:marker>
          <c:cat>
            <c:strRef>
              <c:f>Scenarios!$I$157:$T$157</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Scenarios!$I$162:$T$162</c:f>
              <c:numCache>
                <c:formatCode>_(#,##0.0_);\(#,##0.0\);_("-"_);_)@_)</c:formatCode>
                <c:ptCount val="12"/>
                <c:pt idx="0">
                  <c:v>6676.2466959139792</c:v>
                </c:pt>
                <c:pt idx="1">
                  <c:v>6728.7204869533343</c:v>
                </c:pt>
                <c:pt idx="2">
                  <c:v>6738.5987012043015</c:v>
                </c:pt>
                <c:pt idx="3">
                  <c:v>6768.786246333334</c:v>
                </c:pt>
                <c:pt idx="4">
                  <c:v>6684.9136606623661</c:v>
                </c:pt>
                <c:pt idx="5">
                  <c:v>6745.0983799462374</c:v>
                </c:pt>
                <c:pt idx="6">
                  <c:v>7883.7603829333339</c:v>
                </c:pt>
                <c:pt idx="7">
                  <c:v>7888.0690397913986</c:v>
                </c:pt>
                <c:pt idx="8">
                  <c:v>7918.3415162133333</c:v>
                </c:pt>
                <c:pt idx="9">
                  <c:v>7995.5110898301082</c:v>
                </c:pt>
                <c:pt idx="10">
                  <c:v>7839.101153333334</c:v>
                </c:pt>
                <c:pt idx="11">
                  <c:v>7992.8657541333341</c:v>
                </c:pt>
              </c:numCache>
            </c:numRef>
          </c:val>
          <c:smooth val="0"/>
          <c:extLst>
            <c:ext xmlns:c16="http://schemas.microsoft.com/office/drawing/2014/chart" uri="{C3380CC4-5D6E-409C-BE32-E72D297353CC}">
              <c16:uniqueId val="{00000002-7E2C-462A-945C-5C4E08421B46}"/>
            </c:ext>
          </c:extLst>
        </c:ser>
        <c:dLbls>
          <c:showLegendKey val="0"/>
          <c:showVal val="0"/>
          <c:showCatName val="0"/>
          <c:showSerName val="0"/>
          <c:showPercent val="0"/>
          <c:showBubbleSize val="0"/>
        </c:dLbls>
        <c:smooth val="0"/>
        <c:axId val="946986415"/>
        <c:axId val="61112944"/>
      </c:lineChart>
      <c:catAx>
        <c:axId val="946986415"/>
        <c:scaling>
          <c:orientation val="minMax"/>
        </c:scaling>
        <c:delete val="0"/>
        <c:axPos val="b"/>
        <c:numFmt formatCode="General" sourceLinked="1"/>
        <c:majorTickMark val="out"/>
        <c:minorTickMark val="none"/>
        <c:tickLblPos val="nextTo"/>
        <c:crossAx val="61112944"/>
        <c:crosses val="autoZero"/>
        <c:auto val="1"/>
        <c:lblAlgn val="ctr"/>
        <c:lblOffset val="100"/>
        <c:noMultiLvlLbl val="0"/>
      </c:catAx>
      <c:valAx>
        <c:axId val="61112944"/>
        <c:scaling>
          <c:orientation val="minMax"/>
        </c:scaling>
        <c:delete val="0"/>
        <c:axPos val="l"/>
        <c:majorGridlines>
          <c:spPr>
            <a:ln>
              <a:solidFill>
                <a:schemeClr val="bg2"/>
              </a:solidFill>
            </a:ln>
          </c:spPr>
        </c:majorGridlines>
        <c:numFmt formatCode="#,##0" sourceLinked="0"/>
        <c:majorTickMark val="out"/>
        <c:minorTickMark val="none"/>
        <c:tickLblPos val="nextTo"/>
        <c:crossAx val="946986415"/>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Scenarios!$B$148</c:f>
              <c:strCache>
                <c:ptCount val="1"/>
                <c:pt idx="0">
                  <c:v>Base Case</c:v>
                </c:pt>
              </c:strCache>
            </c:strRef>
          </c:tx>
          <c:marker>
            <c:symbol val="none"/>
          </c:marker>
          <c:cat>
            <c:strRef>
              <c:f>Scenarios!$I$145:$T$145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Scenarios!$I$148:$T$148</c:f>
              <c:numCache>
                <c:formatCode>_(#,##0.0_);\(#,##0.0\);_("-"_);_)@_)</c:formatCode>
                <c:ptCount val="12"/>
                <c:pt idx="0">
                  <c:v>854.31486709677404</c:v>
                </c:pt>
                <c:pt idx="1">
                  <c:v>818.26629822666655</c:v>
                </c:pt>
                <c:pt idx="2">
                  <c:v>855.99945565591406</c:v>
                </c:pt>
                <c:pt idx="3">
                  <c:v>872.62003400000003</c:v>
                </c:pt>
                <c:pt idx="4">
                  <c:v>786.90421187956986</c:v>
                </c:pt>
                <c:pt idx="5">
                  <c:v>888.45657313978484</c:v>
                </c:pt>
                <c:pt idx="6">
                  <c:v>828.78036479999992</c:v>
                </c:pt>
                <c:pt idx="7">
                  <c:v>829.86773955698914</c:v>
                </c:pt>
                <c:pt idx="8">
                  <c:v>848.83789317333333</c:v>
                </c:pt>
                <c:pt idx="9">
                  <c:v>894.88975449032239</c:v>
                </c:pt>
                <c:pt idx="10">
                  <c:v>794.95674666666662</c:v>
                </c:pt>
                <c:pt idx="11">
                  <c:v>891.10086953978475</c:v>
                </c:pt>
              </c:numCache>
            </c:numRef>
          </c:val>
          <c:smooth val="0"/>
          <c:extLst>
            <c:ext xmlns:c16="http://schemas.microsoft.com/office/drawing/2014/chart" uri="{C3380CC4-5D6E-409C-BE32-E72D297353CC}">
              <c16:uniqueId val="{00000000-6305-4B26-ADAB-605BE0CE63D8}"/>
            </c:ext>
          </c:extLst>
        </c:ser>
        <c:ser>
          <c:idx val="1"/>
          <c:order val="1"/>
          <c:tx>
            <c:strRef>
              <c:f>Scenarios!$B$149</c:f>
              <c:strCache>
                <c:ptCount val="1"/>
                <c:pt idx="0">
                  <c:v>Slower Growth</c:v>
                </c:pt>
              </c:strCache>
            </c:strRef>
          </c:tx>
          <c:marker>
            <c:symbol val="none"/>
          </c:marker>
          <c:cat>
            <c:strRef>
              <c:f>Scenarios!$I$145:$T$145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Scenarios!$I$149:$T$149</c:f>
              <c:numCache>
                <c:formatCode>_(#,##0.0_);\(#,##0.0\);_("-"_);_)@_)</c:formatCode>
                <c:ptCount val="12"/>
                <c:pt idx="0">
                  <c:v>854.31486709677404</c:v>
                </c:pt>
                <c:pt idx="1">
                  <c:v>816.4016805133333</c:v>
                </c:pt>
                <c:pt idx="2">
                  <c:v>852.2532226666666</c:v>
                </c:pt>
                <c:pt idx="3">
                  <c:v>866.41548699999998</c:v>
                </c:pt>
                <c:pt idx="4">
                  <c:v>781.94867000430111</c:v>
                </c:pt>
                <c:pt idx="5">
                  <c:v>879.96538934408579</c:v>
                </c:pt>
                <c:pt idx="6">
                  <c:v>818.27033440000002</c:v>
                </c:pt>
                <c:pt idx="7">
                  <c:v>817.83457500430109</c:v>
                </c:pt>
                <c:pt idx="8">
                  <c:v>836.97285178666664</c:v>
                </c:pt>
                <c:pt idx="9">
                  <c:v>880.43093666451591</c:v>
                </c:pt>
                <c:pt idx="10">
                  <c:v>779.23715333333325</c:v>
                </c:pt>
                <c:pt idx="11">
                  <c:v>874.79928947956967</c:v>
                </c:pt>
              </c:numCache>
            </c:numRef>
          </c:val>
          <c:smooth val="0"/>
          <c:extLst>
            <c:ext xmlns:c16="http://schemas.microsoft.com/office/drawing/2014/chart" uri="{C3380CC4-5D6E-409C-BE32-E72D297353CC}">
              <c16:uniqueId val="{00000001-6305-4B26-ADAB-605BE0CE63D8}"/>
            </c:ext>
          </c:extLst>
        </c:ser>
        <c:ser>
          <c:idx val="2"/>
          <c:order val="2"/>
          <c:tx>
            <c:strRef>
              <c:f>Scenarios!$B$150</c:f>
              <c:strCache>
                <c:ptCount val="1"/>
                <c:pt idx="0">
                  <c:v>Faster Growth</c:v>
                </c:pt>
              </c:strCache>
            </c:strRef>
          </c:tx>
          <c:marker>
            <c:symbol val="none"/>
          </c:marker>
          <c:cat>
            <c:strRef>
              <c:f>Scenarios!$I$145:$T$145</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Scenarios!$I$150:$T$150</c:f>
              <c:numCache>
                <c:formatCode>_(#,##0.0_);\(#,##0.0\);_("-"_);_)@_)</c:formatCode>
                <c:ptCount val="12"/>
                <c:pt idx="0">
                  <c:v>854.31486709677404</c:v>
                </c:pt>
                <c:pt idx="1">
                  <c:v>820.13091594000002</c:v>
                </c:pt>
                <c:pt idx="2">
                  <c:v>859.74568864516129</c:v>
                </c:pt>
                <c:pt idx="3">
                  <c:v>878.82458099999997</c:v>
                </c:pt>
                <c:pt idx="4">
                  <c:v>791.85975375483872</c:v>
                </c:pt>
                <c:pt idx="5">
                  <c:v>896.94775693548365</c:v>
                </c:pt>
                <c:pt idx="6">
                  <c:v>839.29039519999992</c:v>
                </c:pt>
                <c:pt idx="7">
                  <c:v>841.90090410967741</c:v>
                </c:pt>
                <c:pt idx="8">
                  <c:v>860.70293456000002</c:v>
                </c:pt>
                <c:pt idx="9">
                  <c:v>909.34857231612887</c:v>
                </c:pt>
                <c:pt idx="10">
                  <c:v>810.67633999999998</c:v>
                </c:pt>
                <c:pt idx="11">
                  <c:v>907.40244959999984</c:v>
                </c:pt>
              </c:numCache>
            </c:numRef>
          </c:val>
          <c:smooth val="0"/>
          <c:extLst>
            <c:ext xmlns:c16="http://schemas.microsoft.com/office/drawing/2014/chart" uri="{C3380CC4-5D6E-409C-BE32-E72D297353CC}">
              <c16:uniqueId val="{00000002-6305-4B26-ADAB-605BE0CE63D8}"/>
            </c:ext>
          </c:extLst>
        </c:ser>
        <c:dLbls>
          <c:showLegendKey val="0"/>
          <c:showVal val="0"/>
          <c:showCatName val="0"/>
          <c:showSerName val="0"/>
          <c:showPercent val="0"/>
          <c:showBubbleSize val="0"/>
        </c:dLbls>
        <c:smooth val="0"/>
        <c:axId val="1451660751"/>
        <c:axId val="1453174063"/>
      </c:lineChart>
      <c:catAx>
        <c:axId val="1451660751"/>
        <c:scaling>
          <c:orientation val="minMax"/>
        </c:scaling>
        <c:delete val="0"/>
        <c:axPos val="b"/>
        <c:numFmt formatCode="General" sourceLinked="1"/>
        <c:majorTickMark val="out"/>
        <c:minorTickMark val="none"/>
        <c:tickLblPos val="nextTo"/>
        <c:crossAx val="1453174063"/>
        <c:crosses val="autoZero"/>
        <c:auto val="1"/>
        <c:lblAlgn val="ctr"/>
        <c:lblOffset val="100"/>
        <c:noMultiLvlLbl val="0"/>
      </c:catAx>
      <c:valAx>
        <c:axId val="1453174063"/>
        <c:scaling>
          <c:orientation val="minMax"/>
        </c:scaling>
        <c:delete val="0"/>
        <c:axPos val="l"/>
        <c:majorGridlines>
          <c:spPr>
            <a:ln>
              <a:solidFill>
                <a:schemeClr val="bg2"/>
              </a:solidFill>
            </a:ln>
          </c:spPr>
        </c:majorGridlines>
        <c:numFmt formatCode="#,##0" sourceLinked="0"/>
        <c:majorTickMark val="out"/>
        <c:minorTickMark val="none"/>
        <c:tickLblPos val="nextTo"/>
        <c:crossAx val="1451660751"/>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Scenarios!$B$197</c:f>
              <c:strCache>
                <c:ptCount val="1"/>
                <c:pt idx="0">
                  <c:v>Base Case</c:v>
                </c:pt>
              </c:strCache>
            </c:strRef>
          </c:tx>
          <c:marker>
            <c:symbol val="none"/>
          </c:marker>
          <c:cat>
            <c:strRef>
              <c:f>Scenarios!$I$194:$T$194</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Scenarios!$I$197:$T$197</c:f>
              <c:numCache>
                <c:formatCode>_(#,##0.0_);\(#,##0.0\);_("-"_);_)@_)</c:formatCode>
                <c:ptCount val="12"/>
                <c:pt idx="0">
                  <c:v>56366.869850494637</c:v>
                </c:pt>
                <c:pt idx="1">
                  <c:v>44565.745398407664</c:v>
                </c:pt>
                <c:pt idx="2">
                  <c:v>93791.017492155705</c:v>
                </c:pt>
                <c:pt idx="3">
                  <c:v>99434.209346422373</c:v>
                </c:pt>
                <c:pt idx="4">
                  <c:v>77892.898421634411</c:v>
                </c:pt>
                <c:pt idx="5">
                  <c:v>86016.935079136339</c:v>
                </c:pt>
                <c:pt idx="6">
                  <c:v>90029.52162581333</c:v>
                </c:pt>
                <c:pt idx="7">
                  <c:v>69976.570193967302</c:v>
                </c:pt>
                <c:pt idx="8">
                  <c:v>76726.490789144591</c:v>
                </c:pt>
                <c:pt idx="9">
                  <c:v>79679.59382603319</c:v>
                </c:pt>
                <c:pt idx="10">
                  <c:v>59829.112587495554</c:v>
                </c:pt>
                <c:pt idx="11">
                  <c:v>66932.032226762138</c:v>
                </c:pt>
              </c:numCache>
            </c:numRef>
          </c:val>
          <c:smooth val="0"/>
          <c:extLst>
            <c:ext xmlns:c16="http://schemas.microsoft.com/office/drawing/2014/chart" uri="{C3380CC4-5D6E-409C-BE32-E72D297353CC}">
              <c16:uniqueId val="{00000000-E0E0-4A10-AD87-206FC03DEA75}"/>
            </c:ext>
          </c:extLst>
        </c:ser>
        <c:ser>
          <c:idx val="1"/>
          <c:order val="1"/>
          <c:tx>
            <c:strRef>
              <c:f>Scenarios!$B$198</c:f>
              <c:strCache>
                <c:ptCount val="1"/>
                <c:pt idx="0">
                  <c:v>Slower Growth</c:v>
                </c:pt>
              </c:strCache>
            </c:strRef>
          </c:tx>
          <c:marker>
            <c:symbol val="none"/>
          </c:marker>
          <c:cat>
            <c:strRef>
              <c:f>Scenarios!$I$194:$T$194</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Scenarios!$I$198:$T$198</c:f>
              <c:numCache>
                <c:formatCode>_(#,##0.0_);\(#,##0.0\);_("-"_);_)@_)</c:formatCode>
                <c:ptCount val="12"/>
                <c:pt idx="0">
                  <c:v>56366.869850494637</c:v>
                </c:pt>
                <c:pt idx="1">
                  <c:v>44446.505553808995</c:v>
                </c:pt>
                <c:pt idx="2">
                  <c:v>93476.53811224128</c:v>
                </c:pt>
                <c:pt idx="3">
                  <c:v>98809.398397374607</c:v>
                </c:pt>
                <c:pt idx="4">
                  <c:v>77096.555997574178</c:v>
                </c:pt>
                <c:pt idx="5">
                  <c:v>84859.744194131606</c:v>
                </c:pt>
                <c:pt idx="6">
                  <c:v>88426.458180915259</c:v>
                </c:pt>
                <c:pt idx="7">
                  <c:v>67876.423936824503</c:v>
                </c:pt>
                <c:pt idx="8">
                  <c:v>74193.868700015722</c:v>
                </c:pt>
                <c:pt idx="9">
                  <c:v>76590.00714745358</c:v>
                </c:pt>
                <c:pt idx="10">
                  <c:v>56149.333878249279</c:v>
                </c:pt>
                <c:pt idx="11">
                  <c:v>62676.919940112246</c:v>
                </c:pt>
              </c:numCache>
            </c:numRef>
          </c:val>
          <c:smooth val="0"/>
          <c:extLst>
            <c:ext xmlns:c16="http://schemas.microsoft.com/office/drawing/2014/chart" uri="{C3380CC4-5D6E-409C-BE32-E72D297353CC}">
              <c16:uniqueId val="{00000001-E0E0-4A10-AD87-206FC03DEA75}"/>
            </c:ext>
          </c:extLst>
        </c:ser>
        <c:ser>
          <c:idx val="2"/>
          <c:order val="2"/>
          <c:tx>
            <c:strRef>
              <c:f>Scenarios!$B$199</c:f>
              <c:strCache>
                <c:ptCount val="1"/>
                <c:pt idx="0">
                  <c:v>Faster Growth</c:v>
                </c:pt>
              </c:strCache>
            </c:strRef>
          </c:tx>
          <c:marker>
            <c:symbol val="none"/>
          </c:marker>
          <c:cat>
            <c:strRef>
              <c:f>Scenarios!$I$194:$T$194</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Scenarios!$I$199:$T$199</c:f>
              <c:numCache>
                <c:formatCode>_(#,##0.0_);\(#,##0.0\);_("-"_);_)@_)</c:formatCode>
                <c:ptCount val="12"/>
                <c:pt idx="0">
                  <c:v>56366.869850494637</c:v>
                </c:pt>
                <c:pt idx="1">
                  <c:v>44684.985243006333</c:v>
                </c:pt>
                <c:pt idx="2">
                  <c:v>94105.496872070114</c:v>
                </c:pt>
                <c:pt idx="3">
                  <c:v>100059.02029547011</c:v>
                </c:pt>
                <c:pt idx="4">
                  <c:v>78689.240845694614</c:v>
                </c:pt>
                <c:pt idx="5">
                  <c:v>87174.125964141072</c:v>
                </c:pt>
                <c:pt idx="6">
                  <c:v>91632.585070711386</c:v>
                </c:pt>
                <c:pt idx="7">
                  <c:v>72076.716451110085</c:v>
                </c:pt>
                <c:pt idx="8">
                  <c:v>79259.112878273445</c:v>
                </c:pt>
                <c:pt idx="9">
                  <c:v>82769.180504612799</c:v>
                </c:pt>
                <c:pt idx="10">
                  <c:v>63508.891296741829</c:v>
                </c:pt>
                <c:pt idx="11">
                  <c:v>71187.144513412029</c:v>
                </c:pt>
              </c:numCache>
            </c:numRef>
          </c:val>
          <c:smooth val="0"/>
          <c:extLst>
            <c:ext xmlns:c16="http://schemas.microsoft.com/office/drawing/2014/chart" uri="{C3380CC4-5D6E-409C-BE32-E72D297353CC}">
              <c16:uniqueId val="{00000002-E0E0-4A10-AD87-206FC03DEA75}"/>
            </c:ext>
          </c:extLst>
        </c:ser>
        <c:dLbls>
          <c:showLegendKey val="0"/>
          <c:showVal val="0"/>
          <c:showCatName val="0"/>
          <c:showSerName val="0"/>
          <c:showPercent val="0"/>
          <c:showBubbleSize val="0"/>
        </c:dLbls>
        <c:smooth val="0"/>
        <c:axId val="644133919"/>
        <c:axId val="2102965919"/>
      </c:lineChart>
      <c:catAx>
        <c:axId val="644133919"/>
        <c:scaling>
          <c:orientation val="minMax"/>
        </c:scaling>
        <c:delete val="0"/>
        <c:axPos val="b"/>
        <c:numFmt formatCode="General" sourceLinked="1"/>
        <c:majorTickMark val="out"/>
        <c:minorTickMark val="none"/>
        <c:tickLblPos val="nextTo"/>
        <c:crossAx val="2102965919"/>
        <c:crosses val="autoZero"/>
        <c:auto val="1"/>
        <c:lblAlgn val="ctr"/>
        <c:lblOffset val="100"/>
        <c:noMultiLvlLbl val="0"/>
      </c:catAx>
      <c:valAx>
        <c:axId val="2102965919"/>
        <c:scaling>
          <c:orientation val="minMax"/>
        </c:scaling>
        <c:delete val="0"/>
        <c:axPos val="l"/>
        <c:majorGridlines>
          <c:spPr>
            <a:ln>
              <a:solidFill>
                <a:schemeClr val="bg2"/>
              </a:solidFill>
            </a:ln>
          </c:spPr>
        </c:majorGridlines>
        <c:numFmt formatCode="#,##0" sourceLinked="0"/>
        <c:majorTickMark val="out"/>
        <c:minorTickMark val="none"/>
        <c:tickLblPos val="nextTo"/>
        <c:crossAx val="644133919"/>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0.12820512820512819"/>
          <c:w val="1"/>
          <c:h val="0.81730769230769229"/>
        </c:manualLayout>
      </c:layout>
      <c:lineChart>
        <c:grouping val="standard"/>
        <c:varyColors val="0"/>
        <c:ser>
          <c:idx val="0"/>
          <c:order val="0"/>
          <c:tx>
            <c:strRef>
              <c:f>Scenarios!$B$141</c:f>
              <c:strCache>
                <c:ptCount val="1"/>
                <c:pt idx="0">
                  <c:v>Base Case</c:v>
                </c:pt>
              </c:strCache>
            </c:strRef>
          </c:tx>
          <c:marker>
            <c:symbol val="none"/>
          </c:marker>
          <c:cat>
            <c:strRef>
              <c:f>Scenarios!$I$138:$T$138</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Scenarios!$I$141:$T$141</c:f>
              <c:numCache>
                <c:formatCode>_(#,##0.0_);\(#,##0.0\);_("-"_);_)@_)</c:formatCode>
                <c:ptCount val="12"/>
                <c:pt idx="0">
                  <c:v>3371.0619354838709</c:v>
                </c:pt>
                <c:pt idx="1">
                  <c:v>5460.4498733333321</c:v>
                </c:pt>
                <c:pt idx="2">
                  <c:v>5658.2944516129037</c:v>
                </c:pt>
                <c:pt idx="3">
                  <c:v>6738.0976666666666</c:v>
                </c:pt>
                <c:pt idx="4">
                  <c:v>2898.1579913978489</c:v>
                </c:pt>
                <c:pt idx="5">
                  <c:v>5264.5171290322578</c:v>
                </c:pt>
                <c:pt idx="6">
                  <c:v>6074.5498666666672</c:v>
                </c:pt>
                <c:pt idx="7">
                  <c:v>6044.8385397849461</c:v>
                </c:pt>
                <c:pt idx="8">
                  <c:v>4902.4685600000003</c:v>
                </c:pt>
                <c:pt idx="9">
                  <c:v>5694.5062731182788</c:v>
                </c:pt>
                <c:pt idx="10">
                  <c:v>5619.0533333333333</c:v>
                </c:pt>
                <c:pt idx="11">
                  <c:v>5209.1097290322577</c:v>
                </c:pt>
              </c:numCache>
            </c:numRef>
          </c:val>
          <c:smooth val="0"/>
          <c:extLst>
            <c:ext xmlns:c16="http://schemas.microsoft.com/office/drawing/2014/chart" uri="{C3380CC4-5D6E-409C-BE32-E72D297353CC}">
              <c16:uniqueId val="{00000000-2218-4729-AD5D-BCC48EF7B74D}"/>
            </c:ext>
          </c:extLst>
        </c:ser>
        <c:ser>
          <c:idx val="1"/>
          <c:order val="1"/>
          <c:tx>
            <c:strRef>
              <c:f>Scenarios!$B$142</c:f>
              <c:strCache>
                <c:ptCount val="1"/>
                <c:pt idx="0">
                  <c:v>Slower Growth</c:v>
                </c:pt>
              </c:strCache>
            </c:strRef>
          </c:tx>
          <c:marker>
            <c:symbol val="none"/>
          </c:marker>
          <c:cat>
            <c:strRef>
              <c:f>Scenarios!$I$138:$T$138</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Scenarios!$I$142:$T$142</c:f>
              <c:numCache>
                <c:formatCode>_(#,##0.0_);\(#,##0.0\);_("-"_);_)@_)</c:formatCode>
                <c:ptCount val="12"/>
                <c:pt idx="0">
                  <c:v>3371.0619354838709</c:v>
                </c:pt>
                <c:pt idx="1">
                  <c:v>5335.1200366666671</c:v>
                </c:pt>
                <c:pt idx="2">
                  <c:v>5452.2540000000008</c:v>
                </c:pt>
                <c:pt idx="3">
                  <c:v>6410.1538333333328</c:v>
                </c:pt>
                <c:pt idx="4">
                  <c:v>2713.1192860215046</c:v>
                </c:pt>
                <c:pt idx="5">
                  <c:v>4880.6230483870959</c:v>
                </c:pt>
                <c:pt idx="6">
                  <c:v>5600.1429333333335</c:v>
                </c:pt>
                <c:pt idx="7">
                  <c:v>5515.3267860215055</c:v>
                </c:pt>
                <c:pt idx="8">
                  <c:v>4438.6560799999997</c:v>
                </c:pt>
                <c:pt idx="9">
                  <c:v>5099.1145236559141</c:v>
                </c:pt>
                <c:pt idx="10">
                  <c:v>4987.2966666666671</c:v>
                </c:pt>
                <c:pt idx="11">
                  <c:v>4589.4730580645146</c:v>
                </c:pt>
              </c:numCache>
            </c:numRef>
          </c:val>
          <c:smooth val="0"/>
          <c:extLst>
            <c:ext xmlns:c16="http://schemas.microsoft.com/office/drawing/2014/chart" uri="{C3380CC4-5D6E-409C-BE32-E72D297353CC}">
              <c16:uniqueId val="{00000001-2218-4729-AD5D-BCC48EF7B74D}"/>
            </c:ext>
          </c:extLst>
        </c:ser>
        <c:ser>
          <c:idx val="2"/>
          <c:order val="2"/>
          <c:tx>
            <c:strRef>
              <c:f>Scenarios!$B$143</c:f>
              <c:strCache>
                <c:ptCount val="1"/>
                <c:pt idx="0">
                  <c:v>Faster Growth</c:v>
                </c:pt>
              </c:strCache>
            </c:strRef>
          </c:tx>
          <c:marker>
            <c:symbol val="none"/>
          </c:marker>
          <c:cat>
            <c:strRef>
              <c:f>Scenarios!$I$138:$T$138</c:f>
              <c:strCache>
                <c:ptCount val="12"/>
                <c:pt idx="0">
                  <c:v> Aug-23 </c:v>
                </c:pt>
                <c:pt idx="1">
                  <c:v> Sep-23 </c:v>
                </c:pt>
                <c:pt idx="2">
                  <c:v> Oct-23 </c:v>
                </c:pt>
                <c:pt idx="3">
                  <c:v> Nov-23 </c:v>
                </c:pt>
                <c:pt idx="4">
                  <c:v> Dec-23 </c:v>
                </c:pt>
                <c:pt idx="5">
                  <c:v> Jan-24 </c:v>
                </c:pt>
                <c:pt idx="6">
                  <c:v> Feb-24 </c:v>
                </c:pt>
                <c:pt idx="7">
                  <c:v> Mar-24 </c:v>
                </c:pt>
                <c:pt idx="8">
                  <c:v> Apr-24 </c:v>
                </c:pt>
                <c:pt idx="9">
                  <c:v> May-24 </c:v>
                </c:pt>
                <c:pt idx="10">
                  <c:v> Jun-24 </c:v>
                </c:pt>
                <c:pt idx="11">
                  <c:v> Jul-24 </c:v>
                </c:pt>
              </c:strCache>
            </c:strRef>
          </c:cat>
          <c:val>
            <c:numRef>
              <c:f>Scenarios!$I$143:$T$143</c:f>
              <c:numCache>
                <c:formatCode>_(#,##0.0_);\(#,##0.0\);_("-"_);_)@_)</c:formatCode>
                <c:ptCount val="12"/>
                <c:pt idx="0">
                  <c:v>3371.0619354838709</c:v>
                </c:pt>
                <c:pt idx="1">
                  <c:v>5585.7797099999998</c:v>
                </c:pt>
                <c:pt idx="2">
                  <c:v>5864.3349032258066</c:v>
                </c:pt>
                <c:pt idx="3">
                  <c:v>7066.0415000000003</c:v>
                </c:pt>
                <c:pt idx="4">
                  <c:v>3083.1966967741928</c:v>
                </c:pt>
                <c:pt idx="5">
                  <c:v>5648.4112096774197</c:v>
                </c:pt>
                <c:pt idx="6">
                  <c:v>6548.956799999999</c:v>
                </c:pt>
                <c:pt idx="7">
                  <c:v>6574.3502935483875</c:v>
                </c:pt>
                <c:pt idx="8">
                  <c:v>5366.2810399999998</c:v>
                </c:pt>
                <c:pt idx="9">
                  <c:v>6289.8980225806445</c:v>
                </c:pt>
                <c:pt idx="10">
                  <c:v>6250.81</c:v>
                </c:pt>
                <c:pt idx="11">
                  <c:v>5828.7464</c:v>
                </c:pt>
              </c:numCache>
            </c:numRef>
          </c:val>
          <c:smooth val="0"/>
          <c:extLst>
            <c:ext xmlns:c16="http://schemas.microsoft.com/office/drawing/2014/chart" uri="{C3380CC4-5D6E-409C-BE32-E72D297353CC}">
              <c16:uniqueId val="{00000002-2218-4729-AD5D-BCC48EF7B74D}"/>
            </c:ext>
          </c:extLst>
        </c:ser>
        <c:dLbls>
          <c:showLegendKey val="0"/>
          <c:showVal val="0"/>
          <c:showCatName val="0"/>
          <c:showSerName val="0"/>
          <c:showPercent val="0"/>
          <c:showBubbleSize val="0"/>
        </c:dLbls>
        <c:smooth val="0"/>
        <c:axId val="403413967"/>
        <c:axId val="2102975487"/>
      </c:lineChart>
      <c:catAx>
        <c:axId val="403413967"/>
        <c:scaling>
          <c:orientation val="minMax"/>
        </c:scaling>
        <c:delete val="0"/>
        <c:axPos val="b"/>
        <c:numFmt formatCode="General" sourceLinked="1"/>
        <c:majorTickMark val="out"/>
        <c:minorTickMark val="none"/>
        <c:tickLblPos val="nextTo"/>
        <c:crossAx val="2102975487"/>
        <c:crosses val="autoZero"/>
        <c:auto val="1"/>
        <c:lblAlgn val="ctr"/>
        <c:lblOffset val="100"/>
        <c:noMultiLvlLbl val="0"/>
      </c:catAx>
      <c:valAx>
        <c:axId val="2102975487"/>
        <c:scaling>
          <c:orientation val="minMax"/>
        </c:scaling>
        <c:delete val="0"/>
        <c:axPos val="l"/>
        <c:majorGridlines>
          <c:spPr>
            <a:ln>
              <a:solidFill>
                <a:schemeClr val="bg2"/>
              </a:solidFill>
            </a:ln>
          </c:spPr>
        </c:majorGridlines>
        <c:numFmt formatCode="#,##0" sourceLinked="0"/>
        <c:majorTickMark val="out"/>
        <c:minorTickMark val="none"/>
        <c:tickLblPos val="nextTo"/>
        <c:crossAx val="403413967"/>
        <c:crosses val="autoZero"/>
        <c:crossBetween val="midCat"/>
      </c:valAx>
      <c:spPr>
        <a:noFill/>
        <a:ln>
          <a:noFill/>
        </a:ln>
      </c:spPr>
    </c:plotArea>
    <c:legend>
      <c:legendPos val="t"/>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442154080333455E-2"/>
          <c:y val="0.2579169368534816"/>
          <c:w val="0.92634558891520669"/>
          <c:h val="0.56476733055426898"/>
        </c:manualLayout>
      </c:layout>
      <c:barChart>
        <c:barDir val="col"/>
        <c:grouping val="stacked"/>
        <c:varyColors val="0"/>
        <c:ser>
          <c:idx val="0"/>
          <c:order val="0"/>
          <c:tx>
            <c:strRef>
              <c:f>Summary!$S$9</c:f>
              <c:strCache>
                <c:ptCount val="1"/>
                <c:pt idx="0">
                  <c:v>PAYG Fencing</c:v>
                </c:pt>
              </c:strCache>
            </c:strRef>
          </c:tx>
          <c:spPr>
            <a:solidFill>
              <a:schemeClr val="accent1"/>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Summary!$V$9:$AG$9</c:f>
              <c:numCache>
                <c:formatCode>_(#,##0_);\(#,##0\);_("-"_);_)@_)</c:formatCode>
                <c:ptCount val="12"/>
                <c:pt idx="0">
                  <c:v>2481.0619354838709</c:v>
                </c:pt>
                <c:pt idx="1">
                  <c:v>4567.1165399999991</c:v>
                </c:pt>
                <c:pt idx="2">
                  <c:v>4753.2944516129037</c:v>
                </c:pt>
                <c:pt idx="3">
                  <c:v>5821.4309999999996</c:v>
                </c:pt>
                <c:pt idx="4">
                  <c:v>1969.8246580645155</c:v>
                </c:pt>
                <c:pt idx="5">
                  <c:v>4324.5171290322578</c:v>
                </c:pt>
                <c:pt idx="6">
                  <c:v>4722.8832000000002</c:v>
                </c:pt>
                <c:pt idx="7">
                  <c:v>4681.505206451613</c:v>
                </c:pt>
                <c:pt idx="8">
                  <c:v>3527.4685600000003</c:v>
                </c:pt>
                <c:pt idx="9">
                  <c:v>4307.8396064516119</c:v>
                </c:pt>
                <c:pt idx="10">
                  <c:v>4220.72</c:v>
                </c:pt>
                <c:pt idx="11">
                  <c:v>3799.1097290322577</c:v>
                </c:pt>
              </c:numCache>
            </c:numRef>
          </c:val>
          <c:extLst>
            <c:ext xmlns:c16="http://schemas.microsoft.com/office/drawing/2014/chart" uri="{C3380CC4-5D6E-409C-BE32-E72D297353CC}">
              <c16:uniqueId val="{00000000-43BA-43D1-80A6-E6774600BE0C}"/>
            </c:ext>
          </c:extLst>
        </c:ser>
        <c:ser>
          <c:idx val="1"/>
          <c:order val="1"/>
          <c:tx>
            <c:strRef>
              <c:f>Summary!$S$10</c:f>
              <c:strCache>
                <c:ptCount val="1"/>
                <c:pt idx="0">
                  <c:v>Private Hire</c:v>
                </c:pt>
              </c:strCache>
            </c:strRef>
          </c:tx>
          <c:spPr>
            <a:solidFill>
              <a:schemeClr val="accent2"/>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Summary!$V$10:$AG$10</c:f>
              <c:numCache>
                <c:formatCode>_(#,##0_);\(#,##0\);_("-"_);_)@_)</c:formatCode>
                <c:ptCount val="12"/>
                <c:pt idx="0">
                  <c:v>400</c:v>
                </c:pt>
                <c:pt idx="1">
                  <c:v>400</c:v>
                </c:pt>
                <c:pt idx="2">
                  <c:v>400</c:v>
                </c:pt>
                <c:pt idx="3">
                  <c:v>400</c:v>
                </c:pt>
                <c:pt idx="4">
                  <c:v>400</c:v>
                </c:pt>
                <c:pt idx="5">
                  <c:v>400</c:v>
                </c:pt>
                <c:pt idx="6">
                  <c:v>800</c:v>
                </c:pt>
                <c:pt idx="7">
                  <c:v>800</c:v>
                </c:pt>
                <c:pt idx="8">
                  <c:v>800</c:v>
                </c:pt>
                <c:pt idx="9">
                  <c:v>800</c:v>
                </c:pt>
                <c:pt idx="10">
                  <c:v>800</c:v>
                </c:pt>
                <c:pt idx="11">
                  <c:v>800</c:v>
                </c:pt>
              </c:numCache>
            </c:numRef>
          </c:val>
          <c:extLst>
            <c:ext xmlns:c16="http://schemas.microsoft.com/office/drawing/2014/chart" uri="{C3380CC4-5D6E-409C-BE32-E72D297353CC}">
              <c16:uniqueId val="{00000001-43BA-43D1-80A6-E6774600BE0C}"/>
            </c:ext>
          </c:extLst>
        </c:ser>
        <c:ser>
          <c:idx val="2"/>
          <c:order val="2"/>
          <c:tx>
            <c:strRef>
              <c:f>Summary!$S$11</c:f>
              <c:strCache>
                <c:ptCount val="1"/>
                <c:pt idx="0">
                  <c:v>Membership Fees</c:v>
                </c:pt>
              </c:strCache>
            </c:strRef>
          </c:tx>
          <c:spPr>
            <a:solidFill>
              <a:schemeClr val="accent3"/>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Summary!$V$11:$AG$11</c:f>
              <c:numCache>
                <c:formatCode>_(#,##0_);\(#,##0\);_("-"_);_)@_)</c:formatCode>
                <c:ptCount val="12"/>
                <c:pt idx="0">
                  <c:v>350</c:v>
                </c:pt>
                <c:pt idx="1">
                  <c:v>350</c:v>
                </c:pt>
                <c:pt idx="2">
                  <c:v>358.33333333333337</c:v>
                </c:pt>
                <c:pt idx="3">
                  <c:v>366.66666666666663</c:v>
                </c:pt>
                <c:pt idx="4">
                  <c:v>375</c:v>
                </c:pt>
                <c:pt idx="5">
                  <c:v>383.33333333333337</c:v>
                </c:pt>
                <c:pt idx="6">
                  <c:v>391.66666666666663</c:v>
                </c:pt>
                <c:pt idx="7">
                  <c:v>400</c:v>
                </c:pt>
                <c:pt idx="8">
                  <c:v>408.33333333333337</c:v>
                </c:pt>
                <c:pt idx="9">
                  <c:v>416.66666666666663</c:v>
                </c:pt>
                <c:pt idx="10">
                  <c:v>425</c:v>
                </c:pt>
                <c:pt idx="11">
                  <c:v>433.33333333333337</c:v>
                </c:pt>
              </c:numCache>
            </c:numRef>
          </c:val>
          <c:extLst>
            <c:ext xmlns:c16="http://schemas.microsoft.com/office/drawing/2014/chart" uri="{C3380CC4-5D6E-409C-BE32-E72D297353CC}">
              <c16:uniqueId val="{00000002-43BA-43D1-80A6-E6774600BE0C}"/>
            </c:ext>
          </c:extLst>
        </c:ser>
        <c:ser>
          <c:idx val="3"/>
          <c:order val="3"/>
          <c:tx>
            <c:strRef>
              <c:f>Summary!$S$12</c:f>
              <c:strCache>
                <c:ptCount val="1"/>
                <c:pt idx="0">
                  <c:v>Merch Sales</c:v>
                </c:pt>
              </c:strCache>
            </c:strRef>
          </c:tx>
          <c:spPr>
            <a:solidFill>
              <a:schemeClr val="accent4"/>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Summary!$V$12:$AG$12</c:f>
              <c:numCache>
                <c:formatCode>_(#,##0_);\(#,##0\);_("-"_);_)@_)</c:formatCode>
                <c:ptCount val="12"/>
                <c:pt idx="0">
                  <c:v>100</c:v>
                </c:pt>
                <c:pt idx="1">
                  <c:v>103.33333333333334</c:v>
                </c:pt>
                <c:pt idx="2">
                  <c:v>106.66666666666667</c:v>
                </c:pt>
                <c:pt idx="3">
                  <c:v>110</c:v>
                </c:pt>
                <c:pt idx="4">
                  <c:v>113.33333333333334</c:v>
                </c:pt>
                <c:pt idx="5">
                  <c:v>116.66666666666667</c:v>
                </c:pt>
                <c:pt idx="6">
                  <c:v>120</c:v>
                </c:pt>
                <c:pt idx="7">
                  <c:v>123.33333333333334</c:v>
                </c:pt>
                <c:pt idx="8">
                  <c:v>126.66666666666667</c:v>
                </c:pt>
                <c:pt idx="9">
                  <c:v>130</c:v>
                </c:pt>
                <c:pt idx="10">
                  <c:v>133.33333333333334</c:v>
                </c:pt>
                <c:pt idx="11">
                  <c:v>136.66666666666669</c:v>
                </c:pt>
              </c:numCache>
            </c:numRef>
          </c:val>
          <c:extLst>
            <c:ext xmlns:c16="http://schemas.microsoft.com/office/drawing/2014/chart" uri="{C3380CC4-5D6E-409C-BE32-E72D297353CC}">
              <c16:uniqueId val="{00000003-43BA-43D1-80A6-E6774600BE0C}"/>
            </c:ext>
          </c:extLst>
        </c:ser>
        <c:ser>
          <c:idx val="4"/>
          <c:order val="4"/>
          <c:tx>
            <c:strRef>
              <c:f>Summary!$S$13</c:f>
              <c:strCache>
                <c:ptCount val="1"/>
                <c:pt idx="0">
                  <c:v>Book a Piste</c:v>
                </c:pt>
              </c:strCache>
            </c:strRef>
          </c:tx>
          <c:spPr>
            <a:solidFill>
              <a:schemeClr val="accent5"/>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Summary!$V$13:$AG$13</c:f>
              <c:numCache>
                <c:formatCode>_(#,##0_);\(#,##0\);_("-"_);_)@_)</c:formatCode>
                <c:ptCount val="12"/>
                <c:pt idx="0">
                  <c:v>40</c:v>
                </c:pt>
                <c:pt idx="1">
                  <c:v>40</c:v>
                </c:pt>
                <c:pt idx="2">
                  <c:v>40</c:v>
                </c:pt>
                <c:pt idx="3">
                  <c:v>40</c:v>
                </c:pt>
                <c:pt idx="4">
                  <c:v>40</c:v>
                </c:pt>
                <c:pt idx="5">
                  <c:v>40</c:v>
                </c:pt>
                <c:pt idx="6">
                  <c:v>40</c:v>
                </c:pt>
                <c:pt idx="7">
                  <c:v>40</c:v>
                </c:pt>
                <c:pt idx="8">
                  <c:v>40</c:v>
                </c:pt>
                <c:pt idx="9">
                  <c:v>40</c:v>
                </c:pt>
                <c:pt idx="10">
                  <c:v>40</c:v>
                </c:pt>
                <c:pt idx="11">
                  <c:v>40</c:v>
                </c:pt>
              </c:numCache>
            </c:numRef>
          </c:val>
          <c:extLst>
            <c:ext xmlns:c16="http://schemas.microsoft.com/office/drawing/2014/chart" uri="{C3380CC4-5D6E-409C-BE32-E72D297353CC}">
              <c16:uniqueId val="{00000004-43BA-43D1-80A6-E6774600BE0C}"/>
            </c:ext>
          </c:extLst>
        </c:ser>
        <c:dLbls>
          <c:showLegendKey val="0"/>
          <c:showVal val="0"/>
          <c:showCatName val="0"/>
          <c:showSerName val="0"/>
          <c:showPercent val="0"/>
          <c:showBubbleSize val="0"/>
        </c:dLbls>
        <c:gapWidth val="55"/>
        <c:overlap val="100"/>
        <c:axId val="469134720"/>
        <c:axId val="469169280"/>
      </c:barChart>
      <c:catAx>
        <c:axId val="469134720"/>
        <c:scaling>
          <c:orientation val="minMax"/>
        </c:scaling>
        <c:delete val="0"/>
        <c:axPos val="b"/>
        <c:numFmt formatCode="General" sourceLinked="0"/>
        <c:majorTickMark val="none"/>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9169280"/>
        <c:crosses val="autoZero"/>
        <c:auto val="1"/>
        <c:lblAlgn val="ctr"/>
        <c:lblOffset val="100"/>
        <c:noMultiLvlLbl val="0"/>
      </c:catAx>
      <c:valAx>
        <c:axId val="469169280"/>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9134720"/>
        <c:crosses val="autoZero"/>
        <c:crossBetween val="between"/>
      </c:valAx>
      <c:spPr>
        <a:noFill/>
        <a:ln>
          <a:noFill/>
        </a:ln>
        <a:effectLst/>
      </c:spPr>
    </c:plotArea>
    <c:legend>
      <c:legendPos val="t"/>
      <c:layout>
        <c:manualLayout>
          <c:xMode val="edge"/>
          <c:yMode val="edge"/>
          <c:x val="8.4669497613611311E-2"/>
          <c:y val="5.9795275590551179E-2"/>
          <c:w val="0.84306311304582859"/>
          <c:h val="0.1773114096032113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82438298754892E-2"/>
          <c:y val="0.2579169368534816"/>
          <c:w val="0.92570733835382291"/>
          <c:h val="0.56476733055426898"/>
        </c:manualLayout>
      </c:layout>
      <c:barChart>
        <c:barDir val="col"/>
        <c:grouping val="stacked"/>
        <c:varyColors val="0"/>
        <c:ser>
          <c:idx val="0"/>
          <c:order val="0"/>
          <c:tx>
            <c:strRef>
              <c:f>Summary!$S$19</c:f>
              <c:strCache>
                <c:ptCount val="1"/>
                <c:pt idx="0">
                  <c:v>Rent</c:v>
                </c:pt>
              </c:strCache>
            </c:strRef>
          </c:tx>
          <c:spPr>
            <a:solidFill>
              <a:schemeClr val="accent1"/>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Summary!$V$19:$AG$19</c:f>
              <c:numCache>
                <c:formatCode>_(#,##0_);\(#,##0\);_("-"_);_)@_)</c:formatCode>
                <c:ptCount val="12"/>
                <c:pt idx="0">
                  <c:v>5833.3333333333339</c:v>
                </c:pt>
                <c:pt idx="1">
                  <c:v>5833.3333333333339</c:v>
                </c:pt>
                <c:pt idx="2">
                  <c:v>5833.3333333333339</c:v>
                </c:pt>
                <c:pt idx="3">
                  <c:v>5833.3333333333339</c:v>
                </c:pt>
                <c:pt idx="4">
                  <c:v>5833.3333333333339</c:v>
                </c:pt>
                <c:pt idx="5">
                  <c:v>5833.3333333333339</c:v>
                </c:pt>
                <c:pt idx="6">
                  <c:v>5833.3333333333339</c:v>
                </c:pt>
                <c:pt idx="7">
                  <c:v>5833.3333333333339</c:v>
                </c:pt>
                <c:pt idx="8">
                  <c:v>5833.3333333333339</c:v>
                </c:pt>
                <c:pt idx="9">
                  <c:v>5833.3333333333339</c:v>
                </c:pt>
                <c:pt idx="10">
                  <c:v>5833.3333333333339</c:v>
                </c:pt>
                <c:pt idx="11">
                  <c:v>5833.3333333333339</c:v>
                </c:pt>
              </c:numCache>
            </c:numRef>
          </c:val>
          <c:extLst>
            <c:ext xmlns:c16="http://schemas.microsoft.com/office/drawing/2014/chart" uri="{C3380CC4-5D6E-409C-BE32-E72D297353CC}">
              <c16:uniqueId val="{00000000-659C-423E-B2FE-07D6C7B25044}"/>
            </c:ext>
          </c:extLst>
        </c:ser>
        <c:ser>
          <c:idx val="1"/>
          <c:order val="1"/>
          <c:tx>
            <c:strRef>
              <c:f>Summary!$S$20</c:f>
              <c:strCache>
                <c:ptCount val="1"/>
                <c:pt idx="0">
                  <c:v>Staff Cost</c:v>
                </c:pt>
              </c:strCache>
            </c:strRef>
          </c:tx>
          <c:spPr>
            <a:solidFill>
              <a:schemeClr val="accent2"/>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Summary!$V$20:$AG$20</c:f>
              <c:numCache>
                <c:formatCode>_(#,##0_);\(#,##0\);_("-"_);_)@_)</c:formatCode>
                <c:ptCount val="12"/>
                <c:pt idx="0">
                  <c:v>0</c:v>
                </c:pt>
                <c:pt idx="1">
                  <c:v>0</c:v>
                </c:pt>
                <c:pt idx="2">
                  <c:v>0</c:v>
                </c:pt>
                <c:pt idx="3">
                  <c:v>0</c:v>
                </c:pt>
                <c:pt idx="4">
                  <c:v>0</c:v>
                </c:pt>
                <c:pt idx="5">
                  <c:v>0</c:v>
                </c:pt>
                <c:pt idx="6">
                  <c:v>1115.1000000000001</c:v>
                </c:pt>
                <c:pt idx="7">
                  <c:v>1115.1000000000001</c:v>
                </c:pt>
                <c:pt idx="8">
                  <c:v>1168.2</c:v>
                </c:pt>
                <c:pt idx="9">
                  <c:v>1221.3</c:v>
                </c:pt>
                <c:pt idx="10">
                  <c:v>1062</c:v>
                </c:pt>
                <c:pt idx="11">
                  <c:v>1221.3</c:v>
                </c:pt>
              </c:numCache>
            </c:numRef>
          </c:val>
          <c:extLst>
            <c:ext xmlns:c16="http://schemas.microsoft.com/office/drawing/2014/chart" uri="{C3380CC4-5D6E-409C-BE32-E72D297353CC}">
              <c16:uniqueId val="{00000001-659C-423E-B2FE-07D6C7B25044}"/>
            </c:ext>
          </c:extLst>
        </c:ser>
        <c:ser>
          <c:idx val="2"/>
          <c:order val="2"/>
          <c:tx>
            <c:strRef>
              <c:f>Summary!$S$21</c:f>
              <c:strCache>
                <c:ptCount val="1"/>
                <c:pt idx="0">
                  <c:v>Rates</c:v>
                </c:pt>
              </c:strCache>
            </c:strRef>
          </c:tx>
          <c:spPr>
            <a:solidFill>
              <a:schemeClr val="accent3"/>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Summary!$V$21:$AG$21</c:f>
              <c:numCache>
                <c:formatCode>_(#,##0_);\(#,##0\);_("-"_);_)@_)</c:formatCode>
                <c:ptCount val="12"/>
                <c:pt idx="0">
                  <c:v>227.08333333333337</c:v>
                </c:pt>
                <c:pt idx="1">
                  <c:v>227.08333333333337</c:v>
                </c:pt>
                <c:pt idx="2">
                  <c:v>227.08333333333337</c:v>
                </c:pt>
                <c:pt idx="3">
                  <c:v>227.08333333333337</c:v>
                </c:pt>
                <c:pt idx="4">
                  <c:v>227.08333333333337</c:v>
                </c:pt>
                <c:pt idx="5">
                  <c:v>227.08333333333337</c:v>
                </c:pt>
                <c:pt idx="6">
                  <c:v>227.08333333333337</c:v>
                </c:pt>
                <c:pt idx="7">
                  <c:v>227.08333333333337</c:v>
                </c:pt>
                <c:pt idx="8">
                  <c:v>227.08333333333337</c:v>
                </c:pt>
                <c:pt idx="9">
                  <c:v>227.08333333333337</c:v>
                </c:pt>
                <c:pt idx="10">
                  <c:v>227.08333333333337</c:v>
                </c:pt>
                <c:pt idx="11">
                  <c:v>227.08333333333337</c:v>
                </c:pt>
              </c:numCache>
            </c:numRef>
          </c:val>
          <c:extLst>
            <c:ext xmlns:c16="http://schemas.microsoft.com/office/drawing/2014/chart" uri="{C3380CC4-5D6E-409C-BE32-E72D297353CC}">
              <c16:uniqueId val="{00000002-659C-423E-B2FE-07D6C7B25044}"/>
            </c:ext>
          </c:extLst>
        </c:ser>
        <c:ser>
          <c:idx val="3"/>
          <c:order val="3"/>
          <c:tx>
            <c:strRef>
              <c:f>Summary!$S$22</c:f>
              <c:strCache>
                <c:ptCount val="1"/>
                <c:pt idx="0">
                  <c:v>Cleaning &amp; Other</c:v>
                </c:pt>
              </c:strCache>
            </c:strRef>
          </c:tx>
          <c:spPr>
            <a:solidFill>
              <a:schemeClr val="accent4"/>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Summary!$V$22:$AG$22</c:f>
              <c:numCache>
                <c:formatCode>_(#,##0_);\(#,##0\);_("-"_);_)@_)</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3-659C-423E-B2FE-07D6C7B25044}"/>
            </c:ext>
          </c:extLst>
        </c:ser>
        <c:ser>
          <c:idx val="4"/>
          <c:order val="4"/>
          <c:tx>
            <c:strRef>
              <c:f>Summary!$S$23</c:f>
              <c:strCache>
                <c:ptCount val="1"/>
                <c:pt idx="0">
                  <c:v>Other</c:v>
                </c:pt>
              </c:strCache>
            </c:strRef>
          </c:tx>
          <c:spPr>
            <a:solidFill>
              <a:schemeClr val="accent5"/>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Summary!$V$23:$AG$23</c:f>
              <c:numCache>
                <c:formatCode>_(#,##0_);\(#,##0\);_("-"_);_)@_)</c:formatCode>
                <c:ptCount val="12"/>
                <c:pt idx="0">
                  <c:v>415.83002924731181</c:v>
                </c:pt>
                <c:pt idx="1">
                  <c:v>464.29656387999989</c:v>
                </c:pt>
                <c:pt idx="2">
                  <c:v>471.1491446021505</c:v>
                </c:pt>
                <c:pt idx="3">
                  <c:v>497.40481533333332</c:v>
                </c:pt>
                <c:pt idx="4">
                  <c:v>415.42614247741932</c:v>
                </c:pt>
                <c:pt idx="5">
                  <c:v>469.9860435053763</c:v>
                </c:pt>
                <c:pt idx="6">
                  <c:v>490.3067637333333</c:v>
                </c:pt>
                <c:pt idx="7">
                  <c:v>492.15311454193545</c:v>
                </c:pt>
                <c:pt idx="8">
                  <c:v>469.5209749866666</c:v>
                </c:pt>
                <c:pt idx="9">
                  <c:v>489.44580467526873</c:v>
                </c:pt>
                <c:pt idx="10">
                  <c:v>490.28583999999995</c:v>
                </c:pt>
                <c:pt idx="11">
                  <c:v>483.76708070537632</c:v>
                </c:pt>
              </c:numCache>
            </c:numRef>
          </c:val>
          <c:extLst>
            <c:ext xmlns:c16="http://schemas.microsoft.com/office/drawing/2014/chart" uri="{C3380CC4-5D6E-409C-BE32-E72D297353CC}">
              <c16:uniqueId val="{00000004-659C-423E-B2FE-07D6C7B25044}"/>
            </c:ext>
          </c:extLst>
        </c:ser>
        <c:dLbls>
          <c:showLegendKey val="0"/>
          <c:showVal val="0"/>
          <c:showCatName val="0"/>
          <c:showSerName val="0"/>
          <c:showPercent val="0"/>
          <c:showBubbleSize val="0"/>
        </c:dLbls>
        <c:gapWidth val="55"/>
        <c:overlap val="100"/>
        <c:axId val="469134720"/>
        <c:axId val="469169280"/>
      </c:barChart>
      <c:catAx>
        <c:axId val="469134720"/>
        <c:scaling>
          <c:orientation val="minMax"/>
        </c:scaling>
        <c:delete val="0"/>
        <c:axPos val="b"/>
        <c:numFmt formatCode="General" sourceLinked="0"/>
        <c:majorTickMark val="none"/>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9169280"/>
        <c:crosses val="autoZero"/>
        <c:auto val="1"/>
        <c:lblAlgn val="ctr"/>
        <c:lblOffset val="100"/>
        <c:noMultiLvlLbl val="0"/>
      </c:catAx>
      <c:valAx>
        <c:axId val="469169280"/>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9134720"/>
        <c:crosses val="autoZero"/>
        <c:crossBetween val="between"/>
      </c:valAx>
      <c:spPr>
        <a:noFill/>
        <a:ln>
          <a:noFill/>
        </a:ln>
        <a:effectLst/>
      </c:spPr>
    </c:plotArea>
    <c:legend>
      <c:legendPos val="t"/>
      <c:layout>
        <c:manualLayout>
          <c:xMode val="edge"/>
          <c:yMode val="edge"/>
          <c:x val="7.7075815114391349E-2"/>
          <c:y val="5.9795275590551179E-2"/>
          <c:w val="0.86842827207906903"/>
          <c:h val="0.1742711131696773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944307594462"/>
          <c:y val="7.6755905511811023E-2"/>
          <c:w val="0.80328515897538111"/>
          <c:h val="0.923244094488189"/>
        </c:manualLayout>
      </c:layout>
      <c:barChart>
        <c:barDir val="bar"/>
        <c:grouping val="stacked"/>
        <c:varyColors val="0"/>
        <c:ser>
          <c:idx val="0"/>
          <c:order val="0"/>
          <c:spPr>
            <a:noFill/>
          </c:spPr>
          <c:invertIfNegative val="0"/>
          <c:val>
            <c:numRef>
              <c:f>Summary!$G$198:$G$221</c:f>
              <c:numCache>
                <c:formatCode>_(#,##0_);\(#,##0\);_("-"_);_)@_)</c:formatCode>
                <c:ptCount val="24"/>
                <c:pt idx="0">
                  <c:v>0</c:v>
                </c:pt>
                <c:pt idx="1">
                  <c:v>11206</c:v>
                </c:pt>
                <c:pt idx="2">
                  <c:v>74141.105349462363</c:v>
                </c:pt>
                <c:pt idx="3">
                  <c:v>74176.105349462363</c:v>
                </c:pt>
                <c:pt idx="4">
                  <c:v>64011.110541236558</c:v>
                </c:pt>
                <c:pt idx="5">
                  <c:v>0</c:v>
                </c:pt>
                <c:pt idx="6">
                  <c:v>0</c:v>
                </c:pt>
                <c:pt idx="7">
                  <c:v>0</c:v>
                </c:pt>
                <c:pt idx="8">
                  <c:v>0</c:v>
                </c:pt>
                <c:pt idx="9">
                  <c:v>0</c:v>
                </c:pt>
                <c:pt idx="10">
                  <c:v>0</c:v>
                </c:pt>
                <c:pt idx="11">
                  <c:v>0</c:v>
                </c:pt>
                <c:pt idx="12">
                  <c:v>0</c:v>
                </c:pt>
                <c:pt idx="13">
                  <c:v>0</c:v>
                </c:pt>
                <c:pt idx="14">
                  <c:v>0</c:v>
                </c:pt>
                <c:pt idx="15">
                  <c:v>0</c:v>
                </c:pt>
                <c:pt idx="16">
                  <c:v>0</c:v>
                </c:pt>
                <c:pt idx="17">
                  <c:v>0</c:v>
                </c:pt>
                <c:pt idx="18">
                  <c:v>66932.032226762152</c:v>
                </c:pt>
                <c:pt idx="19">
                  <c:v>66932.032226762152</c:v>
                </c:pt>
                <c:pt idx="20">
                  <c:v>66932.032226762152</c:v>
                </c:pt>
                <c:pt idx="21">
                  <c:v>66932.032226762152</c:v>
                </c:pt>
                <c:pt idx="22">
                  <c:v>66932.032226762152</c:v>
                </c:pt>
                <c:pt idx="23">
                  <c:v>0</c:v>
                </c:pt>
              </c:numCache>
            </c:numRef>
          </c:val>
          <c:extLst>
            <c:ext xmlns:c16="http://schemas.microsoft.com/office/drawing/2014/chart" uri="{C3380CC4-5D6E-409C-BE32-E72D297353CC}">
              <c16:uniqueId val="{00000000-9F8F-482B-BB9B-B0230CA15C22}"/>
            </c:ext>
          </c:extLst>
        </c:ser>
        <c:ser>
          <c:idx val="1"/>
          <c:order val="1"/>
          <c:spPr>
            <a:solidFill>
              <a:schemeClr val="accent3"/>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9F8F-482B-BB9B-B0230CA15C22}"/>
              </c:ext>
            </c:extLst>
          </c:dPt>
          <c:val>
            <c:numRef>
              <c:f>Summary!$H$198:$H$221</c:f>
              <c:numCache>
                <c:formatCode>_(#,##0_);\(#,##0\);_("-"_);_)@_)</c:formatCode>
                <c:ptCount val="24"/>
                <c:pt idx="0">
                  <c:v>0</c:v>
                </c:pt>
                <c:pt idx="1">
                  <c:v>62935.105349462356</c:v>
                </c:pt>
                <c:pt idx="2">
                  <c:v>35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66932.032226762152</c:v>
                </c:pt>
                <c:pt idx="18">
                  <c:v>0</c:v>
                </c:pt>
                <c:pt idx="19">
                  <c:v>0</c:v>
                </c:pt>
                <c:pt idx="20">
                  <c:v>0</c:v>
                </c:pt>
                <c:pt idx="21">
                  <c:v>0</c:v>
                </c:pt>
                <c:pt idx="22">
                  <c:v>0</c:v>
                </c:pt>
                <c:pt idx="23">
                  <c:v>0</c:v>
                </c:pt>
              </c:numCache>
            </c:numRef>
          </c:val>
          <c:extLst>
            <c:ext xmlns:c16="http://schemas.microsoft.com/office/drawing/2014/chart" uri="{C3380CC4-5D6E-409C-BE32-E72D297353CC}">
              <c16:uniqueId val="{00000003-9F8F-482B-BB9B-B0230CA15C22}"/>
            </c:ext>
          </c:extLst>
        </c:ser>
        <c:ser>
          <c:idx val="2"/>
          <c:order val="2"/>
          <c:spPr>
            <a:noFill/>
          </c:spPr>
          <c:invertIfNegative val="0"/>
          <c:val>
            <c:numRef>
              <c:f>Summary!$I$198:$I$221</c:f>
              <c:numCache>
                <c:formatCode>_(#,##0_);\(#,##0\);_("-"_);_)@_)</c:formatCode>
                <c:ptCount val="24"/>
                <c:pt idx="0">
                  <c:v>0</c:v>
                </c:pt>
                <c:pt idx="1">
                  <c:v>0</c:v>
                </c:pt>
                <c:pt idx="2">
                  <c:v>0</c:v>
                </c:pt>
                <c:pt idx="3">
                  <c:v>0</c:v>
                </c:pt>
                <c:pt idx="4">
                  <c:v>0</c:v>
                </c:pt>
                <c:pt idx="5">
                  <c:v>0</c:v>
                </c:pt>
                <c:pt idx="6">
                  <c:v>-23387.461776451615</c:v>
                </c:pt>
                <c:pt idx="7">
                  <c:v>-21690.704357096776</c:v>
                </c:pt>
                <c:pt idx="8">
                  <c:v>-21690.704357096776</c:v>
                </c:pt>
                <c:pt idx="9">
                  <c:v>-21690.704357096776</c:v>
                </c:pt>
                <c:pt idx="10">
                  <c:v>-21690.704357096776</c:v>
                </c:pt>
                <c:pt idx="11">
                  <c:v>-21690.704357096776</c:v>
                </c:pt>
                <c:pt idx="12">
                  <c:v>-23067.967773237855</c:v>
                </c:pt>
                <c:pt idx="13">
                  <c:v>-23067.967773237855</c:v>
                </c:pt>
                <c:pt idx="14">
                  <c:v>-23067.967773237855</c:v>
                </c:pt>
                <c:pt idx="15">
                  <c:v>-23067.967773237855</c:v>
                </c:pt>
                <c:pt idx="16">
                  <c:v>-233067.96777323785</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9F8F-482B-BB9B-B0230CA15C22}"/>
            </c:ext>
          </c:extLst>
        </c:ser>
        <c:ser>
          <c:idx val="3"/>
          <c:order val="3"/>
          <c:spPr>
            <a:solidFill>
              <a:schemeClr val="accent3"/>
            </a:solidFill>
            <a:ln>
              <a:noFill/>
            </a:ln>
            <a:effectLst/>
          </c:spPr>
          <c:invertIfNegative val="0"/>
          <c:val>
            <c:numRef>
              <c:f>Summary!$J$198:$J$221</c:f>
              <c:numCache>
                <c:formatCode>_(#,##0_);\(#,##0\);_("-"_);_)@_)</c:formatCode>
                <c:ptCount val="24"/>
                <c:pt idx="0">
                  <c:v>0</c:v>
                </c:pt>
                <c:pt idx="1">
                  <c:v>0</c:v>
                </c:pt>
                <c:pt idx="2">
                  <c:v>0</c:v>
                </c:pt>
                <c:pt idx="3">
                  <c:v>0</c:v>
                </c:pt>
                <c:pt idx="4">
                  <c:v>0</c:v>
                </c:pt>
                <c:pt idx="5">
                  <c:v>0</c:v>
                </c:pt>
                <c:pt idx="6">
                  <c:v>-279</c:v>
                </c:pt>
                <c:pt idx="7">
                  <c:v>-1696.757419354838</c:v>
                </c:pt>
                <c:pt idx="8">
                  <c:v>0</c:v>
                </c:pt>
                <c:pt idx="9">
                  <c:v>0</c:v>
                </c:pt>
                <c:pt idx="10">
                  <c:v>0</c:v>
                </c:pt>
                <c:pt idx="11">
                  <c:v>0</c:v>
                </c:pt>
                <c:pt idx="12">
                  <c:v>0</c:v>
                </c:pt>
                <c:pt idx="13">
                  <c:v>0</c:v>
                </c:pt>
                <c:pt idx="14">
                  <c:v>-1.8189894035458565E-12</c:v>
                </c:pt>
                <c:pt idx="15">
                  <c:v>0</c:v>
                </c:pt>
                <c:pt idx="16">
                  <c:v>0</c:v>
                </c:pt>
                <c:pt idx="17">
                  <c:v>-233067.96777323785</c:v>
                </c:pt>
                <c:pt idx="18">
                  <c:v>0</c:v>
                </c:pt>
                <c:pt idx="19">
                  <c:v>0</c:v>
                </c:pt>
                <c:pt idx="20">
                  <c:v>0</c:v>
                </c:pt>
                <c:pt idx="21">
                  <c:v>0</c:v>
                </c:pt>
                <c:pt idx="22">
                  <c:v>0</c:v>
                </c:pt>
                <c:pt idx="23">
                  <c:v>0</c:v>
                </c:pt>
              </c:numCache>
            </c:numRef>
          </c:val>
          <c:extLst>
            <c:ext xmlns:c16="http://schemas.microsoft.com/office/drawing/2014/chart" uri="{C3380CC4-5D6E-409C-BE32-E72D297353CC}">
              <c16:uniqueId val="{00000005-9F8F-482B-BB9B-B0230CA15C22}"/>
            </c:ext>
          </c:extLst>
        </c:ser>
        <c:ser>
          <c:idx val="4"/>
          <c:order val="4"/>
          <c:spPr>
            <a:solidFill>
              <a:schemeClr val="accent2"/>
            </a:solidFill>
            <a:ln>
              <a:noFill/>
            </a:ln>
            <a:effectLst/>
          </c:spPr>
          <c:invertIfNegative val="0"/>
          <c:val>
            <c:numRef>
              <c:f>Summary!$K$198:$K$221</c:f>
              <c:numCache>
                <c:formatCode>_(#,##0_);\(#,##0\);_("-"_);_)@_)</c:formatCode>
                <c:ptCount val="24"/>
                <c:pt idx="0">
                  <c:v>0</c:v>
                </c:pt>
                <c:pt idx="1">
                  <c:v>0</c:v>
                </c:pt>
                <c:pt idx="2">
                  <c:v>0</c:v>
                </c:pt>
                <c:pt idx="3">
                  <c:v>0</c:v>
                </c:pt>
                <c:pt idx="4">
                  <c:v>10164.994808225807</c:v>
                </c:pt>
                <c:pt idx="5">
                  <c:v>64011.110541236558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6-9F8F-482B-BB9B-B0230CA15C22}"/>
            </c:ext>
          </c:extLst>
        </c:ser>
        <c:ser>
          <c:idx val="5"/>
          <c:order val="5"/>
          <c:spPr>
            <a:solidFill>
              <a:schemeClr val="accent2"/>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8-9F8F-482B-BB9B-B0230CA15C22}"/>
              </c:ext>
            </c:extLst>
          </c:dPt>
          <c:val>
            <c:numRef>
              <c:f>Summary!$L$198:$L$221</c:f>
              <c:numCache>
                <c:formatCode>_(#,##0_);\(#,##0\);_("-"_);_)@_)</c:formatCode>
                <c:ptCount val="24"/>
                <c:pt idx="0">
                  <c:v>0</c:v>
                </c:pt>
                <c:pt idx="1">
                  <c:v>0</c:v>
                </c:pt>
                <c:pt idx="2">
                  <c:v>0</c:v>
                </c:pt>
                <c:pt idx="3">
                  <c:v>0</c:v>
                </c:pt>
                <c:pt idx="4">
                  <c:v>0</c:v>
                </c:pt>
                <c:pt idx="5">
                  <c:v>-23666.461776451615</c:v>
                </c:pt>
                <c:pt idx="6">
                  <c:v>0</c:v>
                </c:pt>
                <c:pt idx="7">
                  <c:v>0</c:v>
                </c:pt>
                <c:pt idx="8">
                  <c:v>0</c:v>
                </c:pt>
                <c:pt idx="9">
                  <c:v>0</c:v>
                </c:pt>
                <c:pt idx="10">
                  <c:v>0</c:v>
                </c:pt>
                <c:pt idx="11">
                  <c:v>-1377.2634161410788</c:v>
                </c:pt>
                <c:pt idx="12">
                  <c:v>0</c:v>
                </c:pt>
                <c:pt idx="13">
                  <c:v>0</c:v>
                </c:pt>
                <c:pt idx="14">
                  <c:v>0</c:v>
                </c:pt>
                <c:pt idx="15">
                  <c:v>-210000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9-9F8F-482B-BB9B-B0230CA15C22}"/>
            </c:ext>
          </c:extLst>
        </c:ser>
        <c:ser>
          <c:idx val="6"/>
          <c:order val="6"/>
          <c:spPr>
            <a:solidFill>
              <a:schemeClr val="accent1"/>
            </a:solidFill>
            <a:ln>
              <a:noFill/>
            </a:ln>
            <a:effectLst/>
          </c:spPr>
          <c:invertIfNegative val="0"/>
          <c:val>
            <c:numRef>
              <c:f>Summary!$M$198:$M$221</c:f>
              <c:numCache>
                <c:formatCode>_(#,##0_);\(#,##0\);_("-"_);_)@_)</c:formatCode>
                <c:ptCount val="24"/>
                <c:pt idx="0">
                  <c:v>11206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66932.032226762152</c:v>
                </c:pt>
              </c:numCache>
            </c:numRef>
          </c:val>
          <c:extLst>
            <c:ext xmlns:c16="http://schemas.microsoft.com/office/drawing/2014/chart" uri="{C3380CC4-5D6E-409C-BE32-E72D297353CC}">
              <c16:uniqueId val="{0000000A-9F8F-482B-BB9B-B0230CA15C22}"/>
            </c:ext>
          </c:extLst>
        </c:ser>
        <c:dLbls>
          <c:showLegendKey val="0"/>
          <c:showVal val="0"/>
          <c:showCatName val="0"/>
          <c:showSerName val="0"/>
          <c:showPercent val="0"/>
          <c:showBubbleSize val="0"/>
        </c:dLbls>
        <c:gapWidth val="25"/>
        <c:overlap val="100"/>
        <c:axId val="449821312"/>
        <c:axId val="451559808"/>
      </c:barChart>
      <c:catAx>
        <c:axId val="449821312"/>
        <c:scaling>
          <c:orientation val="maxMin"/>
        </c:scaling>
        <c:delete val="1"/>
        <c:axPos val="l"/>
        <c:majorTickMark val="out"/>
        <c:minorTickMark val="none"/>
        <c:tickLblPos val="none"/>
        <c:crossAx val="451559808"/>
        <c:crosses val="autoZero"/>
        <c:auto val="1"/>
        <c:lblAlgn val="ctr"/>
        <c:lblOffset val="100"/>
        <c:noMultiLvlLbl val="0"/>
      </c:catAx>
      <c:valAx>
        <c:axId val="451559808"/>
        <c:scaling>
          <c:orientation val="minMax"/>
        </c:scaling>
        <c:delete val="0"/>
        <c:axPos val="t"/>
        <c:majorGridlines/>
        <c:numFmt formatCode="_(#,##0_);\(#,##0\);_(&quot;-&quot;_);_)@_)" sourceLinked="0"/>
        <c:majorTickMark val="none"/>
        <c:minorTickMark val="none"/>
        <c:tickLblPos val="nextTo"/>
        <c:crossAx val="449821312"/>
        <c:crosses val="autoZero"/>
        <c:crossBetween val="between"/>
      </c:valAx>
      <c:spPr>
        <a:noFill/>
        <a:ln>
          <a:noFill/>
        </a:ln>
      </c:spPr>
    </c:plotArea>
    <c:plotVisOnly val="1"/>
    <c:dispBlanksAs val="gap"/>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85538771705107"/>
          <c:y val="0.33200746813864762"/>
          <c:w val="0.76311275159985548"/>
          <c:h val="0.66799253186135243"/>
        </c:manualLayout>
      </c:layout>
      <c:barChart>
        <c:barDir val="bar"/>
        <c:grouping val="clustered"/>
        <c:varyColors val="0"/>
        <c:ser>
          <c:idx val="0"/>
          <c:order val="0"/>
          <c:spPr>
            <a:solidFill>
              <a:schemeClr val="accent1"/>
            </a:solidFill>
            <a:ln>
              <a:solidFill>
                <a:schemeClr val="bg1"/>
              </a:solidFill>
            </a:ln>
          </c:spPr>
          <c:invertIfNegative val="0"/>
          <c:dPt>
            <c:idx val="3"/>
            <c:invertIfNegative val="0"/>
            <c:bubble3D val="0"/>
            <c:spPr>
              <a:solidFill>
                <a:schemeClr val="accent3"/>
              </a:solidFill>
              <a:ln>
                <a:solidFill>
                  <a:schemeClr val="bg1"/>
                </a:solidFill>
              </a:ln>
            </c:spPr>
            <c:extLst>
              <c:ext xmlns:c16="http://schemas.microsoft.com/office/drawing/2014/chart" uri="{C3380CC4-5D6E-409C-BE32-E72D297353CC}">
                <c16:uniqueId val="{00000001-8C69-4082-B6A0-2A6C279E13DB}"/>
              </c:ext>
            </c:extLst>
          </c:dPt>
          <c:cat>
            <c:strRef>
              <c:f>Summary!$B$224:$B$227</c:f>
              <c:strCache>
                <c:ptCount val="4"/>
                <c:pt idx="0">
                  <c:v>Operating Cash Flow</c:v>
                </c:pt>
                <c:pt idx="1">
                  <c:v>Investing Cash Flow</c:v>
                </c:pt>
                <c:pt idx="2">
                  <c:v>Financing Cash Flow</c:v>
                </c:pt>
                <c:pt idx="3">
                  <c:v>Net Cash Flow</c:v>
                </c:pt>
              </c:strCache>
            </c:strRef>
          </c:cat>
          <c:val>
            <c:numRef>
              <c:f>Summary!$F$224:$F$227</c:f>
              <c:numCache>
                <c:formatCode>_(#,##0_);\(#,##0\);_("-"_);_)@_)</c:formatCode>
                <c:ptCount val="4"/>
                <c:pt idx="0">
                  <c:v>0</c:v>
                </c:pt>
                <c:pt idx="1">
                  <c:v>0</c:v>
                </c:pt>
                <c:pt idx="2">
                  <c:v>300000</c:v>
                </c:pt>
                <c:pt idx="3">
                  <c:v>55726.032226762138</c:v>
                </c:pt>
              </c:numCache>
            </c:numRef>
          </c:val>
          <c:extLst>
            <c:ext xmlns:c16="http://schemas.microsoft.com/office/drawing/2014/chart" uri="{C3380CC4-5D6E-409C-BE32-E72D297353CC}">
              <c16:uniqueId val="{00000002-8C69-4082-B6A0-2A6C279E13DB}"/>
            </c:ext>
          </c:extLst>
        </c:ser>
        <c:ser>
          <c:idx val="1"/>
          <c:order val="1"/>
          <c:spPr>
            <a:solidFill>
              <a:schemeClr val="accent2"/>
            </a:solidFill>
            <a:ln>
              <a:noFill/>
            </a:ln>
          </c:spPr>
          <c:invertIfNegative val="0"/>
          <c:cat>
            <c:strRef>
              <c:f>Summary!$B$224:$B$227</c:f>
              <c:strCache>
                <c:ptCount val="4"/>
                <c:pt idx="0">
                  <c:v>Operating Cash Flow</c:v>
                </c:pt>
                <c:pt idx="1">
                  <c:v>Investing Cash Flow</c:v>
                </c:pt>
                <c:pt idx="2">
                  <c:v>Financing Cash Flow</c:v>
                </c:pt>
                <c:pt idx="3">
                  <c:v>Net Cash Flow</c:v>
                </c:pt>
              </c:strCache>
            </c:strRef>
          </c:cat>
          <c:val>
            <c:numRef>
              <c:f>Summary!$G$224:$G$227</c:f>
              <c:numCache>
                <c:formatCode>_(#,##0_);\(#,##0\);_("-"_);_)@_)</c:formatCode>
                <c:ptCount val="4"/>
                <c:pt idx="0">
                  <c:v>-34273.967773237855</c:v>
                </c:pt>
                <c:pt idx="1">
                  <c:v>-210000</c:v>
                </c:pt>
                <c:pt idx="2">
                  <c:v>0</c:v>
                </c:pt>
                <c:pt idx="3">
                  <c:v>0</c:v>
                </c:pt>
              </c:numCache>
            </c:numRef>
          </c:val>
          <c:extLst>
            <c:ext xmlns:c16="http://schemas.microsoft.com/office/drawing/2014/chart" uri="{C3380CC4-5D6E-409C-BE32-E72D297353CC}">
              <c16:uniqueId val="{00000003-8C69-4082-B6A0-2A6C279E13DB}"/>
            </c:ext>
          </c:extLst>
        </c:ser>
        <c:dLbls>
          <c:showLegendKey val="0"/>
          <c:showVal val="0"/>
          <c:showCatName val="0"/>
          <c:showSerName val="0"/>
          <c:showPercent val="0"/>
          <c:showBubbleSize val="0"/>
        </c:dLbls>
        <c:gapWidth val="0"/>
        <c:overlap val="100"/>
        <c:axId val="464911360"/>
        <c:axId val="450061056"/>
      </c:barChart>
      <c:catAx>
        <c:axId val="464911360"/>
        <c:scaling>
          <c:orientation val="maxMin"/>
        </c:scaling>
        <c:delete val="1"/>
        <c:axPos val="l"/>
        <c:numFmt formatCode="General" sourceLinked="1"/>
        <c:majorTickMark val="out"/>
        <c:minorTickMark val="none"/>
        <c:tickLblPos val="none"/>
        <c:crossAx val="450061056"/>
        <c:crosses val="autoZero"/>
        <c:auto val="1"/>
        <c:lblAlgn val="ctr"/>
        <c:lblOffset val="100"/>
        <c:noMultiLvlLbl val="0"/>
      </c:catAx>
      <c:valAx>
        <c:axId val="450061056"/>
        <c:scaling>
          <c:orientation val="minMax"/>
        </c:scaling>
        <c:delete val="0"/>
        <c:axPos val="t"/>
        <c:majorGridlines>
          <c:spPr>
            <a:ln>
              <a:solidFill>
                <a:schemeClr val="bg1">
                  <a:lumMod val="95000"/>
                </a:schemeClr>
              </a:solidFill>
            </a:ln>
          </c:spPr>
        </c:majorGridlines>
        <c:numFmt formatCode="_(#,##0_);\(#,##0\);_(&quot;-&quot;_);_)@_)" sourceLinked="0"/>
        <c:majorTickMark val="none"/>
        <c:minorTickMark val="none"/>
        <c:tickLblPos val="nextTo"/>
        <c:crossAx val="464911360"/>
        <c:crosses val="autoZero"/>
        <c:crossBetween val="between"/>
      </c:valAx>
      <c:spPr>
        <a:noFill/>
      </c:spPr>
    </c:plotArea>
    <c:plotVisOnly val="1"/>
    <c:dispBlanksAs val="gap"/>
    <c:showDLblsOverMax val="0"/>
  </c:chart>
  <c:spPr>
    <a:noFill/>
    <a:ln>
      <a:noFill/>
    </a:ln>
  </c:spPr>
  <c:txPr>
    <a:bodyPr/>
    <a:lstStyle/>
    <a:p>
      <a:pPr>
        <a:defRPr sz="800">
          <a:solidFill>
            <a:schemeClr val="tx1">
              <a:lumMod val="75000"/>
              <a:lumOff val="25000"/>
            </a:schemeClr>
          </a:solidFill>
        </a:defRPr>
      </a:pPr>
      <a:endParaRPr lang="en-US"/>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3.6092228977706899E-2"/>
          <c:y val="0.33420539725470166"/>
          <c:w val="0.9633316721485764"/>
          <c:h val="0.47826985487472051"/>
        </c:manualLayout>
      </c:layout>
      <c:barChart>
        <c:barDir val="col"/>
        <c:grouping val="stacked"/>
        <c:varyColors val="0"/>
        <c:ser>
          <c:idx val="0"/>
          <c:order val="0"/>
          <c:tx>
            <c:strRef>
              <c:f>Summary!$B$169</c:f>
              <c:strCache>
                <c:ptCount val="1"/>
                <c:pt idx="0">
                  <c:v>Cash</c:v>
                </c:pt>
              </c:strCache>
            </c:strRef>
          </c:tx>
          <c:spPr>
            <a:solidFill>
              <a:schemeClr val="accent1">
                <a:lumMod val="75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Summary!$E$169:$P$169</c:f>
              <c:numCache>
                <c:formatCode>_(#,##0_);\(#,##0\);_("-"_);_)@_)</c:formatCode>
                <c:ptCount val="12"/>
                <c:pt idx="0">
                  <c:v>56366.869850494637</c:v>
                </c:pt>
                <c:pt idx="1">
                  <c:v>44565.745398407664</c:v>
                </c:pt>
                <c:pt idx="2">
                  <c:v>93791.017492155705</c:v>
                </c:pt>
                <c:pt idx="3">
                  <c:v>99434.209346422373</c:v>
                </c:pt>
                <c:pt idx="4">
                  <c:v>77892.898421634411</c:v>
                </c:pt>
                <c:pt idx="5">
                  <c:v>86016.935079136339</c:v>
                </c:pt>
                <c:pt idx="6">
                  <c:v>90029.52162581333</c:v>
                </c:pt>
                <c:pt idx="7">
                  <c:v>69976.570193967302</c:v>
                </c:pt>
                <c:pt idx="8">
                  <c:v>76726.490789144591</c:v>
                </c:pt>
                <c:pt idx="9">
                  <c:v>79679.59382603319</c:v>
                </c:pt>
                <c:pt idx="10">
                  <c:v>59829.112587495554</c:v>
                </c:pt>
                <c:pt idx="11">
                  <c:v>66932.032226762138</c:v>
                </c:pt>
              </c:numCache>
            </c:numRef>
          </c:val>
          <c:extLst>
            <c:ext xmlns:c16="http://schemas.microsoft.com/office/drawing/2014/chart" uri="{C3380CC4-5D6E-409C-BE32-E72D297353CC}">
              <c16:uniqueId val="{00000000-DD19-4653-B755-85550E814FB7}"/>
            </c:ext>
          </c:extLst>
        </c:ser>
        <c:ser>
          <c:idx val="1"/>
          <c:order val="1"/>
          <c:tx>
            <c:strRef>
              <c:f>Summary!$B$170</c:f>
              <c:strCache>
                <c:ptCount val="1"/>
                <c:pt idx="0">
                  <c:v>Debtors</c:v>
                </c:pt>
              </c:strCache>
            </c:strRef>
          </c:tx>
          <c:spPr>
            <a:solidFill>
              <a:schemeClr val="accent1"/>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Summary!$E$170:$P$170</c:f>
              <c:numCache>
                <c:formatCode>_(#,##0_);\(#,##0\);_("-"_);_)@_)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D19-4653-B755-85550E814FB7}"/>
            </c:ext>
          </c:extLst>
        </c:ser>
        <c:ser>
          <c:idx val="2"/>
          <c:order val="2"/>
          <c:tx>
            <c:strRef>
              <c:f>Summary!$B$171</c:f>
              <c:strCache>
                <c:ptCount val="1"/>
                <c:pt idx="0">
                  <c:v>Other Current Assets</c:v>
                </c:pt>
              </c:strCache>
            </c:strRef>
          </c:tx>
          <c:spPr>
            <a:solidFill>
              <a:schemeClr val="accent1">
                <a:lumMod val="60000"/>
                <a:lumOff val="40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Summary!$E$171:$P$171</c:f>
              <c:numCache>
                <c:formatCode>_(#,##0_);\(#,##0\);_("-"_);_)@_)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DD19-4653-B755-85550E814FB7}"/>
            </c:ext>
          </c:extLst>
        </c:ser>
        <c:ser>
          <c:idx val="3"/>
          <c:order val="3"/>
          <c:tx>
            <c:strRef>
              <c:f>Summary!$B$172</c:f>
              <c:strCache>
                <c:ptCount val="1"/>
                <c:pt idx="0">
                  <c:v>Fixed Assets</c:v>
                </c:pt>
              </c:strCache>
            </c:strRef>
          </c:tx>
          <c:spPr>
            <a:solidFill>
              <a:schemeClr val="accent1">
                <a:lumMod val="40000"/>
                <a:lumOff val="60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Summary!$E$172:$P$172</c:f>
              <c:numCache>
                <c:formatCode>_(#,##0_);\(#,##0\);_("-"_);_)@_)</c:formatCode>
                <c:ptCount val="12"/>
                <c:pt idx="0">
                  <c:v>209585.02777777778</c:v>
                </c:pt>
                <c:pt idx="1">
                  <c:v>203784.83333333331</c:v>
                </c:pt>
                <c:pt idx="2">
                  <c:v>197984.63888888888</c:v>
                </c:pt>
                <c:pt idx="3">
                  <c:v>192184.44444444441</c:v>
                </c:pt>
                <c:pt idx="4">
                  <c:v>186384.24999999997</c:v>
                </c:pt>
                <c:pt idx="5">
                  <c:v>180584.05555555553</c:v>
                </c:pt>
                <c:pt idx="6">
                  <c:v>174783.86111111107</c:v>
                </c:pt>
                <c:pt idx="7">
                  <c:v>168983.66666666663</c:v>
                </c:pt>
                <c:pt idx="8">
                  <c:v>163183.47222222216</c:v>
                </c:pt>
                <c:pt idx="9">
                  <c:v>157383.27777777772</c:v>
                </c:pt>
                <c:pt idx="10">
                  <c:v>151583.08333333326</c:v>
                </c:pt>
                <c:pt idx="11">
                  <c:v>145782.88888888882</c:v>
                </c:pt>
              </c:numCache>
            </c:numRef>
          </c:val>
          <c:extLst>
            <c:ext xmlns:c16="http://schemas.microsoft.com/office/drawing/2014/chart" uri="{C3380CC4-5D6E-409C-BE32-E72D297353CC}">
              <c16:uniqueId val="{00000003-DD19-4653-B755-85550E814FB7}"/>
            </c:ext>
          </c:extLst>
        </c:ser>
        <c:ser>
          <c:idx val="4"/>
          <c:order val="4"/>
          <c:tx>
            <c:strRef>
              <c:f>Summary!$B$173</c:f>
              <c:strCache>
                <c:ptCount val="1"/>
                <c:pt idx="0">
                  <c:v>Other Non-Current Assets</c:v>
                </c:pt>
              </c:strCache>
            </c:strRef>
          </c:tx>
          <c:spPr>
            <a:solidFill>
              <a:schemeClr val="accent1">
                <a:lumMod val="20000"/>
                <a:lumOff val="80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Summary!$E$173:$P$173</c:f>
              <c:numCache>
                <c:formatCode>_(#,##0_);\(#,##0\);_("-"_);_)@_)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DD19-4653-B755-85550E814FB7}"/>
            </c:ext>
          </c:extLst>
        </c:ser>
        <c:ser>
          <c:idx val="5"/>
          <c:order val="5"/>
          <c:tx>
            <c:strRef>
              <c:f>Summary!$B$174</c:f>
              <c:strCache>
                <c:ptCount val="1"/>
                <c:pt idx="0">
                  <c:v>Debt</c:v>
                </c:pt>
              </c:strCache>
            </c:strRef>
          </c:tx>
          <c:spPr>
            <a:solidFill>
              <a:schemeClr val="accent2">
                <a:lumMod val="75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Summary!$E$174:$P$174</c:f>
              <c:numCache>
                <c:formatCode>_(#,##0_);\(#,##0\);_("-"_);_)@_)</c:formatCode>
                <c:ptCount val="12"/>
                <c:pt idx="0">
                  <c:v>-300000</c:v>
                </c:pt>
                <c:pt idx="1">
                  <c:v>-300000</c:v>
                </c:pt>
                <c:pt idx="2">
                  <c:v>-300000</c:v>
                </c:pt>
                <c:pt idx="3">
                  <c:v>-300000</c:v>
                </c:pt>
                <c:pt idx="4">
                  <c:v>-300000</c:v>
                </c:pt>
                <c:pt idx="5">
                  <c:v>-300000</c:v>
                </c:pt>
                <c:pt idx="6">
                  <c:v>-300000</c:v>
                </c:pt>
                <c:pt idx="7">
                  <c:v>-300000</c:v>
                </c:pt>
                <c:pt idx="8">
                  <c:v>-300000</c:v>
                </c:pt>
                <c:pt idx="9">
                  <c:v>-300000</c:v>
                </c:pt>
                <c:pt idx="10">
                  <c:v>-300000</c:v>
                </c:pt>
                <c:pt idx="11">
                  <c:v>-300000</c:v>
                </c:pt>
              </c:numCache>
            </c:numRef>
          </c:val>
          <c:extLst>
            <c:ext xmlns:c16="http://schemas.microsoft.com/office/drawing/2014/chart" uri="{C3380CC4-5D6E-409C-BE32-E72D297353CC}">
              <c16:uniqueId val="{00000005-DD19-4653-B755-85550E814FB7}"/>
            </c:ext>
          </c:extLst>
        </c:ser>
        <c:ser>
          <c:idx val="6"/>
          <c:order val="6"/>
          <c:tx>
            <c:strRef>
              <c:f>Summary!$B$175</c:f>
              <c:strCache>
                <c:ptCount val="1"/>
                <c:pt idx="0">
                  <c:v>Other Non-Current Liabilities</c:v>
                </c:pt>
              </c:strCache>
            </c:strRef>
          </c:tx>
          <c:spPr>
            <a:solidFill>
              <a:schemeClr val="accent2"/>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Summary!$E$175:$P$175</c:f>
              <c:numCache>
                <c:formatCode>_(#,##0_);\(#,##0\);_("-"_);_)@_)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DD19-4653-B755-85550E814FB7}"/>
            </c:ext>
          </c:extLst>
        </c:ser>
        <c:ser>
          <c:idx val="7"/>
          <c:order val="7"/>
          <c:tx>
            <c:strRef>
              <c:f>Summary!$B$176</c:f>
              <c:strCache>
                <c:ptCount val="1"/>
                <c:pt idx="0">
                  <c:v>Current Payables</c:v>
                </c:pt>
              </c:strCache>
            </c:strRef>
          </c:tx>
          <c:spPr>
            <a:solidFill>
              <a:schemeClr val="accent2">
                <a:lumMod val="60000"/>
                <a:lumOff val="40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Summary!$E$176:$P$176</c:f>
              <c:numCache>
                <c:formatCode>_(#,##0_);\(#,##0\);_("-"_);_)@_)</c:formatCode>
                <c:ptCount val="12"/>
                <c:pt idx="0">
                  <c:v>34338.630521978492</c:v>
                </c:pt>
                <c:pt idx="1">
                  <c:v>44057.22531862546</c:v>
                </c:pt>
                <c:pt idx="2">
                  <c:v>-7097.3175904344062</c:v>
                </c:pt>
                <c:pt idx="3">
                  <c:v>-13632.853294034405</c:v>
                </c:pt>
                <c:pt idx="4">
                  <c:v>3343.8686011277464</c:v>
                </c:pt>
                <c:pt idx="5">
                  <c:v>-7134.5102106537615</c:v>
                </c:pt>
                <c:pt idx="6">
                  <c:v>-13767.150685864084</c:v>
                </c:pt>
                <c:pt idx="7">
                  <c:v>3633.1017650012923</c:v>
                </c:pt>
                <c:pt idx="8">
                  <c:v>-6961.3258050026643</c:v>
                </c:pt>
                <c:pt idx="9">
                  <c:v>-13085.974794605247</c:v>
                </c:pt>
                <c:pt idx="10">
                  <c:v>3775.9005239323901</c:v>
                </c:pt>
                <c:pt idx="11">
                  <c:v>-6974.4940032137602</c:v>
                </c:pt>
              </c:numCache>
            </c:numRef>
          </c:val>
          <c:extLst>
            <c:ext xmlns:c16="http://schemas.microsoft.com/office/drawing/2014/chart" uri="{C3380CC4-5D6E-409C-BE32-E72D297353CC}">
              <c16:uniqueId val="{00000007-DD19-4653-B755-85550E814FB7}"/>
            </c:ext>
          </c:extLst>
        </c:ser>
        <c:ser>
          <c:idx val="8"/>
          <c:order val="8"/>
          <c:tx>
            <c:strRef>
              <c:f>Summary!$B$177</c:f>
              <c:strCache>
                <c:ptCount val="1"/>
                <c:pt idx="0">
                  <c:v>Other Current Liabilities</c:v>
                </c:pt>
              </c:strCache>
            </c:strRef>
          </c:tx>
          <c:spPr>
            <a:solidFill>
              <a:schemeClr val="accent2">
                <a:lumMod val="40000"/>
                <a:lumOff val="60000"/>
              </a:schemeClr>
            </a:solidFill>
            <a:ln>
              <a:noFill/>
            </a:ln>
            <a:effectLst/>
          </c:spPr>
          <c:invertIfNegative val="0"/>
          <c:cat>
            <c:strRef>
              <c:f>Summary!$E$101:$P$101</c:f>
              <c:strCache>
                <c:ptCount val="12"/>
                <c:pt idx="0">
                  <c:v>Aug
23</c:v>
                </c:pt>
                <c:pt idx="1">
                  <c:v>Sep
23</c:v>
                </c:pt>
                <c:pt idx="2">
                  <c:v>Oct
23</c:v>
                </c:pt>
                <c:pt idx="3">
                  <c:v>Nov
23</c:v>
                </c:pt>
                <c:pt idx="4">
                  <c:v>Dec
23</c:v>
                </c:pt>
                <c:pt idx="5">
                  <c:v>Jan
24</c:v>
                </c:pt>
                <c:pt idx="6">
                  <c:v>Feb
24</c:v>
                </c:pt>
                <c:pt idx="7">
                  <c:v>Mar
24</c:v>
                </c:pt>
                <c:pt idx="8">
                  <c:v>Apr
24</c:v>
                </c:pt>
                <c:pt idx="9">
                  <c:v>May
24</c:v>
                </c:pt>
                <c:pt idx="10">
                  <c:v>Jun
24</c:v>
                </c:pt>
                <c:pt idx="11">
                  <c:v>Jul
24</c:v>
                </c:pt>
              </c:strCache>
            </c:strRef>
          </c:cat>
          <c:val>
            <c:numRef>
              <c:f>Summary!$E$177:$P$177</c:f>
              <c:numCache>
                <c:formatCode>_(#,##0_);\(#,##0\);_("-"_);_)@_)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DD19-4653-B755-85550E814FB7}"/>
            </c:ext>
          </c:extLst>
        </c:ser>
        <c:dLbls>
          <c:showLegendKey val="0"/>
          <c:showVal val="0"/>
          <c:showCatName val="0"/>
          <c:showSerName val="0"/>
          <c:showPercent val="0"/>
          <c:showBubbleSize val="0"/>
        </c:dLbls>
        <c:gapWidth val="150"/>
        <c:overlap val="100"/>
        <c:axId val="546486831"/>
        <c:axId val="1246173471"/>
      </c:barChart>
      <c:lineChart>
        <c:grouping val="standard"/>
        <c:varyColors val="0"/>
        <c:ser>
          <c:idx val="9"/>
          <c:order val="9"/>
          <c:tx>
            <c:strRef>
              <c:f>Summary!$B$178</c:f>
              <c:strCache>
                <c:ptCount val="1"/>
                <c:pt idx="0">
                  <c:v>Net Assets</c:v>
                </c:pt>
              </c:strCache>
            </c:strRef>
          </c:tx>
          <c:spPr>
            <a:ln w="19050" cap="rnd" cmpd="sng" algn="ctr">
              <a:solidFill>
                <a:schemeClr val="accent3"/>
              </a:solidFill>
              <a:prstDash val="solid"/>
              <a:round/>
            </a:ln>
            <a:effectLst/>
          </c:spPr>
          <c:marker>
            <c:symbol val="none"/>
          </c:marker>
          <c:val>
            <c:numRef>
              <c:f>Summary!$E$178:$P$178</c:f>
              <c:numCache>
                <c:formatCode>_(#,##0_);\(#,##0\);_("-"_);_)@_)</c:formatCode>
                <c:ptCount val="12"/>
                <c:pt idx="0">
                  <c:v>290.5281502509024</c:v>
                </c:pt>
                <c:pt idx="1">
                  <c:v>-7592.1959496335767</c:v>
                </c:pt>
                <c:pt idx="2">
                  <c:v>-15321.6612093898</c:v>
                </c:pt>
                <c:pt idx="3">
                  <c:v>-22014.199503167649</c:v>
                </c:pt>
                <c:pt idx="4">
                  <c:v>-32378.982977237843</c:v>
                </c:pt>
                <c:pt idx="5">
                  <c:v>-40533.519575961865</c:v>
                </c:pt>
                <c:pt idx="6">
                  <c:v>-48953.767948939698</c:v>
                </c:pt>
                <c:pt idx="7">
                  <c:v>-57406.661374364747</c:v>
                </c:pt>
                <c:pt idx="8">
                  <c:v>-67051.362793635897</c:v>
                </c:pt>
                <c:pt idx="9">
                  <c:v>-76023.103190794296</c:v>
                </c:pt>
                <c:pt idx="10">
                  <c:v>-84811.903555238765</c:v>
                </c:pt>
                <c:pt idx="11">
                  <c:v>-94259.572887562797</c:v>
                </c:pt>
              </c:numCache>
            </c:numRef>
          </c:val>
          <c:smooth val="0"/>
          <c:extLst>
            <c:ext xmlns:c16="http://schemas.microsoft.com/office/drawing/2014/chart" uri="{C3380CC4-5D6E-409C-BE32-E72D297353CC}">
              <c16:uniqueId val="{00000009-DD19-4653-B755-85550E814FB7}"/>
            </c:ext>
          </c:extLst>
        </c:ser>
        <c:dLbls>
          <c:showLegendKey val="0"/>
          <c:showVal val="0"/>
          <c:showCatName val="0"/>
          <c:showSerName val="0"/>
          <c:showPercent val="0"/>
          <c:showBubbleSize val="0"/>
        </c:dLbls>
        <c:marker val="1"/>
        <c:smooth val="0"/>
        <c:axId val="546486831"/>
        <c:axId val="1246173471"/>
      </c:lineChart>
      <c:catAx>
        <c:axId val="546486831"/>
        <c:scaling>
          <c:orientation val="minMax"/>
        </c:scaling>
        <c:delete val="0"/>
        <c:axPos val="b"/>
        <c:numFmt formatCode="General" sourceLinked="1"/>
        <c:majorTickMark val="none"/>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1246173471"/>
        <c:crosses val="autoZero"/>
        <c:auto val="1"/>
        <c:lblAlgn val="ctr"/>
        <c:lblOffset val="100"/>
        <c:noMultiLvlLbl val="0"/>
      </c:catAx>
      <c:valAx>
        <c:axId val="1246173471"/>
        <c:scaling>
          <c:orientation val="minMax"/>
        </c:scaling>
        <c:delete val="0"/>
        <c:axPos val="l"/>
        <c:majorGridlines>
          <c:spPr>
            <a:ln w="6350" cap="flat" cmpd="sng" algn="ctr">
              <a:solidFill>
                <a:schemeClr val="bg1">
                  <a:lumMod val="95000"/>
                </a:schemeClr>
              </a:solidFill>
              <a:prstDash val="solid"/>
              <a:round/>
            </a:ln>
            <a:effectLst/>
          </c:spPr>
        </c:majorGridlines>
        <c:numFmt formatCode="#,##0" sourceLinked="0"/>
        <c:majorTickMark val="none"/>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546486831"/>
        <c:crosses val="autoZero"/>
        <c:crossBetween val="between"/>
      </c:valAx>
      <c:spPr>
        <a:noFill/>
        <a:ln>
          <a:noFill/>
        </a:ln>
        <a:effectLst/>
      </c:spPr>
    </c:plotArea>
    <c:legend>
      <c:legendPos val="t"/>
      <c:layout>
        <c:manualLayout>
          <c:xMode val="edge"/>
          <c:yMode val="edge"/>
          <c:x val="0.10126582278481013"/>
          <c:y val="6.2510869412139611E-2"/>
          <c:w val="0.8115330520393812"/>
          <c:h val="0.251891973682185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c:spPr>
  <c:txPr>
    <a:bodyPr/>
    <a:lstStyle/>
    <a:p>
      <a:pPr>
        <a:defRPr sz="800">
          <a:solidFill>
            <a:schemeClr val="tx1">
              <a:lumMod val="75000"/>
              <a:lumOff val="25000"/>
            </a:schemeClr>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611833846856105E-2"/>
          <c:y val="6.3312335958005242E-2"/>
          <c:w val="0.93738816615314391"/>
          <c:h val="0.74885400262467194"/>
        </c:manualLayout>
      </c:layout>
      <c:barChart>
        <c:barDir val="col"/>
        <c:grouping val="stacked"/>
        <c:varyColors val="0"/>
        <c:ser>
          <c:idx val="0"/>
          <c:order val="0"/>
          <c:spPr>
            <a:noFill/>
            <a:ln>
              <a:noFill/>
            </a:ln>
            <a:effectLst/>
            <a:extLst>
              <a:ext uri="{909E8E84-426E-40DD-AFC4-6F175D3DCCD1}">
                <a14:hiddenFill xmlns:a14="http://schemas.microsoft.com/office/drawing/2010/main">
                  <a:solidFill>
                    <a:srgbClr val="4472C4"/>
                  </a:solidFill>
                </a14:hiddenFill>
              </a:ext>
            </a:extLst>
          </c:spPr>
          <c:invertIfNegative val="0"/>
          <c:cat>
            <c:strRef>
              <c:f>Summary!$B$182:$B$186</c:f>
              <c:strCache>
                <c:ptCount val="5"/>
                <c:pt idx="0">
                  <c:v>Current Assets</c:v>
                </c:pt>
                <c:pt idx="1">
                  <c:v>Non-Current Assets</c:v>
                </c:pt>
                <c:pt idx="2">
                  <c:v>Current Liabilities</c:v>
                </c:pt>
                <c:pt idx="3">
                  <c:v>Non-Current Liabilities</c:v>
                </c:pt>
                <c:pt idx="4">
                  <c:v>Net Assets</c:v>
                </c:pt>
              </c:strCache>
            </c:strRef>
          </c:cat>
          <c:val>
            <c:numRef>
              <c:f>Summary!$G$182:$G$186</c:f>
              <c:numCache>
                <c:formatCode>_(#,##0_);\(#,##0\);_("-"_);_)@_)</c:formatCode>
                <c:ptCount val="5"/>
                <c:pt idx="0">
                  <c:v>0</c:v>
                </c:pt>
                <c:pt idx="1">
                  <c:v>66932.032226762138</c:v>
                </c:pt>
                <c:pt idx="2">
                  <c:v>205740.4271124372</c:v>
                </c:pt>
                <c:pt idx="3">
                  <c:v>0</c:v>
                </c:pt>
                <c:pt idx="4">
                  <c:v>0</c:v>
                </c:pt>
              </c:numCache>
            </c:numRef>
          </c:val>
          <c:extLst>
            <c:ext xmlns:c16="http://schemas.microsoft.com/office/drawing/2014/chart" uri="{C3380CC4-5D6E-409C-BE32-E72D297353CC}">
              <c16:uniqueId val="{00000000-00E1-4821-9570-83F8573278DC}"/>
            </c:ext>
          </c:extLst>
        </c:ser>
        <c:ser>
          <c:idx val="1"/>
          <c:order val="1"/>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2-00E1-4821-9570-83F8573278D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4-00E1-4821-9570-83F8573278DC}"/>
              </c:ext>
            </c:extLst>
          </c:dPt>
          <c:cat>
            <c:strRef>
              <c:f>Summary!$B$182:$B$186</c:f>
              <c:strCache>
                <c:ptCount val="5"/>
                <c:pt idx="0">
                  <c:v>Current Assets</c:v>
                </c:pt>
                <c:pt idx="1">
                  <c:v>Non-Current Assets</c:v>
                </c:pt>
                <c:pt idx="2">
                  <c:v>Current Liabilities</c:v>
                </c:pt>
                <c:pt idx="3">
                  <c:v>Non-Current Liabilities</c:v>
                </c:pt>
                <c:pt idx="4">
                  <c:v>Net Assets</c:v>
                </c:pt>
              </c:strCache>
            </c:strRef>
          </c:cat>
          <c:val>
            <c:numRef>
              <c:f>Summary!$H$182:$H$186</c:f>
              <c:numCache>
                <c:formatCode>_(#,##0_);\(#,##0\);_("-"_);_)@_)</c:formatCode>
                <c:ptCount val="5"/>
                <c:pt idx="0">
                  <c:v>66932.032226762138</c:v>
                </c:pt>
                <c:pt idx="1">
                  <c:v>145782.88888888882</c:v>
                </c:pt>
                <c:pt idx="2">
                  <c:v>0</c:v>
                </c:pt>
                <c:pt idx="3">
                  <c:v>0</c:v>
                </c:pt>
                <c:pt idx="4">
                  <c:v>0</c:v>
                </c:pt>
              </c:numCache>
            </c:numRef>
          </c:val>
          <c:extLst>
            <c:ext xmlns:c16="http://schemas.microsoft.com/office/drawing/2014/chart" uri="{C3380CC4-5D6E-409C-BE32-E72D297353CC}">
              <c16:uniqueId val="{00000005-00E1-4821-9570-83F8573278DC}"/>
            </c:ext>
          </c:extLst>
        </c:ser>
        <c:ser>
          <c:idx val="2"/>
          <c:order val="2"/>
          <c:spPr>
            <a:noFill/>
            <a:ln>
              <a:noFill/>
            </a:ln>
            <a:effectLst/>
            <a:extLst>
              <a:ext uri="{909E8E84-426E-40DD-AFC4-6F175D3DCCD1}">
                <a14:hiddenFill xmlns:a14="http://schemas.microsoft.com/office/drawing/2010/main">
                  <a:solidFill>
                    <a:srgbClr val="A5A5A5"/>
                  </a:solidFill>
                </a14:hiddenFill>
              </a:ext>
            </a:extLst>
          </c:spPr>
          <c:invertIfNegative val="0"/>
          <c:cat>
            <c:strRef>
              <c:f>Summary!$B$182:$B$186</c:f>
              <c:strCache>
                <c:ptCount val="5"/>
                <c:pt idx="0">
                  <c:v>Current Assets</c:v>
                </c:pt>
                <c:pt idx="1">
                  <c:v>Non-Current Assets</c:v>
                </c:pt>
                <c:pt idx="2">
                  <c:v>Current Liabilities</c:v>
                </c:pt>
                <c:pt idx="3">
                  <c:v>Non-Current Liabilities</c:v>
                </c:pt>
                <c:pt idx="4">
                  <c:v>Net Assets</c:v>
                </c:pt>
              </c:strCache>
            </c:strRef>
          </c:cat>
          <c:val>
            <c:numRef>
              <c:f>Summary!$I$182:$I$186</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6-00E1-4821-9570-83F8573278DC}"/>
            </c:ext>
          </c:extLst>
        </c:ser>
        <c:ser>
          <c:idx val="3"/>
          <c:order val="3"/>
          <c:spPr>
            <a:solidFill>
              <a:schemeClr val="accent2"/>
            </a:solidFill>
            <a:ln>
              <a:noFill/>
            </a:ln>
            <a:effectLst/>
          </c:spPr>
          <c:invertIfNegative val="0"/>
          <c:cat>
            <c:strRef>
              <c:f>Summary!$B$182:$B$186</c:f>
              <c:strCache>
                <c:ptCount val="5"/>
                <c:pt idx="0">
                  <c:v>Current Assets</c:v>
                </c:pt>
                <c:pt idx="1">
                  <c:v>Non-Current Assets</c:v>
                </c:pt>
                <c:pt idx="2">
                  <c:v>Current Liabilities</c:v>
                </c:pt>
                <c:pt idx="3">
                  <c:v>Non-Current Liabilities</c:v>
                </c:pt>
                <c:pt idx="4">
                  <c:v>Net Assets</c:v>
                </c:pt>
              </c:strCache>
            </c:strRef>
          </c:cat>
          <c:val>
            <c:numRef>
              <c:f>Summary!$J$182:$J$186</c:f>
              <c:numCache>
                <c:formatCode>_(#,##0_);\(#,##0\);_("-"_);_)@_)</c:formatCode>
                <c:ptCount val="5"/>
                <c:pt idx="0">
                  <c:v>0</c:v>
                </c:pt>
                <c:pt idx="1">
                  <c:v>0</c:v>
                </c:pt>
                <c:pt idx="2">
                  <c:v>0</c:v>
                </c:pt>
                <c:pt idx="3">
                  <c:v>0</c:v>
                </c:pt>
                <c:pt idx="4">
                  <c:v>0</c:v>
                </c:pt>
              </c:numCache>
            </c:numRef>
          </c:val>
          <c:extLst>
            <c:ext xmlns:c16="http://schemas.microsoft.com/office/drawing/2014/chart" uri="{C3380CC4-5D6E-409C-BE32-E72D297353CC}">
              <c16:uniqueId val="{00000007-00E1-4821-9570-83F8573278DC}"/>
            </c:ext>
          </c:extLst>
        </c:ser>
        <c:ser>
          <c:idx val="4"/>
          <c:order val="4"/>
          <c:spPr>
            <a:solidFill>
              <a:schemeClr val="accent3"/>
            </a:solidFill>
            <a:ln>
              <a:noFill/>
            </a:ln>
            <a:effectLst/>
          </c:spPr>
          <c:invertIfNegative val="0"/>
          <c:cat>
            <c:strRef>
              <c:f>Summary!$B$182:$B$186</c:f>
              <c:strCache>
                <c:ptCount val="5"/>
                <c:pt idx="0">
                  <c:v>Current Assets</c:v>
                </c:pt>
                <c:pt idx="1">
                  <c:v>Non-Current Assets</c:v>
                </c:pt>
                <c:pt idx="2">
                  <c:v>Current Liabilities</c:v>
                </c:pt>
                <c:pt idx="3">
                  <c:v>Non-Current Liabilities</c:v>
                </c:pt>
                <c:pt idx="4">
                  <c:v>Net Assets</c:v>
                </c:pt>
              </c:strCache>
            </c:strRef>
          </c:cat>
          <c:val>
            <c:numRef>
              <c:f>Summary!$K$182:$K$186</c:f>
              <c:numCache>
                <c:formatCode>_(#,##0_);\(#,##0\);_("-"_);_)@_)</c:formatCode>
                <c:ptCount val="5"/>
                <c:pt idx="0">
                  <c:v>0</c:v>
                </c:pt>
                <c:pt idx="1">
                  <c:v>0</c:v>
                </c:pt>
                <c:pt idx="2">
                  <c:v>6974.4940032137602</c:v>
                </c:pt>
                <c:pt idx="3">
                  <c:v>205740.4271124372</c:v>
                </c:pt>
                <c:pt idx="4">
                  <c:v>0</c:v>
                </c:pt>
              </c:numCache>
            </c:numRef>
          </c:val>
          <c:extLst>
            <c:ext xmlns:c16="http://schemas.microsoft.com/office/drawing/2014/chart" uri="{C3380CC4-5D6E-409C-BE32-E72D297353CC}">
              <c16:uniqueId val="{00000008-00E1-4821-9570-83F8573278DC}"/>
            </c:ext>
          </c:extLst>
        </c:ser>
        <c:ser>
          <c:idx val="5"/>
          <c:order val="5"/>
          <c:spPr>
            <a:solidFill>
              <a:schemeClr val="accent3"/>
            </a:solidFill>
            <a:ln>
              <a:noFill/>
            </a:ln>
            <a:effectLst/>
          </c:spPr>
          <c:invertIfNegative val="0"/>
          <c:dPt>
            <c:idx val="0"/>
            <c:invertIfNegative val="0"/>
            <c:bubble3D val="0"/>
            <c:extLst>
              <c:ext xmlns:c16="http://schemas.microsoft.com/office/drawing/2014/chart" uri="{C3380CC4-5D6E-409C-BE32-E72D297353CC}">
                <c16:uniqueId val="{00000009-00E1-4821-9570-83F8573278DC}"/>
              </c:ext>
            </c:extLst>
          </c:dPt>
          <c:cat>
            <c:strRef>
              <c:f>Summary!$B$182:$B$186</c:f>
              <c:strCache>
                <c:ptCount val="5"/>
                <c:pt idx="0">
                  <c:v>Current Assets</c:v>
                </c:pt>
                <c:pt idx="1">
                  <c:v>Non-Current Assets</c:v>
                </c:pt>
                <c:pt idx="2">
                  <c:v>Current Liabilities</c:v>
                </c:pt>
                <c:pt idx="3">
                  <c:v>Non-Current Liabilities</c:v>
                </c:pt>
                <c:pt idx="4">
                  <c:v>Net Assets</c:v>
                </c:pt>
              </c:strCache>
            </c:strRef>
          </c:cat>
          <c:val>
            <c:numRef>
              <c:f>Summary!$L$182:$L$186</c:f>
              <c:numCache>
                <c:formatCode>_(#,##0_);\(#,##0\);_("-"_);_)@_)</c:formatCode>
                <c:ptCount val="5"/>
                <c:pt idx="0">
                  <c:v>0</c:v>
                </c:pt>
                <c:pt idx="1">
                  <c:v>0</c:v>
                </c:pt>
                <c:pt idx="2">
                  <c:v>0</c:v>
                </c:pt>
                <c:pt idx="3">
                  <c:v>-94259.572887562797</c:v>
                </c:pt>
                <c:pt idx="4">
                  <c:v>0</c:v>
                </c:pt>
              </c:numCache>
            </c:numRef>
          </c:val>
          <c:extLst>
            <c:ext xmlns:c16="http://schemas.microsoft.com/office/drawing/2014/chart" uri="{C3380CC4-5D6E-409C-BE32-E72D297353CC}">
              <c16:uniqueId val="{0000000A-00E1-4821-9570-83F8573278DC}"/>
            </c:ext>
          </c:extLst>
        </c:ser>
        <c:ser>
          <c:idx val="6"/>
          <c:order val="6"/>
          <c:spPr>
            <a:solidFill>
              <a:schemeClr val="accent1"/>
            </a:solidFill>
            <a:ln>
              <a:noFill/>
            </a:ln>
            <a:effectLst/>
          </c:spPr>
          <c:invertIfNegative val="0"/>
          <c:cat>
            <c:strRef>
              <c:f>Summary!$B$182:$B$186</c:f>
              <c:strCache>
                <c:ptCount val="5"/>
                <c:pt idx="0">
                  <c:v>Current Assets</c:v>
                </c:pt>
                <c:pt idx="1">
                  <c:v>Non-Current Assets</c:v>
                </c:pt>
                <c:pt idx="2">
                  <c:v>Current Liabilities</c:v>
                </c:pt>
                <c:pt idx="3">
                  <c:v>Non-Current Liabilities</c:v>
                </c:pt>
                <c:pt idx="4">
                  <c:v>Net Assets</c:v>
                </c:pt>
              </c:strCache>
            </c:strRef>
          </c:cat>
          <c:val>
            <c:numRef>
              <c:f>Summary!$M$182:$M$186</c:f>
              <c:numCache>
                <c:formatCode>_(#,##0_);\(#,##0\);_("-"_);_)@_)</c:formatCode>
                <c:ptCount val="5"/>
                <c:pt idx="0">
                  <c:v>0</c:v>
                </c:pt>
                <c:pt idx="1">
                  <c:v>0</c:v>
                </c:pt>
                <c:pt idx="2">
                  <c:v>0</c:v>
                </c:pt>
                <c:pt idx="3">
                  <c:v>0</c:v>
                </c:pt>
                <c:pt idx="4">
                  <c:v>-94259.572887562797</c:v>
                </c:pt>
              </c:numCache>
            </c:numRef>
          </c:val>
          <c:extLst>
            <c:ext xmlns:c16="http://schemas.microsoft.com/office/drawing/2014/chart" uri="{C3380CC4-5D6E-409C-BE32-E72D297353CC}">
              <c16:uniqueId val="{0000000B-00E1-4821-9570-83F8573278DC}"/>
            </c:ext>
          </c:extLst>
        </c:ser>
        <c:dLbls>
          <c:showLegendKey val="0"/>
          <c:showVal val="0"/>
          <c:showCatName val="0"/>
          <c:showSerName val="0"/>
          <c:showPercent val="0"/>
          <c:showBubbleSize val="0"/>
        </c:dLbls>
        <c:gapWidth val="25"/>
        <c:overlap val="100"/>
        <c:axId val="467717120"/>
        <c:axId val="467890944"/>
      </c:barChart>
      <c:catAx>
        <c:axId val="467717120"/>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7890944"/>
        <c:crosses val="autoZero"/>
        <c:auto val="1"/>
        <c:lblAlgn val="ctr"/>
        <c:lblOffset val="100"/>
        <c:noMultiLvlLbl val="0"/>
      </c:catAx>
      <c:valAx>
        <c:axId val="467890944"/>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7717120"/>
        <c:crosses val="autoZero"/>
        <c:crossBetween val="between"/>
      </c:valAx>
      <c:spPr>
        <a:no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82438298754892E-2"/>
          <c:y val="8.6572079433467036E-2"/>
          <c:w val="0.61763979775007694"/>
          <c:h val="0.81839350269895506"/>
        </c:manualLayout>
      </c:layout>
      <c:barChart>
        <c:barDir val="col"/>
        <c:grouping val="clustered"/>
        <c:varyColors val="0"/>
        <c:ser>
          <c:idx val="0"/>
          <c:order val="0"/>
          <c:tx>
            <c:strRef>
              <c:f>Summary!$S$9</c:f>
              <c:strCache>
                <c:ptCount val="1"/>
                <c:pt idx="0">
                  <c:v>PAYG Fencing</c:v>
                </c:pt>
              </c:strCache>
            </c:strRef>
          </c:tx>
          <c:spPr>
            <a:solidFill>
              <a:schemeClr val="accent1"/>
            </a:solidFill>
            <a:ln>
              <a:noFill/>
            </a:ln>
            <a:effectLst/>
          </c:spPr>
          <c:invertIfNegative val="0"/>
          <c:val>
            <c:numRef>
              <c:f>Summary!$AH$9</c:f>
              <c:numCache>
                <c:formatCode>_(#,##0_);\(#,##0\);_("-"_);_)@_)</c:formatCode>
                <c:ptCount val="1"/>
                <c:pt idx="0">
                  <c:v>49176.772016129034</c:v>
                </c:pt>
              </c:numCache>
            </c:numRef>
          </c:val>
          <c:extLst>
            <c:ext xmlns:c16="http://schemas.microsoft.com/office/drawing/2014/chart" uri="{C3380CC4-5D6E-409C-BE32-E72D297353CC}">
              <c16:uniqueId val="{00000000-1A01-41E9-8771-725612929775}"/>
            </c:ext>
          </c:extLst>
        </c:ser>
        <c:ser>
          <c:idx val="1"/>
          <c:order val="1"/>
          <c:tx>
            <c:strRef>
              <c:f>Summary!$S$10</c:f>
              <c:strCache>
                <c:ptCount val="1"/>
                <c:pt idx="0">
                  <c:v>Private Hire</c:v>
                </c:pt>
              </c:strCache>
            </c:strRef>
          </c:tx>
          <c:spPr>
            <a:solidFill>
              <a:schemeClr val="accent2"/>
            </a:solidFill>
            <a:ln>
              <a:noFill/>
            </a:ln>
            <a:effectLst/>
          </c:spPr>
          <c:invertIfNegative val="0"/>
          <c:val>
            <c:numRef>
              <c:f>Summary!$AH$10</c:f>
              <c:numCache>
                <c:formatCode>_(#,##0_);\(#,##0\);_("-"_);_)@_)</c:formatCode>
                <c:ptCount val="1"/>
                <c:pt idx="0">
                  <c:v>7200</c:v>
                </c:pt>
              </c:numCache>
            </c:numRef>
          </c:val>
          <c:extLst>
            <c:ext xmlns:c16="http://schemas.microsoft.com/office/drawing/2014/chart" uri="{C3380CC4-5D6E-409C-BE32-E72D297353CC}">
              <c16:uniqueId val="{00000001-1A01-41E9-8771-725612929775}"/>
            </c:ext>
          </c:extLst>
        </c:ser>
        <c:ser>
          <c:idx val="2"/>
          <c:order val="2"/>
          <c:tx>
            <c:strRef>
              <c:f>Summary!$S$11</c:f>
              <c:strCache>
                <c:ptCount val="1"/>
                <c:pt idx="0">
                  <c:v>Membership Fees</c:v>
                </c:pt>
              </c:strCache>
            </c:strRef>
          </c:tx>
          <c:spPr>
            <a:solidFill>
              <a:schemeClr val="accent3"/>
            </a:solidFill>
            <a:ln>
              <a:noFill/>
            </a:ln>
            <a:effectLst/>
          </c:spPr>
          <c:invertIfNegative val="0"/>
          <c:val>
            <c:numRef>
              <c:f>Summary!$AH$11</c:f>
              <c:numCache>
                <c:formatCode>_(#,##0_);\(#,##0\);_("-"_);_)@_)</c:formatCode>
                <c:ptCount val="1"/>
                <c:pt idx="0">
                  <c:v>4658.333333333333</c:v>
                </c:pt>
              </c:numCache>
            </c:numRef>
          </c:val>
          <c:extLst>
            <c:ext xmlns:c16="http://schemas.microsoft.com/office/drawing/2014/chart" uri="{C3380CC4-5D6E-409C-BE32-E72D297353CC}">
              <c16:uniqueId val="{00000002-1A01-41E9-8771-725612929775}"/>
            </c:ext>
          </c:extLst>
        </c:ser>
        <c:ser>
          <c:idx val="3"/>
          <c:order val="3"/>
          <c:tx>
            <c:strRef>
              <c:f>Summary!$S$12</c:f>
              <c:strCache>
                <c:ptCount val="1"/>
                <c:pt idx="0">
                  <c:v>Merch Sales</c:v>
                </c:pt>
              </c:strCache>
            </c:strRef>
          </c:tx>
          <c:spPr>
            <a:solidFill>
              <a:schemeClr val="accent4"/>
            </a:solidFill>
            <a:ln>
              <a:noFill/>
            </a:ln>
            <a:effectLst/>
          </c:spPr>
          <c:invertIfNegative val="0"/>
          <c:val>
            <c:numRef>
              <c:f>Summary!$AH$12</c:f>
              <c:numCache>
                <c:formatCode>_(#,##0_);\(#,##0\);_("-"_);_)@_)</c:formatCode>
                <c:ptCount val="1"/>
                <c:pt idx="0">
                  <c:v>1420</c:v>
                </c:pt>
              </c:numCache>
            </c:numRef>
          </c:val>
          <c:extLst>
            <c:ext xmlns:c16="http://schemas.microsoft.com/office/drawing/2014/chart" uri="{C3380CC4-5D6E-409C-BE32-E72D297353CC}">
              <c16:uniqueId val="{00000003-1A01-41E9-8771-725612929775}"/>
            </c:ext>
          </c:extLst>
        </c:ser>
        <c:ser>
          <c:idx val="4"/>
          <c:order val="4"/>
          <c:tx>
            <c:strRef>
              <c:f>Summary!$S$13</c:f>
              <c:strCache>
                <c:ptCount val="1"/>
                <c:pt idx="0">
                  <c:v>Book a Piste</c:v>
                </c:pt>
              </c:strCache>
            </c:strRef>
          </c:tx>
          <c:spPr>
            <a:solidFill>
              <a:schemeClr val="accent5"/>
            </a:solidFill>
            <a:ln>
              <a:noFill/>
            </a:ln>
            <a:effectLst/>
          </c:spPr>
          <c:invertIfNegative val="0"/>
          <c:val>
            <c:numRef>
              <c:f>Summary!$AH$13</c:f>
              <c:numCache>
                <c:formatCode>_(#,##0_);\(#,##0\);_("-"_);_)@_)</c:formatCode>
                <c:ptCount val="1"/>
                <c:pt idx="0">
                  <c:v>480</c:v>
                </c:pt>
              </c:numCache>
            </c:numRef>
          </c:val>
          <c:extLst>
            <c:ext xmlns:c16="http://schemas.microsoft.com/office/drawing/2014/chart" uri="{C3380CC4-5D6E-409C-BE32-E72D297353CC}">
              <c16:uniqueId val="{00000004-1A01-41E9-8771-725612929775}"/>
            </c:ext>
          </c:extLst>
        </c:ser>
        <c:dLbls>
          <c:showLegendKey val="0"/>
          <c:showVal val="0"/>
          <c:showCatName val="0"/>
          <c:showSerName val="0"/>
          <c:showPercent val="0"/>
          <c:showBubbleSize val="0"/>
        </c:dLbls>
        <c:gapWidth val="150"/>
        <c:overlap val="-100"/>
        <c:axId val="467268352"/>
        <c:axId val="467269888"/>
      </c:barChart>
      <c:catAx>
        <c:axId val="467268352"/>
        <c:scaling>
          <c:orientation val="minMax"/>
        </c:scaling>
        <c:delete val="1"/>
        <c:axPos val="b"/>
        <c:majorTickMark val="out"/>
        <c:minorTickMark val="none"/>
        <c:tickLblPos val="none"/>
        <c:crossAx val="467269888"/>
        <c:crosses val="autoZero"/>
        <c:auto val="1"/>
        <c:lblAlgn val="ctr"/>
        <c:lblOffset val="100"/>
        <c:noMultiLvlLbl val="0"/>
      </c:catAx>
      <c:valAx>
        <c:axId val="467269888"/>
        <c:scaling>
          <c:orientation val="minMax"/>
        </c:scaling>
        <c:delete val="0"/>
        <c:axPos val="l"/>
        <c:majorGridlines>
          <c:spPr>
            <a:ln w="9525" cap="flat" cmpd="sng" algn="ctr">
              <a:solidFill>
                <a:schemeClr val="bg1">
                  <a:lumMod val="95000"/>
                </a:schemeClr>
              </a:solidFill>
              <a:prstDash val="solid"/>
              <a:round/>
            </a:ln>
            <a:effectLst/>
          </c:spPr>
        </c:majorGridlines>
        <c:numFmt formatCode="_(#,##0_);\(#,##0\);_(&quot;-&quot;_);_)@_)"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crossAx val="467268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800">
          <a:solidFill>
            <a:schemeClr val="tx1">
              <a:lumMod val="75000"/>
              <a:lumOff val="25000"/>
            </a:schemeClr>
          </a:solidFill>
        </a:defRPr>
      </a:pPr>
      <a:endParaRPr lang="en-US"/>
    </a:p>
  </c:txPr>
  <c:printSettings>
    <c:headerFooter/>
    <c:pageMargins b="0.75000000000000133" l="0.70000000000000062" r="0.70000000000000062" t="0.75000000000000133"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B$195" lockText="1" noThreeD="1"/>
</file>

<file path=xl/ctrlProps/ctrlProp10.xml><?xml version="1.0" encoding="utf-8"?>
<formControlPr xmlns="http://schemas.microsoft.com/office/spreadsheetml/2009/9/main" objectType="Drop" dropLines="20" dropStyle="combo" dx="15" fmlaLink="$H$146" fmlaRange="Lookups!$D$130:$D$132" noThreeD="1" sel="3" val="0"/>
</file>

<file path=xl/ctrlProps/ctrlProp11.xml><?xml version="1.0" encoding="utf-8"?>
<formControlPr xmlns="http://schemas.microsoft.com/office/spreadsheetml/2009/9/main" objectType="Drop" dropLines="20" dropStyle="combo" dx="15" fmlaLink="$H$147" fmlaRange="Lookups!$D$130:$D$132" noThreeD="1" sel="1" val="0"/>
</file>

<file path=xl/ctrlProps/ctrlProp12.xml><?xml version="1.0" encoding="utf-8"?>
<formControlPr xmlns="http://schemas.microsoft.com/office/spreadsheetml/2009/9/main" objectType="Drop" dropLines="20" dropStyle="combo" dx="15" fmlaLink="$H$149" fmlaRange="Lookups!$D$130:$D$132" noThreeD="1" sel="3" val="0"/>
</file>

<file path=xl/ctrlProps/ctrlProp13.xml><?xml version="1.0" encoding="utf-8"?>
<formControlPr xmlns="http://schemas.microsoft.com/office/spreadsheetml/2009/9/main" objectType="Drop" dropLines="20" dropStyle="combo" dx="15" fmlaLink="$H$155" fmlaRange="Lookups!$D$130:$D$132" noThreeD="1" sel="1" val="0"/>
</file>

<file path=xl/ctrlProps/ctrlProp14.xml><?xml version="1.0" encoding="utf-8"?>
<formControlPr xmlns="http://schemas.microsoft.com/office/spreadsheetml/2009/9/main" objectType="Drop" dropLines="20" dropStyle="combo" dx="15" fmlaLink="$H$156" fmlaRange="Lookups!$D$130:$D$132" noThreeD="1" sel="1" val="0"/>
</file>

<file path=xl/ctrlProps/ctrlProp15.xml><?xml version="1.0" encoding="utf-8"?>
<formControlPr xmlns="http://schemas.microsoft.com/office/spreadsheetml/2009/9/main" objectType="Drop" dropLines="20" dropStyle="combo" dx="15" fmlaLink="$H$243" fmlaRange="Lookups!$D$138:$D$139" noThreeD="1" sel="1" val="0"/>
</file>

<file path=xl/ctrlProps/ctrlProp16.xml><?xml version="1.0" encoding="utf-8"?>
<formControlPr xmlns="http://schemas.microsoft.com/office/spreadsheetml/2009/9/main" objectType="Drop" dropLines="20" dropStyle="combo" dx="15" fmlaLink="$H$157" fmlaRange="Lookups!$D$130:$D$132" noThreeD="1" sel="1" val="0"/>
</file>

<file path=xl/ctrlProps/ctrlProp17.xml><?xml version="1.0" encoding="utf-8"?>
<formControlPr xmlns="http://schemas.microsoft.com/office/spreadsheetml/2009/9/main" objectType="Drop" dropLines="20" dropStyle="combo" dx="15" fmlaLink="$H$23" fmlaRange="Lookups!$D$116:$D$117" noThreeD="1" sel="1" val="0"/>
</file>

<file path=xl/ctrlProps/ctrlProp18.xml><?xml version="1.0" encoding="utf-8"?>
<formControlPr xmlns="http://schemas.microsoft.com/office/spreadsheetml/2009/9/main" objectType="Drop" dropLines="20" dropStyle="combo" dx="15" fmlaLink="$H$24" fmlaRange="Lookups!$D$116:$D$117" noThreeD="1" sel="1" val="0"/>
</file>

<file path=xl/ctrlProps/ctrlProp19.xml><?xml version="1.0" encoding="utf-8"?>
<formControlPr xmlns="http://schemas.microsoft.com/office/spreadsheetml/2009/9/main" objectType="Drop" dropLines="20" dropStyle="combo" dx="15" fmlaLink="$H$150" fmlaRange="Lookups!$D$130:$D$132" noThreeD="1" sel="3" val="0"/>
</file>

<file path=xl/ctrlProps/ctrlProp2.xml><?xml version="1.0" encoding="utf-8"?>
<formControlPr xmlns="http://schemas.microsoft.com/office/spreadsheetml/2009/9/main" objectType="Drop" dropLines="20" dropStyle="combo" dx="15" fmlaLink="DD_Fs_Sum_First_Disp_Per" fmlaRange="LU_Fs_Sum_First_Disp_Per" noThreeD="1" sel="1" val="0"/>
</file>

<file path=xl/ctrlProps/ctrlProp20.xml><?xml version="1.0" encoding="utf-8"?>
<formControlPr xmlns="http://schemas.microsoft.com/office/spreadsheetml/2009/9/main" objectType="Drop" dropLines="20" dropStyle="combo" dx="15" fmlaLink="$H$152" fmlaRange="Lookups!$D$130:$D$132" noThreeD="1" sel="2" val="0"/>
</file>

<file path=xl/ctrlProps/ctrlProp21.xml><?xml version="1.0" encoding="utf-8"?>
<formControlPr xmlns="http://schemas.microsoft.com/office/spreadsheetml/2009/9/main" objectType="Drop" dropLines="20" dropStyle="combo" dx="15" fmlaLink="$H$153" fmlaRange="Lookups!$D$130:$D$132" noThreeD="1" sel="2" val="0"/>
</file>

<file path=xl/ctrlProps/ctrlProp22.xml><?xml version="1.0" encoding="utf-8"?>
<formControlPr xmlns="http://schemas.microsoft.com/office/spreadsheetml/2009/9/main" objectType="Drop" dropLines="20" dropStyle="combo" dx="15" fmlaLink="$H$154" fmlaRange="Lookups!$D$130:$D$132" noThreeD="1" sel="1" val="0"/>
</file>

<file path=xl/ctrlProps/ctrlProp23.xml><?xml version="1.0" encoding="utf-8"?>
<formControlPr xmlns="http://schemas.microsoft.com/office/spreadsheetml/2009/9/main" objectType="Drop" dropLines="20" dropStyle="combo" dx="15" fmlaLink="$H$27" fmlaRange="Lookups!$D$116:$D$117" noThreeD="1" sel="1" val="0"/>
</file>

<file path=xl/ctrlProps/ctrlProp24.xml><?xml version="1.0" encoding="utf-8"?>
<formControlPr xmlns="http://schemas.microsoft.com/office/spreadsheetml/2009/9/main" objectType="Drop" dropLines="20" dropStyle="combo" dx="15" fmlaLink="$H$90" fmlaRange="Lookups!$D$123:$D$124" noThreeD="1" sel="1" val="0"/>
</file>

<file path=xl/ctrlProps/ctrlProp25.xml><?xml version="1.0" encoding="utf-8"?>
<formControlPr xmlns="http://schemas.microsoft.com/office/spreadsheetml/2009/9/main" objectType="Drop" dropLines="20" dropStyle="combo" dx="15" fmlaLink="$H$148" fmlaRange="Lookups!$D$130:$D$132" noThreeD="1" sel="1" val="0"/>
</file>

<file path=xl/ctrlProps/ctrlProp26.xml><?xml version="1.0" encoding="utf-8"?>
<formControlPr xmlns="http://schemas.microsoft.com/office/spreadsheetml/2009/9/main" objectType="Drop" dropLines="20" dropStyle="combo" dx="15" fmlaLink="$H$28" fmlaRange="Lookups!$D$116:$D$117" noThreeD="1" sel="1" val="0"/>
</file>

<file path=xl/ctrlProps/ctrlProp27.xml><?xml version="1.0" encoding="utf-8"?>
<formControlPr xmlns="http://schemas.microsoft.com/office/spreadsheetml/2009/9/main" objectType="Drop" dropLines="20" dropStyle="combo" dx="15" fmlaLink="$H$151" fmlaRange="Lookups!$D$130:$D$132" noThreeD="1" sel="1" val="0"/>
</file>

<file path=xl/ctrlProps/ctrlProp28.xml><?xml version="1.0" encoding="utf-8"?>
<formControlPr xmlns="http://schemas.microsoft.com/office/spreadsheetml/2009/9/main" objectType="Drop" dropLines="20" dropStyle="combo" dx="15" fmlaLink="$H$45" fmlaRange="LU_Assets_Cat_Names" noThreeD="1" sel="1" val="0"/>
</file>

<file path=xl/ctrlProps/ctrlProp29.xml><?xml version="1.0" encoding="utf-8"?>
<formControlPr xmlns="http://schemas.microsoft.com/office/spreadsheetml/2009/9/main" objectType="Drop" dropLines="20" dropStyle="combo" dx="15" fmlaLink="$H$46" fmlaRange="LU_Assets_Cat_Names" noThreeD="1" sel="2" val="0"/>
</file>

<file path=xl/ctrlProps/ctrlProp3.xml><?xml version="1.0" encoding="utf-8"?>
<formControlPr xmlns="http://schemas.microsoft.com/office/spreadsheetml/2009/9/main" objectType="Drop" dropLines="20" dropStyle="combo" dx="15" fmlaLink="DD_Scenarios_Active" fmlaRange="LU_Scenarios_Names" noThreeD="1" sel="1" val="0"/>
</file>

<file path=xl/ctrlProps/ctrlProp30.xml><?xml version="1.0" encoding="utf-8"?>
<formControlPr xmlns="http://schemas.microsoft.com/office/spreadsheetml/2009/9/main" objectType="CheckBox" checked="Checked" fmlaLink="CB_Eq_Ord_Cash_Limit_Div" lockText="1" noThreeD="1"/>
</file>

<file path=xl/ctrlProps/ctrlProp31.xml><?xml version="1.0" encoding="utf-8"?>
<formControlPr xmlns="http://schemas.microsoft.com/office/spreadsheetml/2009/9/main" objectType="Drop" dropLines="20" dropStyle="combo" dx="15" fmlaLink="DD_Corp_Tax_Yr_End_Mth" fmlaRange="LU_Corp_Tax_Yr_End_Mth" noThreeD="1" sel="6" val="0"/>
</file>

<file path=xl/ctrlProps/ctrlProp32.xml><?xml version="1.0" encoding="utf-8"?>
<formControlPr xmlns="http://schemas.microsoft.com/office/spreadsheetml/2009/9/main" objectType="Drop" dropLines="20" dropStyle="combo" dx="15" fmlaLink="DD_VAT_Yr_End_Mth" fmlaRange="LU_VAT_Yr_End_Mth" noThreeD="1" sel="6" val="0"/>
</file>

<file path=xl/ctrlProps/ctrlProp33.xml><?xml version="1.0" encoding="utf-8"?>
<formControlPr xmlns="http://schemas.microsoft.com/office/spreadsheetml/2009/9/main" objectType="Drop" dropLines="20" dropStyle="combo" dx="15" fmlaLink="DD_Ts_Fin_Yr_End_Mth" fmlaRange="LU_Ts_Mth_Names" noThreeD="1" sel="7" val="0"/>
</file>

<file path=xl/ctrlProps/ctrlProp34.xml><?xml version="1.0" encoding="utf-8"?>
<formControlPr xmlns="http://schemas.microsoft.com/office/spreadsheetml/2009/9/main" objectType="Drop" dropLines="20" dropStyle="combo" dx="15" fmlaLink="DD_Ts_Denom" fmlaRange="LU_Ts_Denom" noThreeD="1" sel="1" val="0"/>
</file>

<file path=xl/ctrlProps/ctrlProp35.xml><?xml version="1.0" encoding="utf-8"?>
<formControlPr xmlns="http://schemas.microsoft.com/office/spreadsheetml/2009/9/main" objectType="Drop" dropLines="20" dropStyle="combo" dx="15" fmlaLink="DD_Ts_Model_Start_Mth" fmlaRange="LU_Ts_Model_Start_Mth" noThreeD="1" sel="1" val="0"/>
</file>

<file path=xl/ctrlProps/ctrlProp4.xml><?xml version="1.0" encoding="utf-8"?>
<formControlPr xmlns="http://schemas.microsoft.com/office/spreadsheetml/2009/9/main" objectType="Drop" dropLines="20" dropStyle="combo" dx="15" fmlaLink="DD_Scen_Db_First_Disp_Per" fmlaRange="LU_Scen_Db_First_Disp_Per" noThreeD="1" sel="1" val="0"/>
</file>

<file path=xl/ctrlProps/ctrlProp5.xml><?xml version="1.0" encoding="utf-8"?>
<formControlPr xmlns="http://schemas.microsoft.com/office/spreadsheetml/2009/9/main" objectType="Drop" dropLines="20" dropStyle="combo" dx="15" fmlaLink="$H$22" fmlaRange="Lookups!$D$116:$D$117" noThreeD="1" sel="1" val="0"/>
</file>

<file path=xl/ctrlProps/ctrlProp6.xml><?xml version="1.0" encoding="utf-8"?>
<formControlPr xmlns="http://schemas.microsoft.com/office/spreadsheetml/2009/9/main" objectType="Drop" dropLines="20" dropStyle="combo" dx="15" fmlaLink="$H$25" fmlaRange="Lookups!$D$116:$D$117" noThreeD="1" sel="1" val="0"/>
</file>

<file path=xl/ctrlProps/ctrlProp7.xml><?xml version="1.0" encoding="utf-8"?>
<formControlPr xmlns="http://schemas.microsoft.com/office/spreadsheetml/2009/9/main" objectType="Drop" dropLines="20" dropStyle="combo" dx="15" fmlaLink="$H$26" fmlaRange="Lookups!$D$116:$D$117" noThreeD="1" sel="1" val="0"/>
</file>

<file path=xl/ctrlProps/ctrlProp8.xml><?xml version="1.0" encoding="utf-8"?>
<formControlPr xmlns="http://schemas.microsoft.com/office/spreadsheetml/2009/9/main" objectType="Drop" dropLines="20" dropStyle="combo" dx="15" fmlaLink="$H$88" fmlaRange="Lookups!$D$123:$D$124" noThreeD="1" sel="1" val="0"/>
</file>

<file path=xl/ctrlProps/ctrlProp9.xml><?xml version="1.0" encoding="utf-8"?>
<formControlPr xmlns="http://schemas.microsoft.com/office/spreadsheetml/2009/9/main" objectType="Drop" dropLines="20" dropStyle="combo" dx="15" fmlaLink="$H$89" fmlaRange="Lookups!$D$123:$D$12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svg"/><Relationship Id="rId18" Type="http://schemas.openxmlformats.org/officeDocument/2006/relationships/image" Target="../media/image11.png"/><Relationship Id="rId26" Type="http://schemas.openxmlformats.org/officeDocument/2006/relationships/hyperlink" Target="#HL_Inst_Rev_Exp"/><Relationship Id="rId21" Type="http://schemas.openxmlformats.org/officeDocument/2006/relationships/image" Target="../media/image13.png"/><Relationship Id="rId34" Type="http://schemas.openxmlformats.org/officeDocument/2006/relationships/hyperlink" Target="http://www.modano.com/instructions/time_series_assumptions/learn" TargetMode="External"/><Relationship Id="rId7" Type="http://schemas.openxmlformats.org/officeDocument/2006/relationships/hyperlink" Target="http://www.modano.com/instructions/account" TargetMode="External"/><Relationship Id="rId12" Type="http://schemas.openxmlformats.org/officeDocument/2006/relationships/image" Target="../media/image7.png"/><Relationship Id="rId17" Type="http://schemas.openxmlformats.org/officeDocument/2006/relationships/hyperlink" Target="http://www.modano.com/instructions/training_and_certification" TargetMode="External"/><Relationship Id="rId25" Type="http://schemas.openxmlformats.org/officeDocument/2006/relationships/image" Target="../media/image16.svg"/><Relationship Id="rId33" Type="http://schemas.openxmlformats.org/officeDocument/2006/relationships/hyperlink" Target="http://www.modano.com/instructions/scenario_analysis/learn" TargetMode="External"/><Relationship Id="rId38" Type="http://schemas.openxmlformats.org/officeDocument/2006/relationships/hyperlink" Target="http://www.modano.com/instructions/obs/learn" TargetMode="External"/><Relationship Id="rId2" Type="http://schemas.openxmlformats.org/officeDocument/2006/relationships/image" Target="../media/image3.png"/><Relationship Id="rId16" Type="http://schemas.openxmlformats.org/officeDocument/2006/relationships/image" Target="../media/image10.svg"/><Relationship Id="rId20" Type="http://schemas.openxmlformats.org/officeDocument/2006/relationships/hyperlink" Target="http://www.modano.com/instructions/request_support" TargetMode="External"/><Relationship Id="rId29" Type="http://schemas.openxmlformats.org/officeDocument/2006/relationships/hyperlink" Target="http://www.modano.com" TargetMode="External"/><Relationship Id="rId1" Type="http://schemas.openxmlformats.org/officeDocument/2006/relationships/hyperlink" Target="http://www.modano.com/instructions/installation" TargetMode="External"/><Relationship Id="rId6" Type="http://schemas.openxmlformats.org/officeDocument/2006/relationships/hyperlink" Target="http://www.modano.com/instructions/training" TargetMode="External"/><Relationship Id="rId11" Type="http://schemas.openxmlformats.org/officeDocument/2006/relationships/hyperlink" Target="http://www.modano.com/instructions/connections" TargetMode="External"/><Relationship Id="rId24" Type="http://schemas.openxmlformats.org/officeDocument/2006/relationships/image" Target="../media/image15.png"/><Relationship Id="rId32" Type="http://schemas.openxmlformats.org/officeDocument/2006/relationships/hyperlink" Target="#Scenarios_Count"/><Relationship Id="rId37" Type="http://schemas.openxmlformats.org/officeDocument/2006/relationships/hyperlink" Target="#HL_Inst_Obs"/><Relationship Id="rId5" Type="http://schemas.openxmlformats.org/officeDocument/2006/relationships/hyperlink" Target="http://www.modano.com/instructions/support" TargetMode="External"/><Relationship Id="rId15" Type="http://schemas.openxmlformats.org/officeDocument/2006/relationships/image" Target="../media/image9.png"/><Relationship Id="rId23" Type="http://schemas.openxmlformats.org/officeDocument/2006/relationships/hyperlink" Target="#HL_Inst_Ts_Ass"/><Relationship Id="rId28" Type="http://schemas.openxmlformats.org/officeDocument/2006/relationships/image" Target="../media/image18.svg"/><Relationship Id="rId36" Type="http://schemas.openxmlformats.org/officeDocument/2006/relationships/hyperlink" Target="http://www.modano.com/instructions/forecasts/learn" TargetMode="External"/><Relationship Id="rId10" Type="http://schemas.openxmlformats.org/officeDocument/2006/relationships/image" Target="../media/image6.svg"/><Relationship Id="rId19" Type="http://schemas.openxmlformats.org/officeDocument/2006/relationships/image" Target="../media/image12.svg"/><Relationship Id="rId31" Type="http://schemas.openxmlformats.org/officeDocument/2006/relationships/image" Target="../media/image19.svg"/><Relationship Id="rId4" Type="http://schemas.openxmlformats.org/officeDocument/2006/relationships/hyperlink" Target="http://www.modano.com/instructions/getting_started" TargetMode="External"/><Relationship Id="rId9" Type="http://schemas.openxmlformats.org/officeDocument/2006/relationships/image" Target="../media/image5.png"/><Relationship Id="rId14" Type="http://schemas.openxmlformats.org/officeDocument/2006/relationships/hyperlink" Target="http://www.modano.com/instructions/video/customizing_your_model" TargetMode="External"/><Relationship Id="rId22" Type="http://schemas.openxmlformats.org/officeDocument/2006/relationships/image" Target="../media/image14.svg"/><Relationship Id="rId27" Type="http://schemas.openxmlformats.org/officeDocument/2006/relationships/image" Target="../media/image17.png"/><Relationship Id="rId30" Type="http://schemas.openxmlformats.org/officeDocument/2006/relationships/image" Target="../media/image1.png"/><Relationship Id="rId35" Type="http://schemas.openxmlformats.org/officeDocument/2006/relationships/hyperlink" Target="http://www.modano.com/instructions/connections/learn" TargetMode="External"/><Relationship Id="rId8" Type="http://schemas.openxmlformats.org/officeDocument/2006/relationships/hyperlink" Target="http://www.modano.com/instructions/help_center" TargetMode="External"/><Relationship Id="rId3" Type="http://schemas.openxmlformats.org/officeDocument/2006/relationships/image" Target="../media/image4.sv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11</xdr:col>
      <xdr:colOff>277104</xdr:colOff>
      <xdr:row>0</xdr:row>
      <xdr:rowOff>76200</xdr:rowOff>
    </xdr:from>
    <xdr:to>
      <xdr:col>13</xdr:col>
      <xdr:colOff>0</xdr:colOff>
      <xdr:row>2</xdr:row>
      <xdr:rowOff>76200</xdr:rowOff>
    </xdr:to>
    <xdr:pic>
      <xdr:nvPicPr>
        <xdr:cNvPr id="3" name="Graphic 2">
          <a:extLst>
            <a:ext uri="{FF2B5EF4-FFF2-40B4-BE49-F238E27FC236}">
              <a16:creationId xmlns:a16="http://schemas.microsoft.com/office/drawing/2014/main" id="{998D68BF-4D1C-E5B9-9777-73F6647BD4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668254" y="76200"/>
          <a:ext cx="1284996" cy="3524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234</xdr:row>
          <xdr:rowOff>0</xdr:rowOff>
        </xdr:from>
        <xdr:to>
          <xdr:col>9</xdr:col>
          <xdr:colOff>0</xdr:colOff>
          <xdr:row>235</xdr:row>
          <xdr:rowOff>0</xdr:rowOff>
        </xdr:to>
        <xdr:sp macro="" textlink="">
          <xdr:nvSpPr>
            <xdr:cNvPr id="6152" name="bpmDropDownCorp_Tax1" hidden="1">
              <a:extLst>
                <a:ext uri="{63B3BB69-23CF-44E3-9099-C40C66FF867C}">
                  <a14:compatExt spid="_x0000_s6152"/>
                </a:ext>
                <a:ext uri="{FF2B5EF4-FFF2-40B4-BE49-F238E27FC236}">
                  <a16:creationId xmlns:a16="http://schemas.microsoft.com/office/drawing/2014/main" id="{E1236D90-C1CC-4933-B684-480E33BBAA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20</xdr:row>
          <xdr:rowOff>0</xdr:rowOff>
        </xdr:from>
        <xdr:to>
          <xdr:col>9</xdr:col>
          <xdr:colOff>0</xdr:colOff>
          <xdr:row>21</xdr:row>
          <xdr:rowOff>0</xdr:rowOff>
        </xdr:to>
        <xdr:sp macro="" textlink="">
          <xdr:nvSpPr>
            <xdr:cNvPr id="6155" name="bpmDropDownVAT1" hidden="1">
              <a:extLst>
                <a:ext uri="{63B3BB69-23CF-44E3-9099-C40C66FF867C}">
                  <a14:compatExt spid="_x0000_s6155"/>
                </a:ext>
                <a:ext uri="{FF2B5EF4-FFF2-40B4-BE49-F238E27FC236}">
                  <a16:creationId xmlns:a16="http://schemas.microsoft.com/office/drawing/2014/main" id="{3D5FE4BF-3486-471E-AA9D-6D474E5588B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6</xdr:row>
          <xdr:rowOff>0</xdr:rowOff>
        </xdr:from>
        <xdr:to>
          <xdr:col>9</xdr:col>
          <xdr:colOff>0</xdr:colOff>
          <xdr:row>7</xdr:row>
          <xdr:rowOff>0</xdr:rowOff>
        </xdr:to>
        <xdr:sp macro="" textlink="">
          <xdr:nvSpPr>
            <xdr:cNvPr id="3073" name="bpmDropDownTs1" hidden="1">
              <a:extLst>
                <a:ext uri="{63B3BB69-23CF-44E3-9099-C40C66FF867C}">
                  <a14:compatExt spid="_x0000_s3073"/>
                </a:ext>
                <a:ext uri="{FF2B5EF4-FFF2-40B4-BE49-F238E27FC236}">
                  <a16:creationId xmlns:a16="http://schemas.microsoft.com/office/drawing/2014/main" id="{4B672159-7301-4AEB-90CC-A18EA56BDB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16</xdr:row>
          <xdr:rowOff>0</xdr:rowOff>
        </xdr:from>
        <xdr:to>
          <xdr:col>9</xdr:col>
          <xdr:colOff>0</xdr:colOff>
          <xdr:row>17</xdr:row>
          <xdr:rowOff>0</xdr:rowOff>
        </xdr:to>
        <xdr:sp macro="" textlink="">
          <xdr:nvSpPr>
            <xdr:cNvPr id="3074" name="bpmDropDownTs2" hidden="1">
              <a:extLst>
                <a:ext uri="{63B3BB69-23CF-44E3-9099-C40C66FF867C}">
                  <a14:compatExt spid="_x0000_s3074"/>
                </a:ext>
                <a:ext uri="{FF2B5EF4-FFF2-40B4-BE49-F238E27FC236}">
                  <a16:creationId xmlns:a16="http://schemas.microsoft.com/office/drawing/2014/main" id="{57CE25F6-A8F9-4D43-846E-F7708100DC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9</xdr:col>
          <xdr:colOff>0</xdr:colOff>
          <xdr:row>9</xdr:row>
          <xdr:rowOff>0</xdr:rowOff>
        </xdr:to>
        <xdr:sp macro="" textlink="">
          <xdr:nvSpPr>
            <xdr:cNvPr id="3075" name="bpmDropDownTs3" hidden="1">
              <a:extLst>
                <a:ext uri="{63B3BB69-23CF-44E3-9099-C40C66FF867C}">
                  <a14:compatExt spid="_x0000_s3075"/>
                </a:ext>
                <a:ext uri="{FF2B5EF4-FFF2-40B4-BE49-F238E27FC236}">
                  <a16:creationId xmlns:a16="http://schemas.microsoft.com/office/drawing/2014/main" id="{9B74C93C-276C-4A78-A4C4-C13102266D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1</xdr:colOff>
      <xdr:row>20</xdr:row>
      <xdr:rowOff>0</xdr:rowOff>
    </xdr:from>
    <xdr:to>
      <xdr:col>13</xdr:col>
      <xdr:colOff>0</xdr:colOff>
      <xdr:row>22</xdr:row>
      <xdr:rowOff>111370</xdr:rowOff>
    </xdr:to>
    <xdr:grpSp>
      <xdr:nvGrpSpPr>
        <xdr:cNvPr id="2" name="InstructionsGroupInstallation">
          <a:hlinkClick xmlns:r="http://schemas.openxmlformats.org/officeDocument/2006/relationships" r:id="rId1"/>
          <a:extLst>
            <a:ext uri="{FF2B5EF4-FFF2-40B4-BE49-F238E27FC236}">
              <a16:creationId xmlns:a16="http://schemas.microsoft.com/office/drawing/2014/main" id="{314004F9-13CA-4786-ABA8-278512CC0839}"/>
            </a:ext>
          </a:extLst>
        </xdr:cNvPr>
        <xdr:cNvGrpSpPr/>
      </xdr:nvGrpSpPr>
      <xdr:grpSpPr>
        <a:xfrm>
          <a:off x="330201" y="2387600"/>
          <a:ext cx="914399" cy="339970"/>
          <a:chOff x="371476" y="3209925"/>
          <a:chExt cx="1028699" cy="339970"/>
        </a:xfrm>
      </xdr:grpSpPr>
      <xdr:pic>
        <xdr:nvPicPr>
          <xdr:cNvPr id="3" name="InstructionsIconAddIn">
            <a:extLst>
              <a:ext uri="{FF2B5EF4-FFF2-40B4-BE49-F238E27FC236}">
                <a16:creationId xmlns:a16="http://schemas.microsoft.com/office/drawing/2014/main" id="{35E39472-6119-90D5-1F63-DFA0748D62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8064" y="3318164"/>
            <a:ext cx="137160" cy="138891"/>
          </a:xfrm>
          <a:prstGeom prst="rect">
            <a:avLst/>
          </a:prstGeom>
        </xdr:spPr>
      </xdr:pic>
      <xdr:sp macro="" textlink="">
        <xdr:nvSpPr>
          <xdr:cNvPr id="4" name="InstructionsButtonAddIn">
            <a:hlinkClick xmlns:r="http://schemas.openxmlformats.org/officeDocument/2006/relationships" r:id="rId1"/>
            <a:extLst>
              <a:ext uri="{FF2B5EF4-FFF2-40B4-BE49-F238E27FC236}">
                <a16:creationId xmlns:a16="http://schemas.microsoft.com/office/drawing/2014/main" id="{62F7688F-C6A7-D8B7-F249-7A7E0F9A0FF9}"/>
              </a:ext>
            </a:extLst>
          </xdr:cNvPr>
          <xdr:cNvSpPr/>
        </xdr:nvSpPr>
        <xdr:spPr>
          <a:xfrm>
            <a:off x="371476" y="3209925"/>
            <a:ext cx="1028699" cy="339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72</xdr:col>
      <xdr:colOff>0</xdr:colOff>
      <xdr:row>5</xdr:row>
      <xdr:rowOff>0</xdr:rowOff>
    </xdr:from>
    <xdr:to>
      <xdr:col>84</xdr:col>
      <xdr:colOff>0</xdr:colOff>
      <xdr:row>5</xdr:row>
      <xdr:rowOff>523874</xdr:rowOff>
    </xdr:to>
    <xdr:sp macro="" textlink="">
      <xdr:nvSpPr>
        <xdr:cNvPr id="5" name="InstructionsButtonTopGs">
          <a:hlinkClick xmlns:r="http://schemas.openxmlformats.org/officeDocument/2006/relationships" r:id="rId4"/>
          <a:extLst>
            <a:ext uri="{FF2B5EF4-FFF2-40B4-BE49-F238E27FC236}">
              <a16:creationId xmlns:a16="http://schemas.microsoft.com/office/drawing/2014/main" id="{A7E0F180-2C8F-4DE8-96EC-DA013795DB19}"/>
            </a:ext>
          </a:extLst>
        </xdr:cNvPr>
        <xdr:cNvSpPr/>
      </xdr:nvSpPr>
      <xdr:spPr>
        <a:xfrm>
          <a:off x="7858125" y="0"/>
          <a:ext cx="1276350" cy="5238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84</xdr:col>
      <xdr:colOff>0</xdr:colOff>
      <xdr:row>5</xdr:row>
      <xdr:rowOff>0</xdr:rowOff>
    </xdr:from>
    <xdr:to>
      <xdr:col>91</xdr:col>
      <xdr:colOff>0</xdr:colOff>
      <xdr:row>6</xdr:row>
      <xdr:rowOff>0</xdr:rowOff>
    </xdr:to>
    <xdr:sp macro="" textlink="">
      <xdr:nvSpPr>
        <xdr:cNvPr id="6" name="InstructionsButtonTopSupport">
          <a:hlinkClick xmlns:r="http://schemas.openxmlformats.org/officeDocument/2006/relationships" r:id="rId5"/>
          <a:extLst>
            <a:ext uri="{FF2B5EF4-FFF2-40B4-BE49-F238E27FC236}">
              <a16:creationId xmlns:a16="http://schemas.microsoft.com/office/drawing/2014/main" id="{2221B151-F0EE-473E-B145-213A59B57607}"/>
            </a:ext>
          </a:extLst>
        </xdr:cNvPr>
        <xdr:cNvSpPr/>
      </xdr:nvSpPr>
      <xdr:spPr>
        <a:xfrm>
          <a:off x="9134475" y="0"/>
          <a:ext cx="800100"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91</xdr:col>
      <xdr:colOff>0</xdr:colOff>
      <xdr:row>5</xdr:row>
      <xdr:rowOff>0</xdr:rowOff>
    </xdr:from>
    <xdr:to>
      <xdr:col>98</xdr:col>
      <xdr:colOff>0</xdr:colOff>
      <xdr:row>6</xdr:row>
      <xdr:rowOff>0</xdr:rowOff>
    </xdr:to>
    <xdr:sp macro="" textlink="">
      <xdr:nvSpPr>
        <xdr:cNvPr id="7" name="InstructionsButtonTopTraining">
          <a:hlinkClick xmlns:r="http://schemas.openxmlformats.org/officeDocument/2006/relationships" r:id="rId6"/>
          <a:extLst>
            <a:ext uri="{FF2B5EF4-FFF2-40B4-BE49-F238E27FC236}">
              <a16:creationId xmlns:a16="http://schemas.microsoft.com/office/drawing/2014/main" id="{E942C49C-B5BC-43C8-BC33-F812D7FF7011}"/>
            </a:ext>
          </a:extLst>
        </xdr:cNvPr>
        <xdr:cNvSpPr/>
      </xdr:nvSpPr>
      <xdr:spPr>
        <a:xfrm>
          <a:off x="9934575" y="0"/>
          <a:ext cx="800100"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98</xdr:col>
      <xdr:colOff>0</xdr:colOff>
      <xdr:row>5</xdr:row>
      <xdr:rowOff>0</xdr:rowOff>
    </xdr:from>
    <xdr:to>
      <xdr:col>105</xdr:col>
      <xdr:colOff>0</xdr:colOff>
      <xdr:row>6</xdr:row>
      <xdr:rowOff>0</xdr:rowOff>
    </xdr:to>
    <xdr:sp macro="" textlink="">
      <xdr:nvSpPr>
        <xdr:cNvPr id="8" name="InstructionsButtonTopAccount">
          <a:hlinkClick xmlns:r="http://schemas.openxmlformats.org/officeDocument/2006/relationships" r:id="rId7"/>
          <a:extLst>
            <a:ext uri="{FF2B5EF4-FFF2-40B4-BE49-F238E27FC236}">
              <a16:creationId xmlns:a16="http://schemas.microsoft.com/office/drawing/2014/main" id="{E04A72CF-E104-44D6-A2EE-116F5BE50BEA}"/>
            </a:ext>
          </a:extLst>
        </xdr:cNvPr>
        <xdr:cNvSpPr/>
      </xdr:nvSpPr>
      <xdr:spPr>
        <a:xfrm>
          <a:off x="10734675" y="0"/>
          <a:ext cx="704850"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14</xdr:col>
      <xdr:colOff>0</xdr:colOff>
      <xdr:row>20</xdr:row>
      <xdr:rowOff>0</xdr:rowOff>
    </xdr:from>
    <xdr:to>
      <xdr:col>23</xdr:col>
      <xdr:colOff>0</xdr:colOff>
      <xdr:row>23</xdr:row>
      <xdr:rowOff>0</xdr:rowOff>
    </xdr:to>
    <xdr:grpSp>
      <xdr:nvGrpSpPr>
        <xdr:cNvPr id="9" name="InstructionsGroupHelpCenter">
          <a:hlinkClick xmlns:r="http://schemas.openxmlformats.org/officeDocument/2006/relationships" r:id="rId8"/>
          <a:extLst>
            <a:ext uri="{FF2B5EF4-FFF2-40B4-BE49-F238E27FC236}">
              <a16:creationId xmlns:a16="http://schemas.microsoft.com/office/drawing/2014/main" id="{5C1CBAF7-5F2D-46B9-9DAF-C95C04B070D6}"/>
            </a:ext>
          </a:extLst>
        </xdr:cNvPr>
        <xdr:cNvGrpSpPr/>
      </xdr:nvGrpSpPr>
      <xdr:grpSpPr>
        <a:xfrm>
          <a:off x="1346200" y="2387600"/>
          <a:ext cx="914400" cy="342900"/>
          <a:chOff x="1514475" y="3209925"/>
          <a:chExt cx="1028700" cy="342900"/>
        </a:xfrm>
      </xdr:grpSpPr>
      <xdr:pic>
        <xdr:nvPicPr>
          <xdr:cNvPr id="10" name="InstructionsIconHelpCenter">
            <a:extLst>
              <a:ext uri="{FF2B5EF4-FFF2-40B4-BE49-F238E27FC236}">
                <a16:creationId xmlns:a16="http://schemas.microsoft.com/office/drawing/2014/main" id="{76D8D34C-8E08-8950-1E0F-8DA147F78C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599275" y="3313395"/>
            <a:ext cx="139789" cy="141519"/>
          </a:xfrm>
          <a:prstGeom prst="rect">
            <a:avLst/>
          </a:prstGeom>
        </xdr:spPr>
      </xdr:pic>
      <xdr:sp macro="" textlink="">
        <xdr:nvSpPr>
          <xdr:cNvPr id="11" name="InstructionsButtonHelpCenter">
            <a:hlinkClick xmlns:r="http://schemas.openxmlformats.org/officeDocument/2006/relationships" r:id="rId8"/>
            <a:extLst>
              <a:ext uri="{FF2B5EF4-FFF2-40B4-BE49-F238E27FC236}">
                <a16:creationId xmlns:a16="http://schemas.microsoft.com/office/drawing/2014/main" id="{5B457865-74DF-E7DF-5BC8-EF14EA515B22}"/>
              </a:ext>
            </a:extLst>
          </xdr:cNvPr>
          <xdr:cNvSpPr/>
        </xdr:nvSpPr>
        <xdr:spPr>
          <a:xfrm>
            <a:off x="1514475" y="3209925"/>
            <a:ext cx="10287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81</xdr:col>
      <xdr:colOff>0</xdr:colOff>
      <xdr:row>20</xdr:row>
      <xdr:rowOff>0</xdr:rowOff>
    </xdr:from>
    <xdr:to>
      <xdr:col>91</xdr:col>
      <xdr:colOff>0</xdr:colOff>
      <xdr:row>23</xdr:row>
      <xdr:rowOff>0</xdr:rowOff>
    </xdr:to>
    <xdr:grpSp>
      <xdr:nvGrpSpPr>
        <xdr:cNvPr id="12" name="InstructionsGroupConnections">
          <a:hlinkClick xmlns:r="http://schemas.openxmlformats.org/officeDocument/2006/relationships" r:id="rId11"/>
          <a:extLst>
            <a:ext uri="{FF2B5EF4-FFF2-40B4-BE49-F238E27FC236}">
              <a16:creationId xmlns:a16="http://schemas.microsoft.com/office/drawing/2014/main" id="{FD926B3E-1C0C-416D-B475-ABA339885BF7}"/>
            </a:ext>
          </a:extLst>
        </xdr:cNvPr>
        <xdr:cNvGrpSpPr/>
      </xdr:nvGrpSpPr>
      <xdr:grpSpPr>
        <a:xfrm>
          <a:off x="7797800" y="2387600"/>
          <a:ext cx="1016000" cy="342900"/>
          <a:chOff x="7991475" y="3209925"/>
          <a:chExt cx="1143000" cy="342900"/>
        </a:xfrm>
      </xdr:grpSpPr>
      <xdr:pic>
        <xdr:nvPicPr>
          <xdr:cNvPr id="13" name="InstructionsIconConnections">
            <a:extLst>
              <a:ext uri="{FF2B5EF4-FFF2-40B4-BE49-F238E27FC236}">
                <a16:creationId xmlns:a16="http://schemas.microsoft.com/office/drawing/2014/main" id="{F01D0769-341A-E803-8231-AA25119E6A5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8082407" y="3316539"/>
            <a:ext cx="138130" cy="136314"/>
          </a:xfrm>
          <a:prstGeom prst="rect">
            <a:avLst/>
          </a:prstGeom>
        </xdr:spPr>
      </xdr:pic>
      <xdr:sp macro="" textlink="">
        <xdr:nvSpPr>
          <xdr:cNvPr id="14" name="InstructionsButtonConnections">
            <a:hlinkClick xmlns:r="http://schemas.openxmlformats.org/officeDocument/2006/relationships" r:id="rId11"/>
            <a:extLst>
              <a:ext uri="{FF2B5EF4-FFF2-40B4-BE49-F238E27FC236}">
                <a16:creationId xmlns:a16="http://schemas.microsoft.com/office/drawing/2014/main" id="{599A7721-7352-D142-DCC4-4389F8994F5E}"/>
              </a:ext>
            </a:extLst>
          </xdr:cNvPr>
          <xdr:cNvSpPr/>
        </xdr:nvSpPr>
        <xdr:spPr>
          <a:xfrm>
            <a:off x="7991475" y="3209925"/>
            <a:ext cx="11430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xdr:col>
      <xdr:colOff>0</xdr:colOff>
      <xdr:row>59</xdr:row>
      <xdr:rowOff>0</xdr:rowOff>
    </xdr:from>
    <xdr:to>
      <xdr:col>10</xdr:col>
      <xdr:colOff>0</xdr:colOff>
      <xdr:row>62</xdr:row>
      <xdr:rowOff>0</xdr:rowOff>
    </xdr:to>
    <xdr:grpSp>
      <xdr:nvGrpSpPr>
        <xdr:cNvPr id="15" name="InstructionsGroupCustVideo">
          <a:hlinkClick xmlns:r="http://schemas.openxmlformats.org/officeDocument/2006/relationships" r:id="rId14"/>
          <a:extLst>
            <a:ext uri="{FF2B5EF4-FFF2-40B4-BE49-F238E27FC236}">
              <a16:creationId xmlns:a16="http://schemas.microsoft.com/office/drawing/2014/main" id="{F7EAD0C5-E78F-42A6-A453-B5EAB322346A}"/>
            </a:ext>
          </a:extLst>
        </xdr:cNvPr>
        <xdr:cNvGrpSpPr/>
      </xdr:nvGrpSpPr>
      <xdr:grpSpPr>
        <a:xfrm>
          <a:off x="330200" y="6934200"/>
          <a:ext cx="609600" cy="342900"/>
          <a:chOff x="371475" y="7743825"/>
          <a:chExt cx="685800" cy="342900"/>
        </a:xfrm>
      </xdr:grpSpPr>
      <xdr:pic>
        <xdr:nvPicPr>
          <xdr:cNvPr id="16" name="InstructionsIconCustVideo">
            <a:extLst>
              <a:ext uri="{FF2B5EF4-FFF2-40B4-BE49-F238E27FC236}">
                <a16:creationId xmlns:a16="http://schemas.microsoft.com/office/drawing/2014/main" id="{4560F912-A64D-DB84-4EE6-EACFE5D036E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53019" y="7848135"/>
            <a:ext cx="139018" cy="135302"/>
          </a:xfrm>
          <a:prstGeom prst="rect">
            <a:avLst/>
          </a:prstGeom>
        </xdr:spPr>
      </xdr:pic>
      <xdr:sp macro="" textlink="">
        <xdr:nvSpPr>
          <xdr:cNvPr id="17" name="InstructionsButtonCustVideo">
            <a:hlinkClick xmlns:r="http://schemas.openxmlformats.org/officeDocument/2006/relationships" r:id="rId14"/>
            <a:extLst>
              <a:ext uri="{FF2B5EF4-FFF2-40B4-BE49-F238E27FC236}">
                <a16:creationId xmlns:a16="http://schemas.microsoft.com/office/drawing/2014/main" id="{58F0D118-655B-A7B8-6870-D9E914EC9EC4}"/>
              </a:ext>
            </a:extLst>
          </xdr:cNvPr>
          <xdr:cNvSpPr/>
        </xdr:nvSpPr>
        <xdr:spPr>
          <a:xfrm>
            <a:off x="371475" y="774382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39</xdr:col>
      <xdr:colOff>0</xdr:colOff>
      <xdr:row>59</xdr:row>
      <xdr:rowOff>0</xdr:rowOff>
    </xdr:from>
    <xdr:to>
      <xdr:col>54</xdr:col>
      <xdr:colOff>0</xdr:colOff>
      <xdr:row>62</xdr:row>
      <xdr:rowOff>0</xdr:rowOff>
    </xdr:to>
    <xdr:grpSp>
      <xdr:nvGrpSpPr>
        <xdr:cNvPr id="18" name="InstructionsGroupTraining">
          <a:hlinkClick xmlns:r="http://schemas.openxmlformats.org/officeDocument/2006/relationships" r:id="rId17"/>
          <a:extLst>
            <a:ext uri="{FF2B5EF4-FFF2-40B4-BE49-F238E27FC236}">
              <a16:creationId xmlns:a16="http://schemas.microsoft.com/office/drawing/2014/main" id="{E03749E7-6E1C-4AA7-9985-9254D25BD2EF}"/>
            </a:ext>
          </a:extLst>
        </xdr:cNvPr>
        <xdr:cNvGrpSpPr/>
      </xdr:nvGrpSpPr>
      <xdr:grpSpPr>
        <a:xfrm>
          <a:off x="3708400" y="6934200"/>
          <a:ext cx="1524000" cy="342900"/>
          <a:chOff x="4181475" y="7743825"/>
          <a:chExt cx="1714500" cy="342900"/>
        </a:xfrm>
      </xdr:grpSpPr>
      <xdr:pic>
        <xdr:nvPicPr>
          <xdr:cNvPr id="19" name="InstructionsIconTraining">
            <a:extLst>
              <a:ext uri="{FF2B5EF4-FFF2-40B4-BE49-F238E27FC236}">
                <a16:creationId xmlns:a16="http://schemas.microsoft.com/office/drawing/2014/main" id="{213211C9-5183-E672-5F0A-C03C2807E27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4271253" y="7845764"/>
            <a:ext cx="139975" cy="137610"/>
          </a:xfrm>
          <a:prstGeom prst="rect">
            <a:avLst/>
          </a:prstGeom>
        </xdr:spPr>
      </xdr:pic>
      <xdr:sp macro="" textlink="">
        <xdr:nvSpPr>
          <xdr:cNvPr id="20" name="InstructionsButtonTraining">
            <a:hlinkClick xmlns:r="http://schemas.openxmlformats.org/officeDocument/2006/relationships" r:id="rId17"/>
            <a:extLst>
              <a:ext uri="{FF2B5EF4-FFF2-40B4-BE49-F238E27FC236}">
                <a16:creationId xmlns:a16="http://schemas.microsoft.com/office/drawing/2014/main" id="{2FAA5719-30CF-3387-D35C-6AC72577406C}"/>
              </a:ext>
            </a:extLst>
          </xdr:cNvPr>
          <xdr:cNvSpPr/>
        </xdr:nvSpPr>
        <xdr:spPr>
          <a:xfrm>
            <a:off x="4181475" y="7743825"/>
            <a:ext cx="17145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74</xdr:col>
      <xdr:colOff>0</xdr:colOff>
      <xdr:row>59</xdr:row>
      <xdr:rowOff>0</xdr:rowOff>
    </xdr:from>
    <xdr:to>
      <xdr:col>86</xdr:col>
      <xdr:colOff>0</xdr:colOff>
      <xdr:row>62</xdr:row>
      <xdr:rowOff>0</xdr:rowOff>
    </xdr:to>
    <xdr:grpSp>
      <xdr:nvGrpSpPr>
        <xdr:cNvPr id="21" name="InstructionsGroupSupport">
          <a:hlinkClick xmlns:r="http://schemas.openxmlformats.org/officeDocument/2006/relationships" r:id="rId20"/>
          <a:extLst>
            <a:ext uri="{FF2B5EF4-FFF2-40B4-BE49-F238E27FC236}">
              <a16:creationId xmlns:a16="http://schemas.microsoft.com/office/drawing/2014/main" id="{7BDFA36C-40C0-4C1C-801E-0836DBA98D5E}"/>
            </a:ext>
          </a:extLst>
        </xdr:cNvPr>
        <xdr:cNvGrpSpPr/>
      </xdr:nvGrpSpPr>
      <xdr:grpSpPr>
        <a:xfrm>
          <a:off x="7086600" y="6934200"/>
          <a:ext cx="1219200" cy="342900"/>
          <a:chOff x="7991475" y="7743825"/>
          <a:chExt cx="1371600" cy="342900"/>
        </a:xfrm>
      </xdr:grpSpPr>
      <xdr:pic>
        <xdr:nvPicPr>
          <xdr:cNvPr id="22" name="InstructionsIconSupport">
            <a:extLst>
              <a:ext uri="{FF2B5EF4-FFF2-40B4-BE49-F238E27FC236}">
                <a16:creationId xmlns:a16="http://schemas.microsoft.com/office/drawing/2014/main" id="{B82516BE-9175-747C-77DF-315A07CB6D6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8080645" y="7849209"/>
            <a:ext cx="140786" cy="138421"/>
          </a:xfrm>
          <a:prstGeom prst="rect">
            <a:avLst/>
          </a:prstGeom>
        </xdr:spPr>
      </xdr:pic>
      <xdr:sp macro="" textlink="">
        <xdr:nvSpPr>
          <xdr:cNvPr id="23" name="InstructionsButtonSupport">
            <a:hlinkClick xmlns:r="http://schemas.openxmlformats.org/officeDocument/2006/relationships" r:id="rId20"/>
            <a:extLst>
              <a:ext uri="{FF2B5EF4-FFF2-40B4-BE49-F238E27FC236}">
                <a16:creationId xmlns:a16="http://schemas.microsoft.com/office/drawing/2014/main" id="{A7A5DED9-A505-64D6-70F2-C72232084FA3}"/>
              </a:ext>
            </a:extLst>
          </xdr:cNvPr>
          <xdr:cNvSpPr/>
        </xdr:nvSpPr>
        <xdr:spPr>
          <a:xfrm>
            <a:off x="7991475" y="7743825"/>
            <a:ext cx="13716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46</xdr:col>
      <xdr:colOff>0</xdr:colOff>
      <xdr:row>20</xdr:row>
      <xdr:rowOff>0</xdr:rowOff>
    </xdr:from>
    <xdr:to>
      <xdr:col>62</xdr:col>
      <xdr:colOff>0</xdr:colOff>
      <xdr:row>22</xdr:row>
      <xdr:rowOff>111370</xdr:rowOff>
    </xdr:to>
    <xdr:grpSp>
      <xdr:nvGrpSpPr>
        <xdr:cNvPr id="24" name="InstructionsGroupTsAss">
          <a:hlinkClick xmlns:r="http://schemas.openxmlformats.org/officeDocument/2006/relationships" r:id="rId23"/>
          <a:extLst>
            <a:ext uri="{FF2B5EF4-FFF2-40B4-BE49-F238E27FC236}">
              <a16:creationId xmlns:a16="http://schemas.microsoft.com/office/drawing/2014/main" id="{BE0B60B1-EC8F-4A31-B94F-6AAA4358431C}"/>
            </a:ext>
          </a:extLst>
        </xdr:cNvPr>
        <xdr:cNvGrpSpPr/>
      </xdr:nvGrpSpPr>
      <xdr:grpSpPr>
        <a:xfrm>
          <a:off x="4419600" y="2387600"/>
          <a:ext cx="1625600" cy="339970"/>
          <a:chOff x="4181475" y="3209925"/>
          <a:chExt cx="1828800" cy="339970"/>
        </a:xfrm>
      </xdr:grpSpPr>
      <xdr:pic>
        <xdr:nvPicPr>
          <xdr:cNvPr id="25" name="InstructionsIconTsAss">
            <a:extLst>
              <a:ext uri="{FF2B5EF4-FFF2-40B4-BE49-F238E27FC236}">
                <a16:creationId xmlns:a16="http://schemas.microsoft.com/office/drawing/2014/main" id="{9098229B-423B-661F-45B9-472AB5E20CE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4264479" y="3316060"/>
            <a:ext cx="140400" cy="140400"/>
          </a:xfrm>
          <a:prstGeom prst="rect">
            <a:avLst/>
          </a:prstGeom>
        </xdr:spPr>
      </xdr:pic>
      <xdr:sp macro="" textlink="">
        <xdr:nvSpPr>
          <xdr:cNvPr id="26" name="InstructionsButtonTsAss">
            <a:hlinkClick xmlns:r="http://schemas.openxmlformats.org/officeDocument/2006/relationships" r:id="rId23"/>
            <a:extLst>
              <a:ext uri="{FF2B5EF4-FFF2-40B4-BE49-F238E27FC236}">
                <a16:creationId xmlns:a16="http://schemas.microsoft.com/office/drawing/2014/main" id="{BA0629E6-83C8-BB11-659B-0FFB1BADCCBA}"/>
              </a:ext>
            </a:extLst>
          </xdr:cNvPr>
          <xdr:cNvSpPr/>
        </xdr:nvSpPr>
        <xdr:spPr>
          <a:xfrm>
            <a:off x="4181475" y="3209925"/>
            <a:ext cx="1828800" cy="339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46</xdr:col>
      <xdr:colOff>0</xdr:colOff>
      <xdr:row>38</xdr:row>
      <xdr:rowOff>2930</xdr:rowOff>
    </xdr:from>
    <xdr:to>
      <xdr:col>60</xdr:col>
      <xdr:colOff>0</xdr:colOff>
      <xdr:row>41</xdr:row>
      <xdr:rowOff>0</xdr:rowOff>
    </xdr:to>
    <xdr:grpSp>
      <xdr:nvGrpSpPr>
        <xdr:cNvPr id="27" name="InstructionsGroupRevExp">
          <a:hlinkClick xmlns:r="http://schemas.openxmlformats.org/officeDocument/2006/relationships" r:id="rId26"/>
          <a:extLst>
            <a:ext uri="{FF2B5EF4-FFF2-40B4-BE49-F238E27FC236}">
              <a16:creationId xmlns:a16="http://schemas.microsoft.com/office/drawing/2014/main" id="{38DEFC4A-B158-478C-943E-E80B33DEE175}"/>
            </a:ext>
          </a:extLst>
        </xdr:cNvPr>
        <xdr:cNvGrpSpPr/>
      </xdr:nvGrpSpPr>
      <xdr:grpSpPr>
        <a:xfrm>
          <a:off x="4419600" y="4359030"/>
          <a:ext cx="1422400" cy="339970"/>
          <a:chOff x="4181475" y="5175005"/>
          <a:chExt cx="1600200" cy="339970"/>
        </a:xfrm>
      </xdr:grpSpPr>
      <xdr:pic>
        <xdr:nvPicPr>
          <xdr:cNvPr id="28" name="InstructionsIconRevExp">
            <a:extLst>
              <a:ext uri="{FF2B5EF4-FFF2-40B4-BE49-F238E27FC236}">
                <a16:creationId xmlns:a16="http://schemas.microsoft.com/office/drawing/2014/main" id="{141AF3C1-6CED-9266-B23B-8EE159FC5E53}"/>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4269398" y="5278169"/>
            <a:ext cx="141069" cy="138138"/>
          </a:xfrm>
          <a:prstGeom prst="rect">
            <a:avLst/>
          </a:prstGeom>
        </xdr:spPr>
      </xdr:pic>
      <xdr:sp macro="" textlink="">
        <xdr:nvSpPr>
          <xdr:cNvPr id="29" name="InstructionsButtonRevExp">
            <a:hlinkClick xmlns:r="http://schemas.openxmlformats.org/officeDocument/2006/relationships" r:id="rId26"/>
            <a:extLst>
              <a:ext uri="{FF2B5EF4-FFF2-40B4-BE49-F238E27FC236}">
                <a16:creationId xmlns:a16="http://schemas.microsoft.com/office/drawing/2014/main" id="{8E20024F-57B3-BB1A-1CCE-D36ABD391A76}"/>
              </a:ext>
            </a:extLst>
          </xdr:cNvPr>
          <xdr:cNvSpPr/>
        </xdr:nvSpPr>
        <xdr:spPr>
          <a:xfrm>
            <a:off x="4181475" y="5175005"/>
            <a:ext cx="1600200" cy="339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editAs="oneCell">
    <xdr:from>
      <xdr:col>2</xdr:col>
      <xdr:colOff>0</xdr:colOff>
      <xdr:row>5</xdr:row>
      <xdr:rowOff>111673</xdr:rowOff>
    </xdr:from>
    <xdr:to>
      <xdr:col>12</xdr:col>
      <xdr:colOff>78378</xdr:colOff>
      <xdr:row>5</xdr:row>
      <xdr:rowOff>419912</xdr:rowOff>
    </xdr:to>
    <xdr:pic>
      <xdr:nvPicPr>
        <xdr:cNvPr id="30" name="InstructionsLogo">
          <a:hlinkClick xmlns:r="http://schemas.openxmlformats.org/officeDocument/2006/relationships" r:id="rId29"/>
          <a:extLst>
            <a:ext uri="{FF2B5EF4-FFF2-40B4-BE49-F238E27FC236}">
              <a16:creationId xmlns:a16="http://schemas.microsoft.com/office/drawing/2014/main" id="{8BDA6023-6934-49A4-880C-61DA10C8E4E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8125" y="111673"/>
          <a:ext cx="1126128" cy="308239"/>
        </a:xfrm>
        <a:prstGeom prst="rect">
          <a:avLst/>
        </a:prstGeom>
      </xdr:spPr>
    </xdr:pic>
    <xdr:clientData/>
  </xdr:twoCellAnchor>
  <xdr:twoCellAnchor>
    <xdr:from>
      <xdr:col>81</xdr:col>
      <xdr:colOff>0</xdr:colOff>
      <xdr:row>38</xdr:row>
      <xdr:rowOff>0</xdr:rowOff>
    </xdr:from>
    <xdr:to>
      <xdr:col>92</xdr:col>
      <xdr:colOff>0</xdr:colOff>
      <xdr:row>40</xdr:row>
      <xdr:rowOff>111370</xdr:rowOff>
    </xdr:to>
    <xdr:sp macro="" textlink="">
      <xdr:nvSpPr>
        <xdr:cNvPr id="31" name="InstructionsButtonScenMgr">
          <a:hlinkClick xmlns:r="http://schemas.openxmlformats.org/officeDocument/2006/relationships" r:id="rId32"/>
          <a:extLst>
            <a:ext uri="{FF2B5EF4-FFF2-40B4-BE49-F238E27FC236}">
              <a16:creationId xmlns:a16="http://schemas.microsoft.com/office/drawing/2014/main" id="{B5740480-59A0-4DD7-A4C9-C4394C503A03}"/>
            </a:ext>
          </a:extLst>
        </xdr:cNvPr>
        <xdr:cNvSpPr/>
      </xdr:nvSpPr>
      <xdr:spPr>
        <a:xfrm>
          <a:off x="8791575" y="4352925"/>
          <a:ext cx="1257300" cy="339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74</xdr:col>
      <xdr:colOff>0</xdr:colOff>
      <xdr:row>38</xdr:row>
      <xdr:rowOff>0</xdr:rowOff>
    </xdr:from>
    <xdr:to>
      <xdr:col>80</xdr:col>
      <xdr:colOff>0</xdr:colOff>
      <xdr:row>41</xdr:row>
      <xdr:rowOff>0</xdr:rowOff>
    </xdr:to>
    <xdr:grpSp>
      <xdr:nvGrpSpPr>
        <xdr:cNvPr id="32" name="InstructionsGroupScenLearn">
          <a:hlinkClick xmlns:r="http://schemas.openxmlformats.org/officeDocument/2006/relationships" r:id="rId33"/>
          <a:extLst>
            <a:ext uri="{FF2B5EF4-FFF2-40B4-BE49-F238E27FC236}">
              <a16:creationId xmlns:a16="http://schemas.microsoft.com/office/drawing/2014/main" id="{FC8545F5-A75A-4073-A183-3E1C966560F6}"/>
            </a:ext>
          </a:extLst>
        </xdr:cNvPr>
        <xdr:cNvGrpSpPr/>
      </xdr:nvGrpSpPr>
      <xdr:grpSpPr>
        <a:xfrm>
          <a:off x="7086600" y="4356100"/>
          <a:ext cx="609600" cy="342900"/>
          <a:chOff x="10277475" y="4352925"/>
          <a:chExt cx="685800" cy="342900"/>
        </a:xfrm>
      </xdr:grpSpPr>
      <xdr:sp macro="" textlink="">
        <xdr:nvSpPr>
          <xdr:cNvPr id="33" name="InstructionsButtonScenLearn">
            <a:hlinkClick xmlns:r="http://schemas.openxmlformats.org/officeDocument/2006/relationships" r:id="rId33"/>
            <a:extLst>
              <a:ext uri="{FF2B5EF4-FFF2-40B4-BE49-F238E27FC236}">
                <a16:creationId xmlns:a16="http://schemas.microsoft.com/office/drawing/2014/main" id="{CD609537-FB9A-FE9A-EA6C-02AFE7DBAA69}"/>
              </a:ext>
            </a:extLst>
          </xdr:cNvPr>
          <xdr:cNvSpPr/>
        </xdr:nvSpPr>
        <xdr:spPr>
          <a:xfrm>
            <a:off x="10277475" y="435292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pic>
        <xdr:nvPicPr>
          <xdr:cNvPr id="34" name="InstructionsIconScenLearn">
            <a:hlinkClick xmlns:r="http://schemas.openxmlformats.org/officeDocument/2006/relationships" r:id="rId33"/>
            <a:extLst>
              <a:ext uri="{FF2B5EF4-FFF2-40B4-BE49-F238E27FC236}">
                <a16:creationId xmlns:a16="http://schemas.microsoft.com/office/drawing/2014/main" id="{22F392A8-DF37-6FB7-14BC-62282B8503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0365399" y="4462829"/>
            <a:ext cx="137160" cy="134228"/>
          </a:xfrm>
          <a:prstGeom prst="rect">
            <a:avLst/>
          </a:prstGeom>
        </xdr:spPr>
      </xdr:pic>
    </xdr:grpSp>
    <xdr:clientData/>
  </xdr:twoCellAnchor>
  <xdr:twoCellAnchor>
    <xdr:from>
      <xdr:col>39</xdr:col>
      <xdr:colOff>0</xdr:colOff>
      <xdr:row>20</xdr:row>
      <xdr:rowOff>0</xdr:rowOff>
    </xdr:from>
    <xdr:to>
      <xdr:col>45</xdr:col>
      <xdr:colOff>0</xdr:colOff>
      <xdr:row>23</xdr:row>
      <xdr:rowOff>0</xdr:rowOff>
    </xdr:to>
    <xdr:grpSp>
      <xdr:nvGrpSpPr>
        <xdr:cNvPr id="35" name="InstructionsGroupTsAssLearn">
          <a:hlinkClick xmlns:r="http://schemas.openxmlformats.org/officeDocument/2006/relationships" r:id="rId34"/>
          <a:extLst>
            <a:ext uri="{FF2B5EF4-FFF2-40B4-BE49-F238E27FC236}">
              <a16:creationId xmlns:a16="http://schemas.microsoft.com/office/drawing/2014/main" id="{F28123B0-E2D3-4448-9262-38A69C1C47EB}"/>
            </a:ext>
          </a:extLst>
        </xdr:cNvPr>
        <xdr:cNvGrpSpPr/>
      </xdr:nvGrpSpPr>
      <xdr:grpSpPr>
        <a:xfrm>
          <a:off x="3708400" y="2387600"/>
          <a:ext cx="609600" cy="342900"/>
          <a:chOff x="6124575" y="2390775"/>
          <a:chExt cx="685800" cy="342900"/>
        </a:xfrm>
      </xdr:grpSpPr>
      <xdr:pic>
        <xdr:nvPicPr>
          <xdr:cNvPr id="36" name="InstructionsIconTsAssLearn">
            <a:hlinkClick xmlns:r="http://schemas.openxmlformats.org/officeDocument/2006/relationships" r:id="rId34"/>
            <a:extLst>
              <a:ext uri="{FF2B5EF4-FFF2-40B4-BE49-F238E27FC236}">
                <a16:creationId xmlns:a16="http://schemas.microsoft.com/office/drawing/2014/main" id="{1EC4A753-A7E8-5DA1-B2BD-976C2A8E998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215429" y="2497748"/>
            <a:ext cx="137160" cy="134229"/>
          </a:xfrm>
          <a:prstGeom prst="rect">
            <a:avLst/>
          </a:prstGeom>
        </xdr:spPr>
      </xdr:pic>
      <xdr:sp macro="" textlink="">
        <xdr:nvSpPr>
          <xdr:cNvPr id="37" name="InstructionsButtonTsAssLearn">
            <a:hlinkClick xmlns:r="http://schemas.openxmlformats.org/officeDocument/2006/relationships" r:id="rId34"/>
            <a:extLst>
              <a:ext uri="{FF2B5EF4-FFF2-40B4-BE49-F238E27FC236}">
                <a16:creationId xmlns:a16="http://schemas.microsoft.com/office/drawing/2014/main" id="{21C566F0-56D5-CFC0-FBDC-8C400002F7D1}"/>
              </a:ext>
            </a:extLst>
          </xdr:cNvPr>
          <xdr:cNvSpPr/>
        </xdr:nvSpPr>
        <xdr:spPr>
          <a:xfrm>
            <a:off x="6124575" y="239077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74</xdr:col>
      <xdr:colOff>0</xdr:colOff>
      <xdr:row>20</xdr:row>
      <xdr:rowOff>0</xdr:rowOff>
    </xdr:from>
    <xdr:to>
      <xdr:col>80</xdr:col>
      <xdr:colOff>0</xdr:colOff>
      <xdr:row>23</xdr:row>
      <xdr:rowOff>0</xdr:rowOff>
    </xdr:to>
    <xdr:grpSp>
      <xdr:nvGrpSpPr>
        <xdr:cNvPr id="38" name="InstructionsGroupConLearn">
          <a:hlinkClick xmlns:r="http://schemas.openxmlformats.org/officeDocument/2006/relationships" r:id="rId35"/>
          <a:extLst>
            <a:ext uri="{FF2B5EF4-FFF2-40B4-BE49-F238E27FC236}">
              <a16:creationId xmlns:a16="http://schemas.microsoft.com/office/drawing/2014/main" id="{4B0CD506-DC44-4CDB-BF13-0A3BC04E70AB}"/>
            </a:ext>
          </a:extLst>
        </xdr:cNvPr>
        <xdr:cNvGrpSpPr/>
      </xdr:nvGrpSpPr>
      <xdr:grpSpPr>
        <a:xfrm>
          <a:off x="7086600" y="2387600"/>
          <a:ext cx="609600" cy="342900"/>
          <a:chOff x="9248775" y="2390775"/>
          <a:chExt cx="685800" cy="342900"/>
        </a:xfrm>
      </xdr:grpSpPr>
      <xdr:pic>
        <xdr:nvPicPr>
          <xdr:cNvPr id="39" name="InstructionsIconConLearn">
            <a:hlinkClick xmlns:r="http://schemas.openxmlformats.org/officeDocument/2006/relationships" r:id="rId35"/>
            <a:extLst>
              <a:ext uri="{FF2B5EF4-FFF2-40B4-BE49-F238E27FC236}">
                <a16:creationId xmlns:a16="http://schemas.microsoft.com/office/drawing/2014/main" id="{F51C88EB-ACCC-4244-EA60-13F6768557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339629" y="2497748"/>
            <a:ext cx="137160" cy="134229"/>
          </a:xfrm>
          <a:prstGeom prst="rect">
            <a:avLst/>
          </a:prstGeom>
        </xdr:spPr>
      </xdr:pic>
      <xdr:sp macro="" textlink="">
        <xdr:nvSpPr>
          <xdr:cNvPr id="40" name="InstructionsButtonConLearn">
            <a:hlinkClick xmlns:r="http://schemas.openxmlformats.org/officeDocument/2006/relationships" r:id="rId35"/>
            <a:extLst>
              <a:ext uri="{FF2B5EF4-FFF2-40B4-BE49-F238E27FC236}">
                <a16:creationId xmlns:a16="http://schemas.microsoft.com/office/drawing/2014/main" id="{6309EA6B-0826-F459-238A-8073C9199636}"/>
              </a:ext>
            </a:extLst>
          </xdr:cNvPr>
          <xdr:cNvSpPr/>
        </xdr:nvSpPr>
        <xdr:spPr>
          <a:xfrm>
            <a:off x="9248775" y="239077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39</xdr:col>
      <xdr:colOff>0</xdr:colOff>
      <xdr:row>38</xdr:row>
      <xdr:rowOff>0</xdr:rowOff>
    </xdr:from>
    <xdr:to>
      <xdr:col>45</xdr:col>
      <xdr:colOff>0</xdr:colOff>
      <xdr:row>41</xdr:row>
      <xdr:rowOff>0</xdr:rowOff>
    </xdr:to>
    <xdr:grpSp>
      <xdr:nvGrpSpPr>
        <xdr:cNvPr id="41" name="InstructionsGroupFcastsLearn">
          <a:extLst>
            <a:ext uri="{FF2B5EF4-FFF2-40B4-BE49-F238E27FC236}">
              <a16:creationId xmlns:a16="http://schemas.microsoft.com/office/drawing/2014/main" id="{ABC7E4A8-9FB4-4BFD-AF87-DF0951E0393F}"/>
            </a:ext>
          </a:extLst>
        </xdr:cNvPr>
        <xdr:cNvGrpSpPr/>
      </xdr:nvGrpSpPr>
      <xdr:grpSpPr>
        <a:xfrm>
          <a:off x="3708400" y="4356100"/>
          <a:ext cx="609600" cy="342900"/>
          <a:chOff x="5895975" y="4352925"/>
          <a:chExt cx="685800" cy="342900"/>
        </a:xfrm>
      </xdr:grpSpPr>
      <xdr:pic>
        <xdr:nvPicPr>
          <xdr:cNvPr id="42" name="InstructionsIconFcastsLearn">
            <a:hlinkClick xmlns:r="http://schemas.openxmlformats.org/officeDocument/2006/relationships" r:id="rId36"/>
            <a:extLst>
              <a:ext uri="{FF2B5EF4-FFF2-40B4-BE49-F238E27FC236}">
                <a16:creationId xmlns:a16="http://schemas.microsoft.com/office/drawing/2014/main" id="{20BC3BD4-7C90-9927-5C39-97AB5C727E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5986829" y="4459898"/>
            <a:ext cx="137160" cy="134229"/>
          </a:xfrm>
          <a:prstGeom prst="rect">
            <a:avLst/>
          </a:prstGeom>
        </xdr:spPr>
      </xdr:pic>
      <xdr:sp macro="" textlink="">
        <xdr:nvSpPr>
          <xdr:cNvPr id="43" name="InstructionsButtonFcastsLearn">
            <a:hlinkClick xmlns:r="http://schemas.openxmlformats.org/officeDocument/2006/relationships" r:id="rId36"/>
            <a:extLst>
              <a:ext uri="{FF2B5EF4-FFF2-40B4-BE49-F238E27FC236}">
                <a16:creationId xmlns:a16="http://schemas.microsoft.com/office/drawing/2014/main" id="{D4788793-ED0F-504F-7C77-D97893E44188}"/>
              </a:ext>
            </a:extLst>
          </xdr:cNvPr>
          <xdr:cNvSpPr/>
        </xdr:nvSpPr>
        <xdr:spPr>
          <a:xfrm>
            <a:off x="5895975" y="435292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11</xdr:col>
      <xdr:colOff>0</xdr:colOff>
      <xdr:row>38</xdr:row>
      <xdr:rowOff>0</xdr:rowOff>
    </xdr:from>
    <xdr:to>
      <xdr:col>25</xdr:col>
      <xdr:colOff>0</xdr:colOff>
      <xdr:row>40</xdr:row>
      <xdr:rowOff>111370</xdr:rowOff>
    </xdr:to>
    <xdr:sp macro="" textlink="">
      <xdr:nvSpPr>
        <xdr:cNvPr id="44" name="InstructionsButtonObs">
          <a:hlinkClick xmlns:r="http://schemas.openxmlformats.org/officeDocument/2006/relationships" r:id="rId37"/>
          <a:extLst>
            <a:ext uri="{FF2B5EF4-FFF2-40B4-BE49-F238E27FC236}">
              <a16:creationId xmlns:a16="http://schemas.microsoft.com/office/drawing/2014/main" id="{E80A4439-102E-45A6-B0F3-B03E39E3DAB4}"/>
            </a:ext>
          </a:extLst>
        </xdr:cNvPr>
        <xdr:cNvSpPr/>
      </xdr:nvSpPr>
      <xdr:spPr>
        <a:xfrm>
          <a:off x="1171575" y="4352925"/>
          <a:ext cx="1600200" cy="339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4</xdr:col>
      <xdr:colOff>0</xdr:colOff>
      <xdr:row>38</xdr:row>
      <xdr:rowOff>0</xdr:rowOff>
    </xdr:from>
    <xdr:to>
      <xdr:col>10</xdr:col>
      <xdr:colOff>0</xdr:colOff>
      <xdr:row>41</xdr:row>
      <xdr:rowOff>0</xdr:rowOff>
    </xdr:to>
    <xdr:grpSp>
      <xdr:nvGrpSpPr>
        <xdr:cNvPr id="45" name="InstructionsGroupObsLearn">
          <a:hlinkClick xmlns:r="http://schemas.openxmlformats.org/officeDocument/2006/relationships" r:id="rId38"/>
          <a:extLst>
            <a:ext uri="{FF2B5EF4-FFF2-40B4-BE49-F238E27FC236}">
              <a16:creationId xmlns:a16="http://schemas.microsoft.com/office/drawing/2014/main" id="{509412CB-3FAC-4A19-BF60-7D0F6F803D25}"/>
            </a:ext>
          </a:extLst>
        </xdr:cNvPr>
        <xdr:cNvGrpSpPr/>
      </xdr:nvGrpSpPr>
      <xdr:grpSpPr>
        <a:xfrm>
          <a:off x="330200" y="4356100"/>
          <a:ext cx="609600" cy="342900"/>
          <a:chOff x="371475" y="4352925"/>
          <a:chExt cx="685800" cy="342900"/>
        </a:xfrm>
      </xdr:grpSpPr>
      <xdr:pic>
        <xdr:nvPicPr>
          <xdr:cNvPr id="46" name="InstructionsIconObsLearn">
            <a:hlinkClick xmlns:r="http://schemas.openxmlformats.org/officeDocument/2006/relationships" r:id="rId38"/>
            <a:extLst>
              <a:ext uri="{FF2B5EF4-FFF2-40B4-BE49-F238E27FC236}">
                <a16:creationId xmlns:a16="http://schemas.microsoft.com/office/drawing/2014/main" id="{FE691479-47B6-49CD-6775-5E7ADB31C3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62329" y="4459898"/>
            <a:ext cx="137160" cy="134229"/>
          </a:xfrm>
          <a:prstGeom prst="rect">
            <a:avLst/>
          </a:prstGeom>
        </xdr:spPr>
      </xdr:pic>
      <xdr:sp macro="" textlink="">
        <xdr:nvSpPr>
          <xdr:cNvPr id="47" name="InstructionsButtonObsLearn">
            <a:hlinkClick xmlns:r="http://schemas.openxmlformats.org/officeDocument/2006/relationships" r:id="rId38"/>
            <a:extLst>
              <a:ext uri="{FF2B5EF4-FFF2-40B4-BE49-F238E27FC236}">
                <a16:creationId xmlns:a16="http://schemas.microsoft.com/office/drawing/2014/main" id="{D5409F04-BD0E-B8ED-FAC6-B90CCD3FC7C4}"/>
              </a:ext>
            </a:extLst>
          </xdr:cNvPr>
          <xdr:cNvSpPr/>
        </xdr:nvSpPr>
        <xdr:spPr>
          <a:xfrm>
            <a:off x="371475" y="4352925"/>
            <a:ext cx="6858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0</xdr:colOff>
      <xdr:row>25</xdr:row>
      <xdr:rowOff>185205</xdr:rowOff>
    </xdr:from>
    <xdr:to>
      <xdr:col>24</xdr:col>
      <xdr:colOff>0</xdr:colOff>
      <xdr:row>43</xdr:row>
      <xdr:rowOff>0</xdr:rowOff>
    </xdr:to>
    <xdr:graphicFrame macro="">
      <xdr:nvGraphicFramePr>
        <xdr:cNvPr id="20" name="bpmChartFs_Sum19">
          <a:extLst>
            <a:ext uri="{FF2B5EF4-FFF2-40B4-BE49-F238E27FC236}">
              <a16:creationId xmlns:a16="http://schemas.microsoft.com/office/drawing/2014/main" id="{561D3858-73B5-4852-A66F-2C0A8F9C5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266698</xdr:colOff>
      <xdr:row>69</xdr:row>
      <xdr:rowOff>0</xdr:rowOff>
    </xdr:from>
    <xdr:to>
      <xdr:col>33</xdr:col>
      <xdr:colOff>752473</xdr:colOff>
      <xdr:row>80</xdr:row>
      <xdr:rowOff>0</xdr:rowOff>
    </xdr:to>
    <xdr:graphicFrame macro="">
      <xdr:nvGraphicFramePr>
        <xdr:cNvPr id="19" name="bpmChartFs_Sum18">
          <a:extLst>
            <a:ext uri="{FF2B5EF4-FFF2-40B4-BE49-F238E27FC236}">
              <a16:creationId xmlns:a16="http://schemas.microsoft.com/office/drawing/2014/main" id="{B845BC67-A04E-4494-8803-7F191153E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247650</xdr:colOff>
      <xdr:row>26</xdr:row>
      <xdr:rowOff>0</xdr:rowOff>
    </xdr:from>
    <xdr:to>
      <xdr:col>29</xdr:col>
      <xdr:colOff>0</xdr:colOff>
      <xdr:row>43</xdr:row>
      <xdr:rowOff>0</xdr:rowOff>
    </xdr:to>
    <xdr:graphicFrame macro="">
      <xdr:nvGraphicFramePr>
        <xdr:cNvPr id="18" name="bpmChartFs_Sum17">
          <a:extLst>
            <a:ext uri="{FF2B5EF4-FFF2-40B4-BE49-F238E27FC236}">
              <a16:creationId xmlns:a16="http://schemas.microsoft.com/office/drawing/2014/main" id="{9A3ECFFD-95C9-4720-8DD6-99C39EED4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266698</xdr:colOff>
      <xdr:row>26</xdr:row>
      <xdr:rowOff>0</xdr:rowOff>
    </xdr:from>
    <xdr:to>
      <xdr:col>33</xdr:col>
      <xdr:colOff>752473</xdr:colOff>
      <xdr:row>43</xdr:row>
      <xdr:rowOff>0</xdr:rowOff>
    </xdr:to>
    <xdr:graphicFrame macro="">
      <xdr:nvGraphicFramePr>
        <xdr:cNvPr id="17" name="bpmChartFs_Sum16">
          <a:extLst>
            <a:ext uri="{FF2B5EF4-FFF2-40B4-BE49-F238E27FC236}">
              <a16:creationId xmlns:a16="http://schemas.microsoft.com/office/drawing/2014/main" id="{D7CE9465-A500-4CD6-9380-E2926E554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61</xdr:row>
      <xdr:rowOff>0</xdr:rowOff>
    </xdr:from>
    <xdr:to>
      <xdr:col>29</xdr:col>
      <xdr:colOff>0</xdr:colOff>
      <xdr:row>87</xdr:row>
      <xdr:rowOff>0</xdr:rowOff>
    </xdr:to>
    <xdr:graphicFrame macro="">
      <xdr:nvGraphicFramePr>
        <xdr:cNvPr id="16" name="bpmChartFs_Sum15">
          <a:extLst>
            <a:ext uri="{FF2B5EF4-FFF2-40B4-BE49-F238E27FC236}">
              <a16:creationId xmlns:a16="http://schemas.microsoft.com/office/drawing/2014/main" id="{2C91CDAC-7999-47F0-A301-AD6A7448F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568540</xdr:colOff>
      <xdr:row>81</xdr:row>
      <xdr:rowOff>0</xdr:rowOff>
    </xdr:from>
    <xdr:to>
      <xdr:col>34</xdr:col>
      <xdr:colOff>1</xdr:colOff>
      <xdr:row>87</xdr:row>
      <xdr:rowOff>0</xdr:rowOff>
    </xdr:to>
    <xdr:graphicFrame macro="">
      <xdr:nvGraphicFramePr>
        <xdr:cNvPr id="15" name="bpmChartFs_Sum14">
          <a:extLst>
            <a:ext uri="{FF2B5EF4-FFF2-40B4-BE49-F238E27FC236}">
              <a16:creationId xmlns:a16="http://schemas.microsoft.com/office/drawing/2014/main" id="{D034BB82-B7F0-49C0-9975-56032DBE8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43</xdr:row>
      <xdr:rowOff>185206</xdr:rowOff>
    </xdr:from>
    <xdr:to>
      <xdr:col>24</xdr:col>
      <xdr:colOff>0</xdr:colOff>
      <xdr:row>59</xdr:row>
      <xdr:rowOff>190499</xdr:rowOff>
    </xdr:to>
    <xdr:graphicFrame macro="">
      <xdr:nvGraphicFramePr>
        <xdr:cNvPr id="14" name="bpmChartFs_Sum13">
          <a:extLst>
            <a:ext uri="{FF2B5EF4-FFF2-40B4-BE49-F238E27FC236}">
              <a16:creationId xmlns:a16="http://schemas.microsoft.com/office/drawing/2014/main" id="{6891BE12-8413-4B22-BF8E-955389C6D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257173</xdr:colOff>
      <xdr:row>44</xdr:row>
      <xdr:rowOff>0</xdr:rowOff>
    </xdr:from>
    <xdr:to>
      <xdr:col>28</xdr:col>
      <xdr:colOff>752473</xdr:colOff>
      <xdr:row>60</xdr:row>
      <xdr:rowOff>0</xdr:rowOff>
    </xdr:to>
    <xdr:graphicFrame macro="">
      <xdr:nvGraphicFramePr>
        <xdr:cNvPr id="13" name="bpmChartFs_Sum12">
          <a:extLst>
            <a:ext uri="{FF2B5EF4-FFF2-40B4-BE49-F238E27FC236}">
              <a16:creationId xmlns:a16="http://schemas.microsoft.com/office/drawing/2014/main" id="{3DE010D3-1D27-42AA-98D1-15B511CA74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29</xdr:col>
      <xdr:colOff>266698</xdr:colOff>
      <xdr:row>44</xdr:row>
      <xdr:rowOff>0</xdr:rowOff>
    </xdr:from>
    <xdr:to>
      <xdr:col>33</xdr:col>
      <xdr:colOff>752473</xdr:colOff>
      <xdr:row>55</xdr:row>
      <xdr:rowOff>0</xdr:rowOff>
    </xdr:to>
    <xdr:graphicFrame macro="">
      <xdr:nvGraphicFramePr>
        <xdr:cNvPr id="12" name="bpmChartFs_Sum11">
          <a:extLst>
            <a:ext uri="{FF2B5EF4-FFF2-40B4-BE49-F238E27FC236}">
              <a16:creationId xmlns:a16="http://schemas.microsoft.com/office/drawing/2014/main" id="{AD23B114-2B91-42E9-934C-ABD6DB676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29</xdr:col>
      <xdr:colOff>266698</xdr:colOff>
      <xdr:row>56</xdr:row>
      <xdr:rowOff>0</xdr:rowOff>
    </xdr:from>
    <xdr:to>
      <xdr:col>33</xdr:col>
      <xdr:colOff>752473</xdr:colOff>
      <xdr:row>68</xdr:row>
      <xdr:rowOff>0</xdr:rowOff>
    </xdr:to>
    <xdr:graphicFrame macro="">
      <xdr:nvGraphicFramePr>
        <xdr:cNvPr id="11" name="bpmChartFs_Sum10">
          <a:extLst>
            <a:ext uri="{FF2B5EF4-FFF2-40B4-BE49-F238E27FC236}">
              <a16:creationId xmlns:a16="http://schemas.microsoft.com/office/drawing/2014/main" id="{009A961F-F464-4DE6-BF06-F10C06CFA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24</xdr:row>
      <xdr:rowOff>171450</xdr:rowOff>
    </xdr:from>
    <xdr:to>
      <xdr:col>24</xdr:col>
      <xdr:colOff>250825</xdr:colOff>
      <xdr:row>26</xdr:row>
      <xdr:rowOff>17546</xdr:rowOff>
    </xdr:to>
    <xdr:sp macro="" textlink="">
      <xdr:nvSpPr>
        <xdr:cNvPr id="2" name="bpmShapeFs_Sum1">
          <a:extLst>
            <a:ext uri="{FF2B5EF4-FFF2-40B4-BE49-F238E27FC236}">
              <a16:creationId xmlns:a16="http://schemas.microsoft.com/office/drawing/2014/main" id="{8F45E4E7-6A5C-4A45-BB0F-132BFA98E718}"/>
            </a:ext>
          </a:extLst>
        </xdr:cNvPr>
        <xdr:cNvSpPr/>
      </xdr:nvSpPr>
      <xdr:spPr>
        <a:xfrm>
          <a:off x="17049750" y="4676775"/>
          <a:ext cx="250825" cy="22709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752473</xdr:colOff>
      <xdr:row>24</xdr:row>
      <xdr:rowOff>171450</xdr:rowOff>
    </xdr:from>
    <xdr:to>
      <xdr:col>29</xdr:col>
      <xdr:colOff>250823</xdr:colOff>
      <xdr:row>26</xdr:row>
      <xdr:rowOff>17546</xdr:rowOff>
    </xdr:to>
    <xdr:sp macro="" textlink="">
      <xdr:nvSpPr>
        <xdr:cNvPr id="3" name="bpmShapeFs_Sum2">
          <a:extLst>
            <a:ext uri="{FF2B5EF4-FFF2-40B4-BE49-F238E27FC236}">
              <a16:creationId xmlns:a16="http://schemas.microsoft.com/office/drawing/2014/main" id="{CE1F62A4-0077-4E02-A324-A4F8C23F0F43}"/>
            </a:ext>
          </a:extLst>
        </xdr:cNvPr>
        <xdr:cNvSpPr/>
      </xdr:nvSpPr>
      <xdr:spPr>
        <a:xfrm>
          <a:off x="20812123" y="4676775"/>
          <a:ext cx="250825" cy="22709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24</xdr:col>
      <xdr:colOff>0</xdr:colOff>
      <xdr:row>42</xdr:row>
      <xdr:rowOff>166684</xdr:rowOff>
    </xdr:from>
    <xdr:to>
      <xdr:col>24</xdr:col>
      <xdr:colOff>250825</xdr:colOff>
      <xdr:row>44</xdr:row>
      <xdr:rowOff>23809</xdr:rowOff>
    </xdr:to>
    <xdr:sp macro="" textlink="">
      <xdr:nvSpPr>
        <xdr:cNvPr id="4" name="bpmShapeFs_Sum3">
          <a:extLst>
            <a:ext uri="{FF2B5EF4-FFF2-40B4-BE49-F238E27FC236}">
              <a16:creationId xmlns:a16="http://schemas.microsoft.com/office/drawing/2014/main" id="{689FFA97-FEBF-4DCA-8415-C08B9249C0B7}"/>
            </a:ext>
          </a:extLst>
        </xdr:cNvPr>
        <xdr:cNvSpPr/>
      </xdr:nvSpPr>
      <xdr:spPr>
        <a:xfrm>
          <a:off x="17049750" y="8101009"/>
          <a:ext cx="250825" cy="238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752473</xdr:colOff>
      <xdr:row>42</xdr:row>
      <xdr:rowOff>166684</xdr:rowOff>
    </xdr:from>
    <xdr:to>
      <xdr:col>29</xdr:col>
      <xdr:colOff>256395</xdr:colOff>
      <xdr:row>44</xdr:row>
      <xdr:rowOff>23809</xdr:rowOff>
    </xdr:to>
    <xdr:sp macro="" textlink="">
      <xdr:nvSpPr>
        <xdr:cNvPr id="5" name="bpmShapeFs_Sum4">
          <a:extLst>
            <a:ext uri="{FF2B5EF4-FFF2-40B4-BE49-F238E27FC236}">
              <a16:creationId xmlns:a16="http://schemas.microsoft.com/office/drawing/2014/main" id="{8A4001EA-4E31-4BB2-A544-6DECBD47EAFC}"/>
            </a:ext>
          </a:extLst>
        </xdr:cNvPr>
        <xdr:cNvSpPr/>
      </xdr:nvSpPr>
      <xdr:spPr>
        <a:xfrm>
          <a:off x="20812123" y="8101009"/>
          <a:ext cx="256397" cy="238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752473</xdr:colOff>
      <xdr:row>54</xdr:row>
      <xdr:rowOff>166684</xdr:rowOff>
    </xdr:from>
    <xdr:to>
      <xdr:col>29</xdr:col>
      <xdr:colOff>256395</xdr:colOff>
      <xdr:row>56</xdr:row>
      <xdr:rowOff>23808</xdr:rowOff>
    </xdr:to>
    <xdr:sp macro="" textlink="">
      <xdr:nvSpPr>
        <xdr:cNvPr id="6" name="bpmShapeFs_Sum5">
          <a:extLst>
            <a:ext uri="{FF2B5EF4-FFF2-40B4-BE49-F238E27FC236}">
              <a16:creationId xmlns:a16="http://schemas.microsoft.com/office/drawing/2014/main" id="{E812C9CF-B3C8-4253-A75F-92B5E667434C}"/>
            </a:ext>
          </a:extLst>
        </xdr:cNvPr>
        <xdr:cNvSpPr/>
      </xdr:nvSpPr>
      <xdr:spPr>
        <a:xfrm>
          <a:off x="20812123" y="10387009"/>
          <a:ext cx="256397" cy="23812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752473</xdr:colOff>
      <xdr:row>67</xdr:row>
      <xdr:rowOff>166684</xdr:rowOff>
    </xdr:from>
    <xdr:to>
      <xdr:col>29</xdr:col>
      <xdr:colOff>256395</xdr:colOff>
      <xdr:row>69</xdr:row>
      <xdr:rowOff>23810</xdr:rowOff>
    </xdr:to>
    <xdr:sp macro="" textlink="">
      <xdr:nvSpPr>
        <xdr:cNvPr id="7" name="bpmShapeFs_Sum6">
          <a:extLst>
            <a:ext uri="{FF2B5EF4-FFF2-40B4-BE49-F238E27FC236}">
              <a16:creationId xmlns:a16="http://schemas.microsoft.com/office/drawing/2014/main" id="{72EA3A40-A04E-4630-8403-A380D8872E8D}"/>
            </a:ext>
          </a:extLst>
        </xdr:cNvPr>
        <xdr:cNvSpPr/>
      </xdr:nvSpPr>
      <xdr:spPr>
        <a:xfrm>
          <a:off x="20812123" y="12863509"/>
          <a:ext cx="256397" cy="2381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28</xdr:col>
      <xdr:colOff>752473</xdr:colOff>
      <xdr:row>79</xdr:row>
      <xdr:rowOff>166684</xdr:rowOff>
    </xdr:from>
    <xdr:to>
      <xdr:col>29</xdr:col>
      <xdr:colOff>256395</xdr:colOff>
      <xdr:row>81</xdr:row>
      <xdr:rowOff>23809</xdr:rowOff>
    </xdr:to>
    <xdr:sp macro="" textlink="">
      <xdr:nvSpPr>
        <xdr:cNvPr id="8" name="bpmShapeFs_Sum7">
          <a:extLst>
            <a:ext uri="{FF2B5EF4-FFF2-40B4-BE49-F238E27FC236}">
              <a16:creationId xmlns:a16="http://schemas.microsoft.com/office/drawing/2014/main" id="{935F25F0-278C-4CCA-A5C1-5C81A71494FF}"/>
            </a:ext>
          </a:extLst>
        </xdr:cNvPr>
        <xdr:cNvSpPr/>
      </xdr:nvSpPr>
      <xdr:spPr>
        <a:xfrm>
          <a:off x="20812123" y="15149509"/>
          <a:ext cx="256397" cy="2381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mc:AlternateContent xmlns:mc="http://schemas.openxmlformats.org/markup-compatibility/2006">
    <mc:Choice xmlns:a14="http://schemas.microsoft.com/office/drawing/2010/main" Requires="a14">
      <xdr:twoCellAnchor>
        <xdr:from>
          <xdr:col>1</xdr:col>
          <xdr:colOff>0</xdr:colOff>
          <xdr:row>194</xdr:row>
          <xdr:rowOff>0</xdr:rowOff>
        </xdr:from>
        <xdr:to>
          <xdr:col>4</xdr:col>
          <xdr:colOff>0</xdr:colOff>
          <xdr:row>195</xdr:row>
          <xdr:rowOff>0</xdr:rowOff>
        </xdr:to>
        <xdr:sp macro="" textlink="">
          <xdr:nvSpPr>
            <xdr:cNvPr id="20482" name="bpmCheckBoxFs_Sum8" hidden="1">
              <a:extLst>
                <a:ext uri="{63B3BB69-23CF-44E3-9099-C40C66FF867C}">
                  <a14:compatExt spid="_x0000_s20482"/>
                </a:ext>
                <a:ext uri="{FF2B5EF4-FFF2-40B4-BE49-F238E27FC236}">
                  <a16:creationId xmlns:a16="http://schemas.microsoft.com/office/drawing/2014/main" id="{0611DB34-E859-441E-B5E0-C4EC5AF0B1FC}"/>
                </a:ext>
              </a:extLst>
            </xdr:cNvPr>
            <xdr:cNvSpPr/>
          </xdr:nvSpPr>
          <xdr:spPr bwMode="auto">
            <a:xfrm>
              <a:off x="0" y="0"/>
              <a:ext cx="0" cy="0"/>
            </a:xfrm>
            <a:prstGeom prst="rect">
              <a:avLst/>
            </a:prstGeom>
            <a:noFill/>
            <a:ln>
              <a:noFill/>
            </a:ln>
            <a:extLst>
              <a:ext uri="{909E8E84-426E-40DD-AFC4-6F175D3DCCD1}">
                <a14:hiddenFill>
                  <a:solidFill>
                    <a:srgbClr val="000000"/>
                  </a:solidFill>
                </a14:hiddenFill>
              </a:ext>
              <a:ext uri="{91240B29-F687-4F45-9708-019B960494DF}">
                <a14:hiddenLine w="1">
                  <a:solidFill>
                    <a:srgbClr val="FFFFFF"/>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Show cash balances in cashcade?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90</xdr:row>
          <xdr:rowOff>0</xdr:rowOff>
        </xdr:from>
        <xdr:to>
          <xdr:col>8</xdr:col>
          <xdr:colOff>0</xdr:colOff>
          <xdr:row>91</xdr:row>
          <xdr:rowOff>0</xdr:rowOff>
        </xdr:to>
        <xdr:sp macro="" textlink="">
          <xdr:nvSpPr>
            <xdr:cNvPr id="20483" name="bpmDropDownFs_Sum9" hidden="1">
              <a:extLst>
                <a:ext uri="{63B3BB69-23CF-44E3-9099-C40C66FF867C}">
                  <a14:compatExt spid="_x0000_s20483"/>
                </a:ext>
                <a:ext uri="{FF2B5EF4-FFF2-40B4-BE49-F238E27FC236}">
                  <a16:creationId xmlns:a16="http://schemas.microsoft.com/office/drawing/2014/main" id="{C9663A46-C960-455B-9281-2BC5EF28665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199072</xdr:colOff>
      <xdr:row>8</xdr:row>
      <xdr:rowOff>39052</xdr:rowOff>
    </xdr:from>
    <xdr:to>
      <xdr:col>11</xdr:col>
      <xdr:colOff>434340</xdr:colOff>
      <xdr:row>33</xdr:row>
      <xdr:rowOff>17145</xdr:rowOff>
    </xdr:to>
    <xdr:graphicFrame macro="">
      <xdr:nvGraphicFramePr>
        <xdr:cNvPr id="2" name="Chart 1">
          <a:extLst>
            <a:ext uri="{FF2B5EF4-FFF2-40B4-BE49-F238E27FC236}">
              <a16:creationId xmlns:a16="http://schemas.microsoft.com/office/drawing/2014/main" id="{6B523B1B-483D-4757-08F8-E4530BC718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578167</xdr:colOff>
      <xdr:row>8</xdr:row>
      <xdr:rowOff>39052</xdr:rowOff>
    </xdr:from>
    <xdr:to>
      <xdr:col>19</xdr:col>
      <xdr:colOff>306705</xdr:colOff>
      <xdr:row>33</xdr:row>
      <xdr:rowOff>20955</xdr:rowOff>
    </xdr:to>
    <xdr:graphicFrame macro="">
      <xdr:nvGraphicFramePr>
        <xdr:cNvPr id="3" name="Chart 2">
          <a:extLst>
            <a:ext uri="{FF2B5EF4-FFF2-40B4-BE49-F238E27FC236}">
              <a16:creationId xmlns:a16="http://schemas.microsoft.com/office/drawing/2014/main" id="{7F5E8CB5-DBFA-11F3-83CB-E36F223F84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454342</xdr:colOff>
      <xdr:row>8</xdr:row>
      <xdr:rowOff>39052</xdr:rowOff>
    </xdr:from>
    <xdr:to>
      <xdr:col>27</xdr:col>
      <xdr:colOff>177165</xdr:colOff>
      <xdr:row>33</xdr:row>
      <xdr:rowOff>17145</xdr:rowOff>
    </xdr:to>
    <xdr:graphicFrame macro="">
      <xdr:nvGraphicFramePr>
        <xdr:cNvPr id="5" name="Chart 4">
          <a:extLst>
            <a:ext uri="{FF2B5EF4-FFF2-40B4-BE49-F238E27FC236}">
              <a16:creationId xmlns:a16="http://schemas.microsoft.com/office/drawing/2014/main" id="{A27B3720-B9B4-39F1-A2A6-6C982C2BD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35</xdr:row>
      <xdr:rowOff>0</xdr:rowOff>
    </xdr:from>
    <xdr:to>
      <xdr:col>11</xdr:col>
      <xdr:colOff>456248</xdr:colOff>
      <xdr:row>59</xdr:row>
      <xdr:rowOff>124778</xdr:rowOff>
    </xdr:to>
    <xdr:graphicFrame macro="">
      <xdr:nvGraphicFramePr>
        <xdr:cNvPr id="6" name="Chart 5">
          <a:extLst>
            <a:ext uri="{FF2B5EF4-FFF2-40B4-BE49-F238E27FC236}">
              <a16:creationId xmlns:a16="http://schemas.microsoft.com/office/drawing/2014/main" id="{A4BB1E70-8629-45D1-9225-A9D261503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581977</xdr:colOff>
      <xdr:row>34</xdr:row>
      <xdr:rowOff>131445</xdr:rowOff>
    </xdr:from>
    <xdr:to>
      <xdr:col>19</xdr:col>
      <xdr:colOff>306705</xdr:colOff>
      <xdr:row>59</xdr:row>
      <xdr:rowOff>130493</xdr:rowOff>
    </xdr:to>
    <xdr:graphicFrame macro="">
      <xdr:nvGraphicFramePr>
        <xdr:cNvPr id="7" name="Chart 6">
          <a:extLst>
            <a:ext uri="{FF2B5EF4-FFF2-40B4-BE49-F238E27FC236}">
              <a16:creationId xmlns:a16="http://schemas.microsoft.com/office/drawing/2014/main" id="{39A8AA43-54F9-450D-A8D3-FF5DF7765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514350</xdr:colOff>
      <xdr:row>6</xdr:row>
      <xdr:rowOff>0</xdr:rowOff>
    </xdr:from>
    <xdr:to>
      <xdr:col>16</xdr:col>
      <xdr:colOff>0</xdr:colOff>
      <xdr:row>19</xdr:row>
      <xdr:rowOff>0</xdr:rowOff>
    </xdr:to>
    <xdr:graphicFrame macro="">
      <xdr:nvGraphicFramePr>
        <xdr:cNvPr id="13" name="bpmChartScen_Db13">
          <a:extLst>
            <a:ext uri="{FF2B5EF4-FFF2-40B4-BE49-F238E27FC236}">
              <a16:creationId xmlns:a16="http://schemas.microsoft.com/office/drawing/2014/main" id="{4DE493CD-17FF-4208-9F9F-D2D6C52A5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247649</xdr:colOff>
      <xdr:row>6</xdr:row>
      <xdr:rowOff>0</xdr:rowOff>
    </xdr:from>
    <xdr:to>
      <xdr:col>24</xdr:col>
      <xdr:colOff>257174</xdr:colOff>
      <xdr:row>19</xdr:row>
      <xdr:rowOff>0</xdr:rowOff>
    </xdr:to>
    <xdr:graphicFrame macro="">
      <xdr:nvGraphicFramePr>
        <xdr:cNvPr id="12" name="bpmChartScen_Db12">
          <a:extLst>
            <a:ext uri="{FF2B5EF4-FFF2-40B4-BE49-F238E27FC236}">
              <a16:creationId xmlns:a16="http://schemas.microsoft.com/office/drawing/2014/main" id="{C1E32986-B318-4852-A559-BF42F8B86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514350</xdr:colOff>
      <xdr:row>20</xdr:row>
      <xdr:rowOff>0</xdr:rowOff>
    </xdr:from>
    <xdr:to>
      <xdr:col>32</xdr:col>
      <xdr:colOff>0</xdr:colOff>
      <xdr:row>33</xdr:row>
      <xdr:rowOff>0</xdr:rowOff>
    </xdr:to>
    <xdr:graphicFrame macro="">
      <xdr:nvGraphicFramePr>
        <xdr:cNvPr id="11" name="bpmChartScen_Db11">
          <a:extLst>
            <a:ext uri="{FF2B5EF4-FFF2-40B4-BE49-F238E27FC236}">
              <a16:creationId xmlns:a16="http://schemas.microsoft.com/office/drawing/2014/main" id="{98909B6E-4E3F-48E4-BAF9-9634F8994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514350</xdr:colOff>
      <xdr:row>6</xdr:row>
      <xdr:rowOff>0</xdr:rowOff>
    </xdr:from>
    <xdr:to>
      <xdr:col>32</xdr:col>
      <xdr:colOff>0</xdr:colOff>
      <xdr:row>19</xdr:row>
      <xdr:rowOff>0</xdr:rowOff>
    </xdr:to>
    <xdr:graphicFrame macro="">
      <xdr:nvGraphicFramePr>
        <xdr:cNvPr id="10" name="bpmChartScen_Db10">
          <a:extLst>
            <a:ext uri="{FF2B5EF4-FFF2-40B4-BE49-F238E27FC236}">
              <a16:creationId xmlns:a16="http://schemas.microsoft.com/office/drawing/2014/main" id="{A59947BD-D7F4-485D-A2FC-28A8471E2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523875</xdr:colOff>
      <xdr:row>20</xdr:row>
      <xdr:rowOff>0</xdr:rowOff>
    </xdr:from>
    <xdr:to>
      <xdr:col>16</xdr:col>
      <xdr:colOff>0</xdr:colOff>
      <xdr:row>33</xdr:row>
      <xdr:rowOff>0</xdr:rowOff>
    </xdr:to>
    <xdr:graphicFrame macro="">
      <xdr:nvGraphicFramePr>
        <xdr:cNvPr id="9" name="bpmChartScen_Db9">
          <a:extLst>
            <a:ext uri="{FF2B5EF4-FFF2-40B4-BE49-F238E27FC236}">
              <a16:creationId xmlns:a16="http://schemas.microsoft.com/office/drawing/2014/main" id="{694BDCD4-D176-4034-945A-00A2E8A81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20</xdr:row>
      <xdr:rowOff>0</xdr:rowOff>
    </xdr:from>
    <xdr:to>
      <xdr:col>8</xdr:col>
      <xdr:colOff>266700</xdr:colOff>
      <xdr:row>33</xdr:row>
      <xdr:rowOff>0</xdr:rowOff>
    </xdr:to>
    <xdr:graphicFrame macro="">
      <xdr:nvGraphicFramePr>
        <xdr:cNvPr id="8" name="bpmChartScen_Db8">
          <a:extLst>
            <a:ext uri="{FF2B5EF4-FFF2-40B4-BE49-F238E27FC236}">
              <a16:creationId xmlns:a16="http://schemas.microsoft.com/office/drawing/2014/main" id="{A73E7E47-2AFF-486D-BCAC-5A0000BCA2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247649</xdr:colOff>
      <xdr:row>20</xdr:row>
      <xdr:rowOff>0</xdr:rowOff>
    </xdr:from>
    <xdr:to>
      <xdr:col>24</xdr:col>
      <xdr:colOff>257174</xdr:colOff>
      <xdr:row>33</xdr:row>
      <xdr:rowOff>0</xdr:rowOff>
    </xdr:to>
    <xdr:graphicFrame macro="">
      <xdr:nvGraphicFramePr>
        <xdr:cNvPr id="7" name="bpmChartScen_Db7">
          <a:extLst>
            <a:ext uri="{FF2B5EF4-FFF2-40B4-BE49-F238E27FC236}">
              <a16:creationId xmlns:a16="http://schemas.microsoft.com/office/drawing/2014/main" id="{55581B21-5DB5-46A9-9C40-5E9A86ED3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6</xdr:row>
      <xdr:rowOff>0</xdr:rowOff>
    </xdr:from>
    <xdr:to>
      <xdr:col>8</xdr:col>
      <xdr:colOff>266700</xdr:colOff>
      <xdr:row>19</xdr:row>
      <xdr:rowOff>0</xdr:rowOff>
    </xdr:to>
    <xdr:graphicFrame macro="">
      <xdr:nvGraphicFramePr>
        <xdr:cNvPr id="6" name="bpmChartScen_Db6">
          <a:extLst>
            <a:ext uri="{FF2B5EF4-FFF2-40B4-BE49-F238E27FC236}">
              <a16:creationId xmlns:a16="http://schemas.microsoft.com/office/drawing/2014/main" id="{23BEE0BA-B706-4425-89D7-1D05B5737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266700</xdr:colOff>
      <xdr:row>4</xdr:row>
      <xdr:rowOff>114300</xdr:rowOff>
    </xdr:from>
    <xdr:to>
      <xdr:col>8</xdr:col>
      <xdr:colOff>517525</xdr:colOff>
      <xdr:row>6</xdr:row>
      <xdr:rowOff>71438</xdr:rowOff>
    </xdr:to>
    <xdr:sp macro="" textlink="">
      <xdr:nvSpPr>
        <xdr:cNvPr id="2" name="bpmShapeScen_Db1">
          <a:extLst>
            <a:ext uri="{FF2B5EF4-FFF2-40B4-BE49-F238E27FC236}">
              <a16:creationId xmlns:a16="http://schemas.microsoft.com/office/drawing/2014/main" id="{63FC5389-9353-40CA-B4A2-7BA31CCD109A}"/>
            </a:ext>
          </a:extLst>
        </xdr:cNvPr>
        <xdr:cNvSpPr/>
      </xdr:nvSpPr>
      <xdr:spPr>
        <a:xfrm>
          <a:off x="5981700" y="771525"/>
          <a:ext cx="250825" cy="2619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noFill/>
          </a:endParaRPr>
        </a:p>
      </xdr:txBody>
    </xdr:sp>
    <xdr:clientData/>
  </xdr:twoCellAnchor>
  <xdr:twoCellAnchor>
    <xdr:from>
      <xdr:col>24</xdr:col>
      <xdr:colOff>266700</xdr:colOff>
      <xdr:row>4</xdr:row>
      <xdr:rowOff>104775</xdr:rowOff>
    </xdr:from>
    <xdr:to>
      <xdr:col>24</xdr:col>
      <xdr:colOff>517525</xdr:colOff>
      <xdr:row>6</xdr:row>
      <xdr:rowOff>61913</xdr:rowOff>
    </xdr:to>
    <xdr:sp macro="" textlink="">
      <xdr:nvSpPr>
        <xdr:cNvPr id="3" name="bpmShapeScen_Db2">
          <a:extLst>
            <a:ext uri="{FF2B5EF4-FFF2-40B4-BE49-F238E27FC236}">
              <a16:creationId xmlns:a16="http://schemas.microsoft.com/office/drawing/2014/main" id="{C9D03934-A345-49C7-BC0D-12E8D9EB2B7D}"/>
            </a:ext>
          </a:extLst>
        </xdr:cNvPr>
        <xdr:cNvSpPr/>
      </xdr:nvSpPr>
      <xdr:spPr>
        <a:xfrm>
          <a:off x="17945100" y="762000"/>
          <a:ext cx="250825" cy="2619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noFill/>
          </a:endParaRPr>
        </a:p>
      </xdr:txBody>
    </xdr:sp>
    <xdr:clientData/>
  </xdr:twoCellAnchor>
  <xdr:twoCellAnchor>
    <xdr:from>
      <xdr:col>8</xdr:col>
      <xdr:colOff>266700</xdr:colOff>
      <xdr:row>18</xdr:row>
      <xdr:rowOff>114300</xdr:rowOff>
    </xdr:from>
    <xdr:to>
      <xdr:col>8</xdr:col>
      <xdr:colOff>517525</xdr:colOff>
      <xdr:row>20</xdr:row>
      <xdr:rowOff>71438</xdr:rowOff>
    </xdr:to>
    <xdr:sp macro="" textlink="">
      <xdr:nvSpPr>
        <xdr:cNvPr id="4" name="bpmShapeScen_Db3">
          <a:extLst>
            <a:ext uri="{FF2B5EF4-FFF2-40B4-BE49-F238E27FC236}">
              <a16:creationId xmlns:a16="http://schemas.microsoft.com/office/drawing/2014/main" id="{F5365993-1F9F-4968-A3F1-E95A47395D5E}"/>
            </a:ext>
          </a:extLst>
        </xdr:cNvPr>
        <xdr:cNvSpPr/>
      </xdr:nvSpPr>
      <xdr:spPr>
        <a:xfrm>
          <a:off x="5981700" y="2905125"/>
          <a:ext cx="250825" cy="2619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noFill/>
          </a:endParaRPr>
        </a:p>
      </xdr:txBody>
    </xdr:sp>
    <xdr:clientData/>
  </xdr:twoCellAnchor>
  <xdr:twoCellAnchor>
    <xdr:from>
      <xdr:col>24</xdr:col>
      <xdr:colOff>266700</xdr:colOff>
      <xdr:row>18</xdr:row>
      <xdr:rowOff>114300</xdr:rowOff>
    </xdr:from>
    <xdr:to>
      <xdr:col>24</xdr:col>
      <xdr:colOff>517525</xdr:colOff>
      <xdr:row>20</xdr:row>
      <xdr:rowOff>71438</xdr:rowOff>
    </xdr:to>
    <xdr:sp macro="" textlink="">
      <xdr:nvSpPr>
        <xdr:cNvPr id="5" name="bpmShapeScen_Db4">
          <a:extLst>
            <a:ext uri="{FF2B5EF4-FFF2-40B4-BE49-F238E27FC236}">
              <a16:creationId xmlns:a16="http://schemas.microsoft.com/office/drawing/2014/main" id="{74F6E08A-5C60-4E21-A29D-A7EB9BDDB6BF}"/>
            </a:ext>
          </a:extLst>
        </xdr:cNvPr>
        <xdr:cNvSpPr/>
      </xdr:nvSpPr>
      <xdr:spPr>
        <a:xfrm>
          <a:off x="17945100" y="2905125"/>
          <a:ext cx="250825" cy="2619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no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8</xdr:row>
          <xdr:rowOff>0</xdr:rowOff>
        </xdr:from>
        <xdr:to>
          <xdr:col>8</xdr:col>
          <xdr:colOff>0</xdr:colOff>
          <xdr:row>9</xdr:row>
          <xdr:rowOff>0</xdr:rowOff>
        </xdr:to>
        <xdr:sp macro="" textlink="">
          <xdr:nvSpPr>
            <xdr:cNvPr id="31745" name="bpmDropDownScenarios1" hidden="1">
              <a:extLst>
                <a:ext uri="{63B3BB69-23CF-44E3-9099-C40C66FF867C}">
                  <a14:compatExt spid="_x0000_s31745"/>
                </a:ext>
                <a:ext uri="{FF2B5EF4-FFF2-40B4-BE49-F238E27FC236}">
                  <a16:creationId xmlns:a16="http://schemas.microsoft.com/office/drawing/2014/main" id="{9D481E88-2D7C-4C5A-82D0-06D504C3B9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125</xdr:row>
          <xdr:rowOff>0</xdr:rowOff>
        </xdr:from>
        <xdr:to>
          <xdr:col>9</xdr:col>
          <xdr:colOff>0</xdr:colOff>
          <xdr:row>126</xdr:row>
          <xdr:rowOff>0</xdr:rowOff>
        </xdr:to>
        <xdr:sp macro="" textlink="">
          <xdr:nvSpPr>
            <xdr:cNvPr id="31751" name="bpmDropDownScen_Db5" hidden="1">
              <a:extLst>
                <a:ext uri="{63B3BB69-23CF-44E3-9099-C40C66FF867C}">
                  <a14:compatExt spid="_x0000_s31751"/>
                </a:ext>
                <a:ext uri="{FF2B5EF4-FFF2-40B4-BE49-F238E27FC236}">
                  <a16:creationId xmlns:a16="http://schemas.microsoft.com/office/drawing/2014/main" id="{A784EAE8-9E3A-4984-B9DE-2FCF635E3ED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21</xdr:row>
          <xdr:rowOff>19050</xdr:rowOff>
        </xdr:from>
        <xdr:to>
          <xdr:col>9</xdr:col>
          <xdr:colOff>19050</xdr:colOff>
          <xdr:row>22</xdr:row>
          <xdr:rowOff>28575</xdr:rowOff>
        </xdr:to>
        <xdr:sp macro="" textlink="">
          <xdr:nvSpPr>
            <xdr:cNvPr id="7200" name="bpmDropDownDebtors1" hidden="1">
              <a:extLst>
                <a:ext uri="{63B3BB69-23CF-44E3-9099-C40C66FF867C}">
                  <a14:compatExt spid="_x0000_s7200"/>
                </a:ext>
                <a:ext uri="{FF2B5EF4-FFF2-40B4-BE49-F238E27FC236}">
                  <a16:creationId xmlns:a16="http://schemas.microsoft.com/office/drawing/2014/main" id="{242CCE88-1D3B-488D-B7B5-5A870EEDF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19050</xdr:rowOff>
        </xdr:from>
        <xdr:to>
          <xdr:col>9</xdr:col>
          <xdr:colOff>19050</xdr:colOff>
          <xdr:row>25</xdr:row>
          <xdr:rowOff>28575</xdr:rowOff>
        </xdr:to>
        <xdr:sp macro="" textlink="">
          <xdr:nvSpPr>
            <xdr:cNvPr id="7201" name="bpmDropDownDebtors2" hidden="1">
              <a:extLst>
                <a:ext uri="{63B3BB69-23CF-44E3-9099-C40C66FF867C}">
                  <a14:compatExt spid="_x0000_s7201"/>
                </a:ext>
                <a:ext uri="{FF2B5EF4-FFF2-40B4-BE49-F238E27FC236}">
                  <a16:creationId xmlns:a16="http://schemas.microsoft.com/office/drawing/2014/main" id="{141A262A-F98F-4B24-83AC-5B81C22DBC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19050</xdr:rowOff>
        </xdr:from>
        <xdr:to>
          <xdr:col>9</xdr:col>
          <xdr:colOff>19050</xdr:colOff>
          <xdr:row>26</xdr:row>
          <xdr:rowOff>38100</xdr:rowOff>
        </xdr:to>
        <xdr:sp macro="" textlink="">
          <xdr:nvSpPr>
            <xdr:cNvPr id="7202" name="bpmDropDownDebtors3" hidden="1">
              <a:extLst>
                <a:ext uri="{63B3BB69-23CF-44E3-9099-C40C66FF867C}">
                  <a14:compatExt spid="_x0000_s7202"/>
                </a:ext>
                <a:ext uri="{FF2B5EF4-FFF2-40B4-BE49-F238E27FC236}">
                  <a16:creationId xmlns:a16="http://schemas.microsoft.com/office/drawing/2014/main" id="{1722A063-78B9-438F-9C6C-8F83A8B8389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0</xdr:rowOff>
        </xdr:from>
        <xdr:to>
          <xdr:col>9</xdr:col>
          <xdr:colOff>0</xdr:colOff>
          <xdr:row>83</xdr:row>
          <xdr:rowOff>0</xdr:rowOff>
        </xdr:to>
        <xdr:sp macro="" textlink="">
          <xdr:nvSpPr>
            <xdr:cNvPr id="7208" name="bpmDropDownInv1" hidden="1">
              <a:extLst>
                <a:ext uri="{63B3BB69-23CF-44E3-9099-C40C66FF867C}">
                  <a14:compatExt spid="_x0000_s7208"/>
                </a:ext>
                <a:ext uri="{FF2B5EF4-FFF2-40B4-BE49-F238E27FC236}">
                  <a16:creationId xmlns:a16="http://schemas.microsoft.com/office/drawing/2014/main" id="{C2B98E55-FFEA-4275-877B-B65E9D9897B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0</xdr:rowOff>
        </xdr:from>
        <xdr:to>
          <xdr:col>9</xdr:col>
          <xdr:colOff>0</xdr:colOff>
          <xdr:row>83</xdr:row>
          <xdr:rowOff>0</xdr:rowOff>
        </xdr:to>
        <xdr:sp macro="" textlink="">
          <xdr:nvSpPr>
            <xdr:cNvPr id="7209" name="bpmDropDownInv2" hidden="1">
              <a:extLst>
                <a:ext uri="{63B3BB69-23CF-44E3-9099-C40C66FF867C}">
                  <a14:compatExt spid="_x0000_s7209"/>
                </a:ext>
                <a:ext uri="{FF2B5EF4-FFF2-40B4-BE49-F238E27FC236}">
                  <a16:creationId xmlns:a16="http://schemas.microsoft.com/office/drawing/2014/main" id="{751222FC-753B-4EE7-B8DF-A939C396E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145</xdr:row>
          <xdr:rowOff>0</xdr:rowOff>
        </xdr:from>
        <xdr:to>
          <xdr:col>9</xdr:col>
          <xdr:colOff>0</xdr:colOff>
          <xdr:row>146</xdr:row>
          <xdr:rowOff>0</xdr:rowOff>
        </xdr:to>
        <xdr:sp macro="" textlink="">
          <xdr:nvSpPr>
            <xdr:cNvPr id="7213" name="bpmDropDownCreditors1" hidden="1">
              <a:extLst>
                <a:ext uri="{63B3BB69-23CF-44E3-9099-C40C66FF867C}">
                  <a14:compatExt spid="_x0000_s7213"/>
                </a:ext>
                <a:ext uri="{FF2B5EF4-FFF2-40B4-BE49-F238E27FC236}">
                  <a16:creationId xmlns:a16="http://schemas.microsoft.com/office/drawing/2014/main" id="{83DE0DB0-6A22-46E9-852C-C45233EAE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146</xdr:row>
          <xdr:rowOff>0</xdr:rowOff>
        </xdr:from>
        <xdr:to>
          <xdr:col>9</xdr:col>
          <xdr:colOff>0</xdr:colOff>
          <xdr:row>147</xdr:row>
          <xdr:rowOff>0</xdr:rowOff>
        </xdr:to>
        <xdr:sp macro="" textlink="">
          <xdr:nvSpPr>
            <xdr:cNvPr id="7214" name="bpmDropDownCreditors2" hidden="1">
              <a:extLst>
                <a:ext uri="{63B3BB69-23CF-44E3-9099-C40C66FF867C}">
                  <a14:compatExt spid="_x0000_s7214"/>
                </a:ext>
                <a:ext uri="{FF2B5EF4-FFF2-40B4-BE49-F238E27FC236}">
                  <a16:creationId xmlns:a16="http://schemas.microsoft.com/office/drawing/2014/main" id="{2E9F7675-7FA3-494D-8525-E8C00DEF1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148</xdr:row>
          <xdr:rowOff>0</xdr:rowOff>
        </xdr:from>
        <xdr:to>
          <xdr:col>9</xdr:col>
          <xdr:colOff>0</xdr:colOff>
          <xdr:row>149</xdr:row>
          <xdr:rowOff>0</xdr:rowOff>
        </xdr:to>
        <xdr:sp macro="" textlink="">
          <xdr:nvSpPr>
            <xdr:cNvPr id="7216" name="bpmDropDownCreditors4" hidden="1">
              <a:extLst>
                <a:ext uri="{63B3BB69-23CF-44E3-9099-C40C66FF867C}">
                  <a14:compatExt spid="_x0000_s7216"/>
                </a:ext>
                <a:ext uri="{FF2B5EF4-FFF2-40B4-BE49-F238E27FC236}">
                  <a16:creationId xmlns:a16="http://schemas.microsoft.com/office/drawing/2014/main" id="{B94CC21B-74B5-44A4-9A6E-E58225CF2E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154</xdr:row>
          <xdr:rowOff>0</xdr:rowOff>
        </xdr:from>
        <xdr:to>
          <xdr:col>9</xdr:col>
          <xdr:colOff>0</xdr:colOff>
          <xdr:row>155</xdr:row>
          <xdr:rowOff>0</xdr:rowOff>
        </xdr:to>
        <xdr:sp macro="" textlink="">
          <xdr:nvSpPr>
            <xdr:cNvPr id="7217" name="bpmDropDownCreditors5" hidden="1">
              <a:extLst>
                <a:ext uri="{63B3BB69-23CF-44E3-9099-C40C66FF867C}">
                  <a14:compatExt spid="_x0000_s7217"/>
                </a:ext>
                <a:ext uri="{FF2B5EF4-FFF2-40B4-BE49-F238E27FC236}">
                  <a16:creationId xmlns:a16="http://schemas.microsoft.com/office/drawing/2014/main" id="{7589FF91-DAC2-4AFE-A40B-01AF36F078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155</xdr:row>
          <xdr:rowOff>0</xdr:rowOff>
        </xdr:from>
        <xdr:to>
          <xdr:col>9</xdr:col>
          <xdr:colOff>0</xdr:colOff>
          <xdr:row>156</xdr:row>
          <xdr:rowOff>0</xdr:rowOff>
        </xdr:to>
        <xdr:sp macro="" textlink="">
          <xdr:nvSpPr>
            <xdr:cNvPr id="7218" name="bpmDropDownCreditors6" hidden="1">
              <a:extLst>
                <a:ext uri="{63B3BB69-23CF-44E3-9099-C40C66FF867C}">
                  <a14:compatExt spid="_x0000_s7218"/>
                </a:ext>
                <a:ext uri="{FF2B5EF4-FFF2-40B4-BE49-F238E27FC236}">
                  <a16:creationId xmlns:a16="http://schemas.microsoft.com/office/drawing/2014/main" id="{17E7C7EB-DCDD-4ACC-9B4F-60D189BD1FC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238</xdr:row>
          <xdr:rowOff>0</xdr:rowOff>
        </xdr:from>
        <xdr:to>
          <xdr:col>9</xdr:col>
          <xdr:colOff>0</xdr:colOff>
          <xdr:row>238</xdr:row>
          <xdr:rowOff>0</xdr:rowOff>
        </xdr:to>
        <xdr:sp macro="" textlink="">
          <xdr:nvSpPr>
            <xdr:cNvPr id="7224" name="bpmDropDownInv_Pay1" hidden="1">
              <a:extLst>
                <a:ext uri="{63B3BB69-23CF-44E3-9099-C40C66FF867C}">
                  <a14:compatExt spid="_x0000_s7224"/>
                </a:ext>
                <a:ext uri="{FF2B5EF4-FFF2-40B4-BE49-F238E27FC236}">
                  <a16:creationId xmlns:a16="http://schemas.microsoft.com/office/drawing/2014/main" id="{466112DF-E930-4918-BB6E-D2662453B4F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9</xdr:col>
          <xdr:colOff>0</xdr:colOff>
          <xdr:row>157</xdr:row>
          <xdr:rowOff>0</xdr:rowOff>
        </xdr:to>
        <xdr:sp macro="" textlink="">
          <xdr:nvSpPr>
            <xdr:cNvPr id="7228" name="bpmDropDownCreditors9" hidden="1">
              <a:extLst>
                <a:ext uri="{63B3BB69-23CF-44E3-9099-C40C66FF867C}">
                  <a14:compatExt spid="_x0000_s7228"/>
                </a:ext>
                <a:ext uri="{FF2B5EF4-FFF2-40B4-BE49-F238E27FC236}">
                  <a16:creationId xmlns:a16="http://schemas.microsoft.com/office/drawing/2014/main" id="{2AB9FE9A-6125-5F26-FDEF-9FB8C67480B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28575</xdr:rowOff>
        </xdr:from>
        <xdr:to>
          <xdr:col>9</xdr:col>
          <xdr:colOff>19050</xdr:colOff>
          <xdr:row>23</xdr:row>
          <xdr:rowOff>28575</xdr:rowOff>
        </xdr:to>
        <xdr:sp macro="" textlink="">
          <xdr:nvSpPr>
            <xdr:cNvPr id="7230" name="bpmDropDownDebtors8" hidden="1">
              <a:extLst>
                <a:ext uri="{63B3BB69-23CF-44E3-9099-C40C66FF867C}">
                  <a14:compatExt spid="_x0000_s7230"/>
                </a:ext>
                <a:ext uri="{FF2B5EF4-FFF2-40B4-BE49-F238E27FC236}">
                  <a16:creationId xmlns:a16="http://schemas.microsoft.com/office/drawing/2014/main" id="{95283D8C-5B30-D3A7-4341-52C286A3E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28575</xdr:rowOff>
        </xdr:from>
        <xdr:to>
          <xdr:col>9</xdr:col>
          <xdr:colOff>19050</xdr:colOff>
          <xdr:row>24</xdr:row>
          <xdr:rowOff>28575</xdr:rowOff>
        </xdr:to>
        <xdr:sp macro="" textlink="">
          <xdr:nvSpPr>
            <xdr:cNvPr id="7231" name="bpmDropDownDebtors9" hidden="1">
              <a:extLst>
                <a:ext uri="{63B3BB69-23CF-44E3-9099-C40C66FF867C}">
                  <a14:compatExt spid="_x0000_s7231"/>
                </a:ext>
                <a:ext uri="{FF2B5EF4-FFF2-40B4-BE49-F238E27FC236}">
                  <a16:creationId xmlns:a16="http://schemas.microsoft.com/office/drawing/2014/main" id="{13411F5D-63E1-7BBE-062A-6DB684525D4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149</xdr:row>
          <xdr:rowOff>0</xdr:rowOff>
        </xdr:from>
        <xdr:to>
          <xdr:col>9</xdr:col>
          <xdr:colOff>0</xdr:colOff>
          <xdr:row>150</xdr:row>
          <xdr:rowOff>0</xdr:rowOff>
        </xdr:to>
        <xdr:sp macro="" textlink="">
          <xdr:nvSpPr>
            <xdr:cNvPr id="7232" name="bpmDropDownCreditors3" hidden="1">
              <a:extLst>
                <a:ext uri="{63B3BB69-23CF-44E3-9099-C40C66FF867C}">
                  <a14:compatExt spid="_x0000_s7232"/>
                </a:ext>
                <a:ext uri="{FF2B5EF4-FFF2-40B4-BE49-F238E27FC236}">
                  <a16:creationId xmlns:a16="http://schemas.microsoft.com/office/drawing/2014/main" id="{81A72FF2-E4E4-3583-B11D-799DB2F54C0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151</xdr:row>
          <xdr:rowOff>0</xdr:rowOff>
        </xdr:from>
        <xdr:to>
          <xdr:col>9</xdr:col>
          <xdr:colOff>0</xdr:colOff>
          <xdr:row>152</xdr:row>
          <xdr:rowOff>0</xdr:rowOff>
        </xdr:to>
        <xdr:sp macro="" textlink="">
          <xdr:nvSpPr>
            <xdr:cNvPr id="7233" name="bpmDropDownCreditors10" hidden="1">
              <a:extLst>
                <a:ext uri="{63B3BB69-23CF-44E3-9099-C40C66FF867C}">
                  <a14:compatExt spid="_x0000_s7233"/>
                </a:ext>
                <a:ext uri="{FF2B5EF4-FFF2-40B4-BE49-F238E27FC236}">
                  <a16:creationId xmlns:a16="http://schemas.microsoft.com/office/drawing/2014/main" id="{0601AD78-DB7C-17D2-C836-E7E50DE3996A}"/>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152</xdr:row>
          <xdr:rowOff>0</xdr:rowOff>
        </xdr:from>
        <xdr:to>
          <xdr:col>9</xdr:col>
          <xdr:colOff>0</xdr:colOff>
          <xdr:row>153</xdr:row>
          <xdr:rowOff>0</xdr:rowOff>
        </xdr:to>
        <xdr:sp macro="" textlink="">
          <xdr:nvSpPr>
            <xdr:cNvPr id="7234" name="bpmDropDownCreditors11" hidden="1">
              <a:extLst>
                <a:ext uri="{63B3BB69-23CF-44E3-9099-C40C66FF867C}">
                  <a14:compatExt spid="_x0000_s7234"/>
                </a:ext>
                <a:ext uri="{FF2B5EF4-FFF2-40B4-BE49-F238E27FC236}">
                  <a16:creationId xmlns:a16="http://schemas.microsoft.com/office/drawing/2014/main" id="{1DD8328D-004E-42FD-C719-FE9CEC9C9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153</xdr:row>
          <xdr:rowOff>0</xdr:rowOff>
        </xdr:from>
        <xdr:to>
          <xdr:col>9</xdr:col>
          <xdr:colOff>0</xdr:colOff>
          <xdr:row>154</xdr:row>
          <xdr:rowOff>0</xdr:rowOff>
        </xdr:to>
        <xdr:sp macro="" textlink="">
          <xdr:nvSpPr>
            <xdr:cNvPr id="7235" name="bpmDropDownCreditors12" hidden="1">
              <a:extLst>
                <a:ext uri="{63B3BB69-23CF-44E3-9099-C40C66FF867C}">
                  <a14:compatExt spid="_x0000_s7235"/>
                </a:ext>
                <a:ext uri="{FF2B5EF4-FFF2-40B4-BE49-F238E27FC236}">
                  <a16:creationId xmlns:a16="http://schemas.microsoft.com/office/drawing/2014/main" id="{B986B7B7-26BD-20C5-B8F6-8A7C043B3DA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28575</xdr:rowOff>
        </xdr:from>
        <xdr:to>
          <xdr:col>9</xdr:col>
          <xdr:colOff>19050</xdr:colOff>
          <xdr:row>27</xdr:row>
          <xdr:rowOff>38100</xdr:rowOff>
        </xdr:to>
        <xdr:sp macro="" textlink="">
          <xdr:nvSpPr>
            <xdr:cNvPr id="7236" name="bpmDropDownDebtors4" hidden="1">
              <a:extLst>
                <a:ext uri="{63B3BB69-23CF-44E3-9099-C40C66FF867C}">
                  <a14:compatExt spid="_x0000_s7236"/>
                </a:ext>
                <a:ext uri="{FF2B5EF4-FFF2-40B4-BE49-F238E27FC236}">
                  <a16:creationId xmlns:a16="http://schemas.microsoft.com/office/drawing/2014/main" id="{744FE230-E029-4E19-8EA2-42C29BC6037F}"/>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83</xdr:row>
          <xdr:rowOff>0</xdr:rowOff>
        </xdr:from>
        <xdr:to>
          <xdr:col>9</xdr:col>
          <xdr:colOff>0</xdr:colOff>
          <xdr:row>83</xdr:row>
          <xdr:rowOff>0</xdr:rowOff>
        </xdr:to>
        <xdr:sp macro="" textlink="">
          <xdr:nvSpPr>
            <xdr:cNvPr id="7237" name="bpmDropDownInv3" hidden="1">
              <a:extLst>
                <a:ext uri="{63B3BB69-23CF-44E3-9099-C40C66FF867C}">
                  <a14:compatExt spid="_x0000_s7237"/>
                </a:ext>
                <a:ext uri="{FF2B5EF4-FFF2-40B4-BE49-F238E27FC236}">
                  <a16:creationId xmlns:a16="http://schemas.microsoft.com/office/drawing/2014/main" id="{12C6121B-0FD4-48C7-B94F-BB276BA87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147</xdr:row>
          <xdr:rowOff>0</xdr:rowOff>
        </xdr:from>
        <xdr:to>
          <xdr:col>9</xdr:col>
          <xdr:colOff>0</xdr:colOff>
          <xdr:row>148</xdr:row>
          <xdr:rowOff>0</xdr:rowOff>
        </xdr:to>
        <xdr:sp macro="" textlink="">
          <xdr:nvSpPr>
            <xdr:cNvPr id="7238" name="bpmDropDownCreditors7" hidden="1">
              <a:extLst>
                <a:ext uri="{63B3BB69-23CF-44E3-9099-C40C66FF867C}">
                  <a14:compatExt spid="_x0000_s7238"/>
                </a:ext>
                <a:ext uri="{FF2B5EF4-FFF2-40B4-BE49-F238E27FC236}">
                  <a16:creationId xmlns:a16="http://schemas.microsoft.com/office/drawing/2014/main" id="{7A67311A-B06C-48BF-8376-E43F8F6726BB}"/>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28575</xdr:rowOff>
        </xdr:from>
        <xdr:to>
          <xdr:col>9</xdr:col>
          <xdr:colOff>19050</xdr:colOff>
          <xdr:row>28</xdr:row>
          <xdr:rowOff>38100</xdr:rowOff>
        </xdr:to>
        <xdr:sp macro="" textlink="">
          <xdr:nvSpPr>
            <xdr:cNvPr id="7239" name="bpmDropDownDebtors5" hidden="1">
              <a:extLst>
                <a:ext uri="{63B3BB69-23CF-44E3-9099-C40C66FF867C}">
                  <a14:compatExt spid="_x0000_s7239"/>
                </a:ext>
                <a:ext uri="{FF2B5EF4-FFF2-40B4-BE49-F238E27FC236}">
                  <a16:creationId xmlns:a16="http://schemas.microsoft.com/office/drawing/2014/main" id="{0B7B0E83-3141-4074-9C4B-90B3DF14F98E}"/>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150</xdr:row>
          <xdr:rowOff>0</xdr:rowOff>
        </xdr:from>
        <xdr:to>
          <xdr:col>9</xdr:col>
          <xdr:colOff>0</xdr:colOff>
          <xdr:row>151</xdr:row>
          <xdr:rowOff>0</xdr:rowOff>
        </xdr:to>
        <xdr:sp macro="" textlink="">
          <xdr:nvSpPr>
            <xdr:cNvPr id="7240" name="bpmDropDownCreditors8" hidden="1">
              <a:extLst>
                <a:ext uri="{63B3BB69-23CF-44E3-9099-C40C66FF867C}">
                  <a14:compatExt spid="_x0000_s7240"/>
                </a:ext>
                <a:ext uri="{FF2B5EF4-FFF2-40B4-BE49-F238E27FC236}">
                  <a16:creationId xmlns:a16="http://schemas.microsoft.com/office/drawing/2014/main" id="{0F8A033D-B843-4465-AD4B-2795AF9C7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0</xdr:colOff>
          <xdr:row>44</xdr:row>
          <xdr:rowOff>0</xdr:rowOff>
        </xdr:from>
        <xdr:to>
          <xdr:col>9</xdr:col>
          <xdr:colOff>0</xdr:colOff>
          <xdr:row>45</xdr:row>
          <xdr:rowOff>0</xdr:rowOff>
        </xdr:to>
        <xdr:sp macro="" textlink="">
          <xdr:nvSpPr>
            <xdr:cNvPr id="9224" name="bpmDropDownAssets1" hidden="1">
              <a:extLst>
                <a:ext uri="{63B3BB69-23CF-44E3-9099-C40C66FF867C}">
                  <a14:compatExt spid="_x0000_s9224"/>
                </a:ext>
                <a:ext uri="{FF2B5EF4-FFF2-40B4-BE49-F238E27FC236}">
                  <a16:creationId xmlns:a16="http://schemas.microsoft.com/office/drawing/2014/main" id="{3C9DD528-BB71-4078-B2D0-BC0FCE6979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45</xdr:row>
          <xdr:rowOff>0</xdr:rowOff>
        </xdr:from>
        <xdr:to>
          <xdr:col>9</xdr:col>
          <xdr:colOff>0</xdr:colOff>
          <xdr:row>46</xdr:row>
          <xdr:rowOff>0</xdr:rowOff>
        </xdr:to>
        <xdr:sp macro="" textlink="">
          <xdr:nvSpPr>
            <xdr:cNvPr id="9225" name="bpmDropDownAssets2" hidden="1">
              <a:extLst>
                <a:ext uri="{63B3BB69-23CF-44E3-9099-C40C66FF867C}">
                  <a14:compatExt spid="_x0000_s9225"/>
                </a:ext>
                <a:ext uri="{FF2B5EF4-FFF2-40B4-BE49-F238E27FC236}">
                  <a16:creationId xmlns:a16="http://schemas.microsoft.com/office/drawing/2014/main" id="{A56CB177-3C46-41E5-94C7-11D95642AFB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105</xdr:row>
          <xdr:rowOff>0</xdr:rowOff>
        </xdr:from>
        <xdr:to>
          <xdr:col>8</xdr:col>
          <xdr:colOff>0</xdr:colOff>
          <xdr:row>106</xdr:row>
          <xdr:rowOff>0</xdr:rowOff>
        </xdr:to>
        <xdr:sp macro="" textlink="">
          <xdr:nvSpPr>
            <xdr:cNvPr id="8203" name="bpmCheckBoxEq_Ord1" hidden="1">
              <a:extLst>
                <a:ext uri="{63B3BB69-23CF-44E3-9099-C40C66FF867C}">
                  <a14:compatExt spid="_x0000_s8203"/>
                </a:ext>
                <a:ext uri="{FF2B5EF4-FFF2-40B4-BE49-F238E27FC236}">
                  <a16:creationId xmlns:a16="http://schemas.microsoft.com/office/drawing/2014/main" id="{64DD5A19-B0AD-4B2F-B275-33368432A8F0}"/>
                </a:ext>
              </a:extLst>
            </xdr:cNvPr>
            <xdr:cNvSpPr/>
          </xdr:nvSpPr>
          <xdr:spPr bwMode="auto">
            <a:xfrm>
              <a:off x="0" y="0"/>
              <a:ext cx="0" cy="0"/>
            </a:xfrm>
            <a:prstGeom prst="rect">
              <a:avLst/>
            </a:prstGeom>
            <a:noFill/>
            <a:ln>
              <a:noFill/>
            </a:ln>
            <a:extLst>
              <a:ext uri="{909E8E84-426E-40DD-AFC4-6F175D3DCCD1}">
                <a14:hiddenFill>
                  <a:solidFill>
                    <a:srgbClr val="000000"/>
                  </a:solidFill>
                </a14:hiddenFill>
              </a:ext>
              <a:ext uri="{91240B29-F687-4F45-9708-019B960494DF}">
                <a14:hiddenLine w="1">
                  <a:solidFill>
                    <a:srgbClr val="FFFFFF"/>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20396D"/>
      </a:accent1>
      <a:accent2>
        <a:srgbClr val="7399C6"/>
      </a:accent2>
      <a:accent3>
        <a:srgbClr val="93BBC5"/>
      </a:accent3>
      <a:accent4>
        <a:srgbClr val="7D7FA6"/>
      </a:accent4>
      <a:accent5>
        <a:srgbClr val="7F9AAF"/>
      </a:accent5>
      <a:accent6>
        <a:srgbClr val="C7D6E8"/>
      </a:accent6>
      <a:hlink>
        <a:srgbClr val="44546A"/>
      </a:hlink>
      <a:folHlink>
        <a:srgbClr val="44546A"/>
      </a:folHlink>
    </a:clrScheme>
    <a:fontScheme name="Office">
      <a:majorFont>
        <a:latin typeface="Arial" panose="020F0302020204030204"/>
        <a:ea typeface="Arial"/>
        <a:cs typeface="Arial"/>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rial" panose="020F0502020204030204"/>
        <a:ea typeface="Arial"/>
        <a:cs typeface="Arial"/>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7.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comments" Target="../comments6.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comments" Target="../comments7.xml"/><Relationship Id="rId4" Type="http://schemas.openxmlformats.org/officeDocument/2006/relationships/ctrlProp" Target="../ctrlProps/ctrlProp3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omments" Target="../comments8.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omments" Target="../comments11.x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4E2AA-8602-4FD8-80E0-B52016CCE881}">
  <sheetPr codeName="Sheet1">
    <outlinePr summaryBelow="0"/>
    <pageSetUpPr autoPageBreaks="0"/>
  </sheetPr>
  <dimension ref="A1:L79"/>
  <sheetViews>
    <sheetView showGridLines="0" workbookViewId="0">
      <pane xSplit="1" ySplit="3" topLeftCell="B4" activePane="bottomRight" state="frozenSplit"/>
      <selection pane="topRight" activeCell="B1" sqref="B1"/>
      <selection pane="bottomLeft" activeCell="A4" sqref="A4"/>
      <selection pane="bottomRight" activeCell="C24" sqref="C24:L24"/>
    </sheetView>
  </sheetViews>
  <sheetFormatPr baseColWidth="10" defaultColWidth="11.59765625" defaultRowHeight="12" outlineLevelRow="2" x14ac:dyDescent="0.15"/>
  <cols>
    <col min="1" max="6" width="3.59765625" customWidth="1"/>
  </cols>
  <sheetData>
    <row r="1" spans="1:12" ht="14" x14ac:dyDescent="0.15">
      <c r="B1" s="202" t="s">
        <v>0</v>
      </c>
    </row>
    <row r="2" spans="1:12" ht="13" x14ac:dyDescent="0.15">
      <c r="B2" s="65" t="str">
        <f ca="1">"Venue Planning Project"&amp;Err_Chks_Msg&amp;IFERROR(INDIRECT("Scenarios_Displayed_Name"),Sens_Chks_Msg)&amp;Alt_Chks_Msg</f>
        <v>Venue Planning Project (Alert in Inventory)</v>
      </c>
    </row>
    <row r="3" spans="1:12" x14ac:dyDescent="0.15">
      <c r="B3" s="194" t="s">
        <v>1</v>
      </c>
    </row>
    <row r="5" spans="1:12" s="1" customFormat="1" x14ac:dyDescent="0.15">
      <c r="A5"/>
      <c r="B5" s="2" t="s">
        <v>2</v>
      </c>
    </row>
    <row r="6" spans="1:12" outlineLevel="1" x14ac:dyDescent="0.15"/>
    <row r="7" spans="1:12" outlineLevel="1" x14ac:dyDescent="0.15">
      <c r="B7" s="203">
        <v>1</v>
      </c>
      <c r="C7" s="204" t="s">
        <v>3</v>
      </c>
    </row>
    <row r="8" spans="1:12" outlineLevel="1" x14ac:dyDescent="0.15">
      <c r="B8" s="203">
        <v>2</v>
      </c>
      <c r="C8" s="204" t="s">
        <v>3</v>
      </c>
    </row>
    <row r="9" spans="1:12" outlineLevel="1" x14ac:dyDescent="0.15">
      <c r="B9" s="203">
        <v>3</v>
      </c>
      <c r="C9" s="204" t="s">
        <v>3</v>
      </c>
    </row>
    <row r="11" spans="1:12" s="1" customFormat="1" x14ac:dyDescent="0.15">
      <c r="A11"/>
      <c r="B11" s="2" t="s">
        <v>4</v>
      </c>
    </row>
    <row r="13" spans="1:12" ht="11.5" customHeight="1" x14ac:dyDescent="0.15">
      <c r="B13" s="150">
        <v>1</v>
      </c>
      <c r="C13" s="299" t="str">
        <f>Instructions!B1</f>
        <v>Instructions</v>
      </c>
      <c r="D13" s="299"/>
      <c r="E13" s="299"/>
      <c r="F13" s="299"/>
      <c r="G13" s="299"/>
      <c r="H13" s="299"/>
      <c r="I13" s="299"/>
      <c r="J13" s="299"/>
      <c r="K13" s="299"/>
      <c r="L13" s="299"/>
    </row>
    <row r="14" spans="1:12" ht="11.5" customHeight="1" x14ac:dyDescent="0.15">
      <c r="B14" s="150">
        <v>2</v>
      </c>
      <c r="C14" s="299" t="str">
        <f>Dashboards!C9</f>
        <v>Dashboards</v>
      </c>
      <c r="D14" s="299"/>
      <c r="E14" s="299"/>
      <c r="F14" s="299"/>
      <c r="G14" s="299"/>
      <c r="H14" s="299"/>
      <c r="I14" s="299"/>
      <c r="J14" s="299"/>
      <c r="K14" s="299"/>
      <c r="L14" s="299"/>
    </row>
    <row r="15" spans="1:12" outlineLevel="1" x14ac:dyDescent="0.15">
      <c r="C15" s="6" t="s">
        <v>5</v>
      </c>
      <c r="D15" s="297" t="str">
        <f>Summary!B1</f>
        <v>Summary</v>
      </c>
      <c r="E15" s="297"/>
      <c r="F15" s="297"/>
      <c r="G15" s="297"/>
      <c r="H15" s="297"/>
      <c r="I15" s="297"/>
      <c r="J15" s="297"/>
      <c r="K15" s="297"/>
      <c r="L15" s="297"/>
    </row>
    <row r="16" spans="1:12" outlineLevel="1" x14ac:dyDescent="0.15">
      <c r="C16" s="6" t="s">
        <v>6</v>
      </c>
      <c r="D16" s="297" t="str">
        <f>KPIs!B1</f>
        <v>Key Figures</v>
      </c>
      <c r="E16" s="297"/>
      <c r="F16" s="297"/>
      <c r="G16" s="297"/>
      <c r="H16" s="297"/>
      <c r="I16" s="297"/>
      <c r="J16" s="297"/>
      <c r="K16" s="297"/>
      <c r="L16" s="297"/>
    </row>
    <row r="17" spans="2:12" outlineLevel="1" x14ac:dyDescent="0.15">
      <c r="C17" s="6" t="s">
        <v>7</v>
      </c>
      <c r="D17" s="297" t="str">
        <f>Scen_Db!B1</f>
        <v>Scenarios Summary</v>
      </c>
      <c r="E17" s="297"/>
      <c r="F17" s="297"/>
      <c r="G17" s="297"/>
      <c r="H17" s="297"/>
      <c r="I17" s="297"/>
      <c r="J17" s="297"/>
      <c r="K17" s="297"/>
      <c r="L17" s="297"/>
    </row>
    <row r="18" spans="2:12" outlineLevel="1" collapsed="1" x14ac:dyDescent="0.15">
      <c r="C18" s="6" t="s">
        <v>8</v>
      </c>
      <c r="D18" s="297" t="str">
        <f>Scenarios!B1</f>
        <v>Scenario Manager</v>
      </c>
      <c r="E18" s="297"/>
      <c r="F18" s="297"/>
      <c r="G18" s="297"/>
      <c r="H18" s="297"/>
      <c r="I18" s="297"/>
      <c r="J18" s="297"/>
      <c r="K18" s="297"/>
      <c r="L18" s="297"/>
    </row>
    <row r="19" spans="2:12" ht="11.5" hidden="1" customHeight="1" outlineLevel="2" x14ac:dyDescent="0.15">
      <c r="D19" s="292" t="s">
        <v>9</v>
      </c>
      <c r="E19" s="298" t="str">
        <f>TOC_Hdg_32</f>
        <v>Scenarios</v>
      </c>
      <c r="F19" s="298"/>
      <c r="G19" s="298"/>
      <c r="H19" s="298"/>
      <c r="I19" s="298"/>
      <c r="J19" s="298"/>
      <c r="K19" s="298"/>
      <c r="L19" s="298"/>
    </row>
    <row r="20" spans="2:12" ht="11.5" hidden="1" customHeight="1" outlineLevel="2" x14ac:dyDescent="0.15">
      <c r="D20" s="292" t="s">
        <v>9</v>
      </c>
      <c r="E20" s="298" t="str">
        <f>TOC_Hdg_45</f>
        <v>Volumes</v>
      </c>
      <c r="F20" s="298"/>
      <c r="G20" s="298"/>
      <c r="H20" s="298"/>
      <c r="I20" s="298"/>
      <c r="J20" s="298"/>
      <c r="K20" s="298"/>
      <c r="L20" s="298"/>
    </row>
    <row r="21" spans="2:12" ht="11.5" hidden="1" customHeight="1" outlineLevel="2" x14ac:dyDescent="0.15">
      <c r="D21" s="292" t="s">
        <v>9</v>
      </c>
      <c r="E21" s="298" t="str">
        <f>TOC_Hdg_46</f>
        <v>Volumes (2)</v>
      </c>
      <c r="F21" s="298"/>
      <c r="G21" s="298"/>
      <c r="H21" s="298"/>
      <c r="I21" s="298"/>
      <c r="J21" s="298"/>
      <c r="K21" s="298"/>
      <c r="L21" s="298"/>
    </row>
    <row r="22" spans="2:12" ht="11.5" hidden="1" customHeight="1" outlineLevel="2" x14ac:dyDescent="0.15">
      <c r="D22" s="292" t="s">
        <v>9</v>
      </c>
      <c r="E22" s="298" t="str">
        <f>TOC_Hdg_28</f>
        <v>Revenue</v>
      </c>
      <c r="F22" s="298"/>
      <c r="G22" s="298"/>
      <c r="H22" s="298"/>
      <c r="I22" s="298"/>
      <c r="J22" s="298"/>
      <c r="K22" s="298"/>
      <c r="L22" s="298"/>
    </row>
    <row r="23" spans="2:12" ht="11.5" hidden="1" customHeight="1" outlineLevel="2" x14ac:dyDescent="0.15">
      <c r="D23" s="292" t="s">
        <v>9</v>
      </c>
      <c r="E23" s="298" t="str">
        <f>TOC_Hdg_10</f>
        <v>Cost of Goods Sold</v>
      </c>
      <c r="F23" s="298"/>
      <c r="G23" s="298"/>
      <c r="H23" s="298"/>
      <c r="I23" s="298"/>
      <c r="J23" s="298"/>
      <c r="K23" s="298"/>
      <c r="L23" s="298"/>
    </row>
    <row r="24" spans="2:12" ht="11.5" hidden="1" customHeight="1" outlineLevel="2" x14ac:dyDescent="0.15">
      <c r="D24" s="292" t="s">
        <v>9</v>
      </c>
      <c r="E24" s="298" t="str">
        <f>TOC_Hdg_22</f>
        <v>Operating Expenditure</v>
      </c>
      <c r="F24" s="298"/>
      <c r="G24" s="298"/>
      <c r="H24" s="298"/>
      <c r="I24" s="298"/>
      <c r="J24" s="298"/>
      <c r="K24" s="298"/>
      <c r="L24" s="298"/>
    </row>
    <row r="25" spans="2:12" ht="11.5" hidden="1" customHeight="1" outlineLevel="2" x14ac:dyDescent="0.15">
      <c r="D25" s="292" t="s">
        <v>9</v>
      </c>
      <c r="E25" s="298" t="str">
        <f>TOC_Hdg_26</f>
        <v>Other Revenue</v>
      </c>
      <c r="F25" s="298"/>
      <c r="G25" s="298"/>
      <c r="H25" s="298"/>
      <c r="I25" s="298"/>
      <c r="J25" s="298"/>
      <c r="K25" s="298"/>
      <c r="L25" s="298"/>
    </row>
    <row r="26" spans="2:12" ht="11.5" hidden="1" customHeight="1" outlineLevel="2" x14ac:dyDescent="0.15">
      <c r="D26" s="292" t="s">
        <v>9</v>
      </c>
      <c r="E26" s="298" t="str">
        <f>TOC_Hdg_6</f>
        <v>Capital Expenditure</v>
      </c>
      <c r="F26" s="298"/>
      <c r="G26" s="298"/>
      <c r="H26" s="298"/>
      <c r="I26" s="298"/>
      <c r="J26" s="298"/>
      <c r="K26" s="298"/>
      <c r="L26" s="298"/>
    </row>
    <row r="27" spans="2:12" ht="11.5" hidden="1" customHeight="1" outlineLevel="2" x14ac:dyDescent="0.15">
      <c r="D27" s="292" t="s">
        <v>9</v>
      </c>
      <c r="E27" s="298" t="str">
        <f>TOC_Hdg_38</f>
        <v>Scenario Data Tables</v>
      </c>
      <c r="F27" s="298"/>
      <c r="G27" s="298"/>
      <c r="H27" s="298"/>
      <c r="I27" s="298"/>
      <c r="J27" s="298"/>
      <c r="K27" s="298"/>
      <c r="L27" s="298"/>
    </row>
    <row r="28" spans="2:12" ht="11.5" customHeight="1" x14ac:dyDescent="0.15">
      <c r="B28" s="150">
        <v>3</v>
      </c>
      <c r="C28" s="299" t="str">
        <f>Model!C9</f>
        <v>Financial Model</v>
      </c>
      <c r="D28" s="299"/>
      <c r="E28" s="299"/>
      <c r="F28" s="299"/>
      <c r="G28" s="299"/>
      <c r="H28" s="299"/>
      <c r="I28" s="299"/>
      <c r="J28" s="299"/>
      <c r="K28" s="299"/>
      <c r="L28" s="299"/>
    </row>
    <row r="29" spans="2:12" outlineLevel="1" x14ac:dyDescent="0.15">
      <c r="C29" s="6" t="s">
        <v>5</v>
      </c>
      <c r="D29" s="297" t="str">
        <f>OBS!B1</f>
        <v>Opening Balance Sheet</v>
      </c>
      <c r="E29" s="297"/>
      <c r="F29" s="297"/>
      <c r="G29" s="297"/>
      <c r="H29" s="297"/>
      <c r="I29" s="297"/>
      <c r="J29" s="297"/>
      <c r="K29" s="297"/>
      <c r="L29" s="297"/>
    </row>
    <row r="30" spans="2:12" outlineLevel="1" collapsed="1" x14ac:dyDescent="0.15">
      <c r="C30" s="6" t="s">
        <v>6</v>
      </c>
      <c r="D30" s="297" t="str">
        <f>Rev_Exp!B1</f>
        <v>Revenue &amp; Expenses</v>
      </c>
      <c r="E30" s="297"/>
      <c r="F30" s="297"/>
      <c r="G30" s="297"/>
      <c r="H30" s="297"/>
      <c r="I30" s="297"/>
      <c r="J30" s="297"/>
      <c r="K30" s="297"/>
      <c r="L30" s="297"/>
    </row>
    <row r="31" spans="2:12" ht="11.5" hidden="1" customHeight="1" outlineLevel="2" x14ac:dyDescent="0.15">
      <c r="D31" s="292" t="s">
        <v>9</v>
      </c>
      <c r="E31" s="298" t="str">
        <f>TOC_Hdg_48</f>
        <v>Membership</v>
      </c>
      <c r="F31" s="298"/>
      <c r="G31" s="298"/>
      <c r="H31" s="298"/>
      <c r="I31" s="298"/>
      <c r="J31" s="298"/>
      <c r="K31" s="298"/>
      <c r="L31" s="298"/>
    </row>
    <row r="32" spans="2:12" ht="11.5" hidden="1" customHeight="1" outlineLevel="2" x14ac:dyDescent="0.15">
      <c r="D32" s="292" t="s">
        <v>9</v>
      </c>
      <c r="E32" s="298" t="str">
        <f>TOC_Hdg_47</f>
        <v>Membership &amp; Utilisation</v>
      </c>
      <c r="F32" s="298"/>
      <c r="G32" s="298"/>
      <c r="H32" s="298"/>
      <c r="I32" s="298"/>
      <c r="J32" s="298"/>
      <c r="K32" s="298"/>
      <c r="L32" s="298"/>
    </row>
    <row r="33" spans="3:12" ht="11.5" hidden="1" customHeight="1" outlineLevel="2" x14ac:dyDescent="0.15">
      <c r="D33" s="292" t="s">
        <v>9</v>
      </c>
      <c r="E33" s="298" t="str">
        <f>TOC_Hdg_34</f>
        <v>Revenue</v>
      </c>
      <c r="F33" s="298"/>
      <c r="G33" s="298"/>
      <c r="H33" s="298"/>
      <c r="I33" s="298"/>
      <c r="J33" s="298"/>
      <c r="K33" s="298"/>
      <c r="L33" s="298"/>
    </row>
    <row r="34" spans="3:12" ht="11.5" hidden="1" customHeight="1" outlineLevel="2" x14ac:dyDescent="0.15">
      <c r="D34" s="292" t="s">
        <v>9</v>
      </c>
      <c r="E34" s="298" t="str">
        <f>TOC_Hdg_35</f>
        <v>Cost of Goods Sold</v>
      </c>
      <c r="F34" s="298"/>
      <c r="G34" s="298"/>
      <c r="H34" s="298"/>
      <c r="I34" s="298"/>
      <c r="J34" s="298"/>
      <c r="K34" s="298"/>
      <c r="L34" s="298"/>
    </row>
    <row r="35" spans="3:12" ht="11.5" hidden="1" customHeight="1" outlineLevel="2" x14ac:dyDescent="0.15">
      <c r="D35" s="292" t="s">
        <v>9</v>
      </c>
      <c r="E35" s="298" t="str">
        <f>TOC_Hdg_36</f>
        <v>Operating Expenditure</v>
      </c>
      <c r="F35" s="298"/>
      <c r="G35" s="298"/>
      <c r="H35" s="298"/>
      <c r="I35" s="298"/>
      <c r="J35" s="298"/>
      <c r="K35" s="298"/>
      <c r="L35" s="298"/>
    </row>
    <row r="36" spans="3:12" ht="11.5" hidden="1" customHeight="1" outlineLevel="2" x14ac:dyDescent="0.15">
      <c r="D36" s="292" t="s">
        <v>9</v>
      </c>
      <c r="E36" s="298" t="str">
        <f>TOC_Hdg_49</f>
        <v>Other Revenue</v>
      </c>
      <c r="F36" s="298"/>
      <c r="G36" s="298"/>
      <c r="H36" s="298"/>
      <c r="I36" s="298"/>
      <c r="J36" s="298"/>
      <c r="K36" s="298"/>
      <c r="L36" s="298"/>
    </row>
    <row r="37" spans="3:12" ht="11.5" hidden="1" customHeight="1" outlineLevel="2" x14ac:dyDescent="0.15">
      <c r="D37" s="292" t="s">
        <v>9</v>
      </c>
      <c r="E37" s="298" t="str">
        <f>TOC_Hdg_27</f>
        <v>Other Expenses</v>
      </c>
      <c r="F37" s="298"/>
      <c r="G37" s="298"/>
      <c r="H37" s="298"/>
      <c r="I37" s="298"/>
      <c r="J37" s="298"/>
      <c r="K37" s="298"/>
      <c r="L37" s="298"/>
    </row>
    <row r="38" spans="3:12" outlineLevel="1" collapsed="1" x14ac:dyDescent="0.15">
      <c r="C38" s="6" t="s">
        <v>7</v>
      </c>
      <c r="D38" s="297" t="str">
        <f>WC!B1</f>
        <v>Working Capital</v>
      </c>
      <c r="E38" s="297"/>
      <c r="F38" s="297"/>
      <c r="G38" s="297"/>
      <c r="H38" s="297"/>
      <c r="I38" s="297"/>
      <c r="J38" s="297"/>
      <c r="K38" s="297"/>
      <c r="L38" s="297"/>
    </row>
    <row r="39" spans="3:12" ht="11.5" hidden="1" customHeight="1" outlineLevel="2" x14ac:dyDescent="0.15">
      <c r="D39" s="292" t="s">
        <v>9</v>
      </c>
      <c r="E39" s="298" t="str">
        <f>TOC_Hdg_13</f>
        <v>Debtors</v>
      </c>
      <c r="F39" s="298"/>
      <c r="G39" s="298"/>
      <c r="H39" s="298"/>
      <c r="I39" s="298"/>
      <c r="J39" s="298"/>
      <c r="K39" s="298"/>
      <c r="L39" s="298"/>
    </row>
    <row r="40" spans="3:12" ht="11.5" hidden="1" customHeight="1" outlineLevel="2" x14ac:dyDescent="0.15">
      <c r="D40" s="292" t="s">
        <v>9</v>
      </c>
      <c r="E40" s="298" t="str">
        <f>TOC_Hdg_19</f>
        <v>Inventory</v>
      </c>
      <c r="F40" s="298"/>
      <c r="G40" s="298"/>
      <c r="H40" s="298"/>
      <c r="I40" s="298"/>
      <c r="J40" s="298"/>
      <c r="K40" s="298"/>
      <c r="L40" s="298"/>
    </row>
    <row r="41" spans="3:12" ht="11.5" hidden="1" customHeight="1" outlineLevel="2" x14ac:dyDescent="0.15">
      <c r="D41" s="292" t="s">
        <v>9</v>
      </c>
      <c r="E41" s="298" t="str">
        <f>TOC_Hdg_11</f>
        <v>Creditors</v>
      </c>
      <c r="F41" s="298"/>
      <c r="G41" s="298"/>
      <c r="H41" s="298"/>
      <c r="I41" s="298"/>
      <c r="J41" s="298"/>
      <c r="K41" s="298"/>
      <c r="L41" s="298"/>
    </row>
    <row r="42" spans="3:12" ht="11.5" hidden="1" customHeight="1" outlineLevel="2" x14ac:dyDescent="0.15">
      <c r="D42" s="292" t="s">
        <v>9</v>
      </c>
      <c r="E42" s="298" t="str">
        <f>TOC_Hdg_18</f>
        <v>Inventory Payables</v>
      </c>
      <c r="F42" s="298"/>
      <c r="G42" s="298"/>
      <c r="H42" s="298"/>
      <c r="I42" s="298"/>
      <c r="J42" s="298"/>
      <c r="K42" s="298"/>
      <c r="L42" s="298"/>
    </row>
    <row r="43" spans="3:12" outlineLevel="1" collapsed="1" x14ac:dyDescent="0.15">
      <c r="C43" s="6" t="s">
        <v>8</v>
      </c>
      <c r="D43" s="297" t="str">
        <f>Assets!B1</f>
        <v>Assets</v>
      </c>
      <c r="E43" s="297"/>
      <c r="F43" s="297"/>
      <c r="G43" s="297"/>
      <c r="H43" s="297"/>
      <c r="I43" s="297"/>
      <c r="J43" s="297"/>
      <c r="K43" s="297"/>
      <c r="L43" s="297"/>
    </row>
    <row r="44" spans="3:12" ht="11.5" hidden="1" customHeight="1" outlineLevel="2" x14ac:dyDescent="0.15">
      <c r="D44" s="292" t="s">
        <v>9</v>
      </c>
      <c r="E44" s="298" t="str">
        <f>TOC_Hdg_37</f>
        <v>Capital Expenditure</v>
      </c>
      <c r="F44" s="298"/>
      <c r="G44" s="298"/>
      <c r="H44" s="298"/>
      <c r="I44" s="298"/>
      <c r="J44" s="298"/>
      <c r="K44" s="298"/>
      <c r="L44" s="298"/>
    </row>
    <row r="45" spans="3:12" ht="11.5" hidden="1" customHeight="1" outlineLevel="2" x14ac:dyDescent="0.15">
      <c r="D45" s="292" t="s">
        <v>9</v>
      </c>
      <c r="E45" s="298" t="str">
        <f>TOC_Hdg_14</f>
        <v>Fixed Assets</v>
      </c>
      <c r="F45" s="298"/>
      <c r="G45" s="298"/>
      <c r="H45" s="298"/>
      <c r="I45" s="298"/>
      <c r="J45" s="298"/>
      <c r="K45" s="298"/>
      <c r="L45" s="298"/>
    </row>
    <row r="46" spans="3:12" outlineLevel="1" collapsed="1" x14ac:dyDescent="0.15">
      <c r="C46" s="6" t="s">
        <v>10</v>
      </c>
      <c r="D46" s="297" t="str">
        <f>Capital!B1</f>
        <v>Capital</v>
      </c>
      <c r="E46" s="297"/>
      <c r="F46" s="297"/>
      <c r="G46" s="297"/>
      <c r="H46" s="297"/>
      <c r="I46" s="297"/>
      <c r="J46" s="297"/>
      <c r="K46" s="297"/>
      <c r="L46" s="297"/>
    </row>
    <row r="47" spans="3:12" ht="11.5" hidden="1" customHeight="1" outlineLevel="2" x14ac:dyDescent="0.15">
      <c r="D47" s="292" t="s">
        <v>9</v>
      </c>
      <c r="E47" s="298" t="str">
        <f>TOC_Hdg_12</f>
        <v>Debt</v>
      </c>
      <c r="F47" s="298"/>
      <c r="G47" s="298"/>
      <c r="H47" s="298"/>
      <c r="I47" s="298"/>
      <c r="J47" s="298"/>
      <c r="K47" s="298"/>
      <c r="L47" s="298"/>
    </row>
    <row r="48" spans="3:12" ht="11.5" hidden="1" customHeight="1" outlineLevel="2" x14ac:dyDescent="0.15">
      <c r="D48" s="292" t="s">
        <v>9</v>
      </c>
      <c r="E48" s="298" t="str">
        <f>TOC_Hdg_41</f>
        <v>Operating Grants</v>
      </c>
      <c r="F48" s="298"/>
      <c r="G48" s="298"/>
      <c r="H48" s="298"/>
      <c r="I48" s="298"/>
      <c r="J48" s="298"/>
      <c r="K48" s="298"/>
      <c r="L48" s="298"/>
    </row>
    <row r="49" spans="3:12" ht="11.5" hidden="1" customHeight="1" outlineLevel="2" x14ac:dyDescent="0.15">
      <c r="D49" s="292" t="s">
        <v>9</v>
      </c>
      <c r="E49" s="298" t="str">
        <f>TOC_Hdg_50</f>
        <v>CAPEX Grant</v>
      </c>
      <c r="F49" s="298"/>
      <c r="G49" s="298"/>
      <c r="H49" s="298"/>
      <c r="I49" s="298"/>
      <c r="J49" s="298"/>
      <c r="K49" s="298"/>
      <c r="L49" s="298"/>
    </row>
    <row r="50" spans="3:12" ht="11.5" hidden="1" customHeight="1" outlineLevel="2" x14ac:dyDescent="0.15">
      <c r="D50" s="292" t="s">
        <v>9</v>
      </c>
      <c r="E50" s="298" t="str">
        <f>TOC_Hdg_23</f>
        <v>Ordinary Equity</v>
      </c>
      <c r="F50" s="298"/>
      <c r="G50" s="298"/>
      <c r="H50" s="298"/>
      <c r="I50" s="298"/>
      <c r="J50" s="298"/>
      <c r="K50" s="298"/>
      <c r="L50" s="298"/>
    </row>
    <row r="51" spans="3:12" outlineLevel="1" collapsed="1" x14ac:dyDescent="0.15">
      <c r="C51" s="6" t="s">
        <v>11</v>
      </c>
      <c r="D51" s="297" t="str">
        <f>Tax!B1</f>
        <v>Taxation</v>
      </c>
      <c r="E51" s="297"/>
      <c r="F51" s="297"/>
      <c r="G51" s="297"/>
      <c r="H51" s="297"/>
      <c r="I51" s="297"/>
      <c r="J51" s="297"/>
      <c r="K51" s="297"/>
      <c r="L51" s="297"/>
    </row>
    <row r="52" spans="3:12" ht="11.5" hidden="1" customHeight="1" outlineLevel="2" x14ac:dyDescent="0.15">
      <c r="D52" s="292" t="s">
        <v>9</v>
      </c>
      <c r="E52" s="298" t="str">
        <f>TOC_Hdg_29</f>
        <v>VAT</v>
      </c>
      <c r="F52" s="298"/>
      <c r="G52" s="298"/>
      <c r="H52" s="298"/>
      <c r="I52" s="298"/>
      <c r="J52" s="298"/>
      <c r="K52" s="298"/>
      <c r="L52" s="298"/>
    </row>
    <row r="53" spans="3:12" ht="11.5" hidden="1" customHeight="1" outlineLevel="2" x14ac:dyDescent="0.15">
      <c r="D53" s="292" t="s">
        <v>9</v>
      </c>
      <c r="E53" s="298" t="str">
        <f>TOC_Hdg_8</f>
        <v>Corporate Taxation</v>
      </c>
      <c r="F53" s="298"/>
      <c r="G53" s="298"/>
      <c r="H53" s="298"/>
      <c r="I53" s="298"/>
      <c r="J53" s="298"/>
      <c r="K53" s="298"/>
      <c r="L53" s="298"/>
    </row>
    <row r="54" spans="3:12" outlineLevel="1" collapsed="1" x14ac:dyDescent="0.15">
      <c r="C54" s="6" t="s">
        <v>12</v>
      </c>
      <c r="D54" s="297" t="str">
        <f>Other!B1</f>
        <v>Other Financial Statement Items</v>
      </c>
      <c r="E54" s="297"/>
      <c r="F54" s="297"/>
      <c r="G54" s="297"/>
      <c r="H54" s="297"/>
      <c r="I54" s="297"/>
      <c r="J54" s="297"/>
      <c r="K54" s="297"/>
      <c r="L54" s="297"/>
    </row>
    <row r="55" spans="3:12" ht="11.5" hidden="1" customHeight="1" outlineLevel="2" x14ac:dyDescent="0.15">
      <c r="D55" s="292" t="s">
        <v>9</v>
      </c>
      <c r="E55" s="298" t="str">
        <f>TOC_Hdg_17</f>
        <v>Interest on Cash</v>
      </c>
      <c r="F55" s="298"/>
      <c r="G55" s="298"/>
      <c r="H55" s="298"/>
      <c r="I55" s="298"/>
      <c r="J55" s="298"/>
      <c r="K55" s="298"/>
      <c r="L55" s="298"/>
    </row>
    <row r="56" spans="3:12" ht="11.5" hidden="1" customHeight="1" outlineLevel="2" x14ac:dyDescent="0.15">
      <c r="D56" s="292" t="s">
        <v>9</v>
      </c>
      <c r="E56" s="298" t="str">
        <f>TOC_Hdg_24</f>
        <v>Other Current Assets</v>
      </c>
      <c r="F56" s="298"/>
      <c r="G56" s="298"/>
      <c r="H56" s="298"/>
      <c r="I56" s="298"/>
      <c r="J56" s="298"/>
      <c r="K56" s="298"/>
      <c r="L56" s="298"/>
    </row>
    <row r="57" spans="3:12" ht="11.5" hidden="1" customHeight="1" outlineLevel="2" x14ac:dyDescent="0.15">
      <c r="D57" s="292" t="s">
        <v>9</v>
      </c>
      <c r="E57" s="298" t="str">
        <f>TOC_Hdg_25</f>
        <v>Other Non-Current Assets</v>
      </c>
      <c r="F57" s="298"/>
      <c r="G57" s="298"/>
      <c r="H57" s="298"/>
      <c r="I57" s="298"/>
      <c r="J57" s="298"/>
      <c r="K57" s="298"/>
      <c r="L57" s="298"/>
    </row>
    <row r="58" spans="3:12" ht="11.5" hidden="1" customHeight="1" outlineLevel="2" x14ac:dyDescent="0.15">
      <c r="D58" s="292" t="s">
        <v>9</v>
      </c>
      <c r="E58" s="298" t="str">
        <f>TOC_Hdg_42</f>
        <v>Other Current Liabilities</v>
      </c>
      <c r="F58" s="298"/>
      <c r="G58" s="298"/>
      <c r="H58" s="298"/>
      <c r="I58" s="298"/>
      <c r="J58" s="298"/>
      <c r="K58" s="298"/>
      <c r="L58" s="298"/>
    </row>
    <row r="59" spans="3:12" ht="11.5" hidden="1" customHeight="1" outlineLevel="2" x14ac:dyDescent="0.15">
      <c r="D59" s="292" t="s">
        <v>9</v>
      </c>
      <c r="E59" s="298" t="str">
        <f>TOC_Hdg_43</f>
        <v>Other Non-Current Liabilities</v>
      </c>
      <c r="F59" s="298"/>
      <c r="G59" s="298"/>
      <c r="H59" s="298"/>
      <c r="I59" s="298"/>
      <c r="J59" s="298"/>
      <c r="K59" s="298"/>
      <c r="L59" s="298"/>
    </row>
    <row r="60" spans="3:12" ht="11.5" hidden="1" customHeight="1" outlineLevel="2" x14ac:dyDescent="0.15">
      <c r="D60" s="292" t="s">
        <v>9</v>
      </c>
      <c r="E60" s="298" t="str">
        <f>TOC_Hdg_44</f>
        <v>Other Equity</v>
      </c>
      <c r="F60" s="298"/>
      <c r="G60" s="298"/>
      <c r="H60" s="298"/>
      <c r="I60" s="298"/>
      <c r="J60" s="298"/>
      <c r="K60" s="298"/>
      <c r="L60" s="298"/>
    </row>
    <row r="61" spans="3:12" outlineLevel="1" collapsed="1" x14ac:dyDescent="0.15">
      <c r="C61" s="6" t="s">
        <v>13</v>
      </c>
      <c r="D61" s="297" t="str">
        <f>Financials!B1</f>
        <v>Financial Statements</v>
      </c>
      <c r="E61" s="297"/>
      <c r="F61" s="297"/>
      <c r="G61" s="297"/>
      <c r="H61" s="297"/>
      <c r="I61" s="297"/>
      <c r="J61" s="297"/>
      <c r="K61" s="297"/>
      <c r="L61" s="297"/>
    </row>
    <row r="62" spans="3:12" ht="11.5" hidden="1" customHeight="1" outlineLevel="2" x14ac:dyDescent="0.15">
      <c r="D62" s="292" t="s">
        <v>9</v>
      </c>
      <c r="E62" s="298" t="str">
        <f>TOC_Hdg_16</f>
        <v>Income Statement</v>
      </c>
      <c r="F62" s="298"/>
      <c r="G62" s="298"/>
      <c r="H62" s="298"/>
      <c r="I62" s="298"/>
      <c r="J62" s="298"/>
      <c r="K62" s="298"/>
      <c r="L62" s="298"/>
    </row>
    <row r="63" spans="3:12" ht="11.5" hidden="1" customHeight="1" outlineLevel="2" x14ac:dyDescent="0.15">
      <c r="D63" s="292" t="s">
        <v>9</v>
      </c>
      <c r="E63" s="298" t="str">
        <f>TOC_Hdg_5</f>
        <v>Balance Sheet</v>
      </c>
      <c r="F63" s="298"/>
      <c r="G63" s="298"/>
      <c r="H63" s="298"/>
      <c r="I63" s="298"/>
      <c r="J63" s="298"/>
      <c r="K63" s="298"/>
      <c r="L63" s="298"/>
    </row>
    <row r="64" spans="3:12" ht="11.5" hidden="1" customHeight="1" outlineLevel="2" x14ac:dyDescent="0.15">
      <c r="D64" s="292" t="s">
        <v>9</v>
      </c>
      <c r="E64" s="298" t="str">
        <f>TOC_Hdg_7</f>
        <v>Cash Flow Statement</v>
      </c>
      <c r="F64" s="298"/>
      <c r="G64" s="298"/>
      <c r="H64" s="298"/>
      <c r="I64" s="298"/>
      <c r="J64" s="298"/>
      <c r="K64" s="298"/>
      <c r="L64" s="298"/>
    </row>
    <row r="65" spans="2:12" ht="11.5" customHeight="1" x14ac:dyDescent="0.15">
      <c r="B65" s="150">
        <v>4</v>
      </c>
      <c r="C65" s="299" t="str">
        <f>Appendices!C9</f>
        <v>Appendices</v>
      </c>
      <c r="D65" s="299"/>
      <c r="E65" s="299"/>
      <c r="F65" s="299"/>
      <c r="G65" s="299"/>
      <c r="H65" s="299"/>
      <c r="I65" s="299"/>
      <c r="J65" s="299"/>
      <c r="K65" s="299"/>
      <c r="L65" s="299"/>
    </row>
    <row r="66" spans="2:12" outlineLevel="1" x14ac:dyDescent="0.15">
      <c r="C66" s="6" t="s">
        <v>5</v>
      </c>
      <c r="D66" s="297" t="str">
        <f>Time!B1</f>
        <v>Time Series</v>
      </c>
      <c r="E66" s="297"/>
      <c r="F66" s="297"/>
      <c r="G66" s="297"/>
      <c r="H66" s="297"/>
      <c r="I66" s="297"/>
      <c r="J66" s="297"/>
      <c r="K66" s="297"/>
      <c r="L66" s="297"/>
    </row>
    <row r="67" spans="2:12" outlineLevel="1" collapsed="1" x14ac:dyDescent="0.15">
      <c r="C67" s="6" t="s">
        <v>6</v>
      </c>
      <c r="D67" s="297" t="str">
        <f>Lookups!B1</f>
        <v>Lookups</v>
      </c>
      <c r="E67" s="297"/>
      <c r="F67" s="297"/>
      <c r="G67" s="297"/>
      <c r="H67" s="297"/>
      <c r="I67" s="297"/>
      <c r="J67" s="297"/>
      <c r="K67" s="297"/>
      <c r="L67" s="297"/>
    </row>
    <row r="68" spans="2:12" ht="11.5" hidden="1" customHeight="1" outlineLevel="2" x14ac:dyDescent="0.15">
      <c r="D68" s="292" t="s">
        <v>9</v>
      </c>
      <c r="E68" s="298" t="str">
        <f>TOC_Hdg_33</f>
        <v>Scenario Manager - Lookups</v>
      </c>
      <c r="F68" s="298"/>
      <c r="G68" s="298"/>
      <c r="H68" s="298"/>
      <c r="I68" s="298"/>
      <c r="J68" s="298"/>
      <c r="K68" s="298"/>
      <c r="L68" s="298"/>
    </row>
    <row r="69" spans="2:12" ht="11.5" hidden="1" customHeight="1" outlineLevel="2" x14ac:dyDescent="0.15">
      <c r="D69" s="292" t="s">
        <v>9</v>
      </c>
      <c r="E69" s="298" t="str">
        <f>TOC_Hdg_20</f>
        <v>Inventory - Lookups</v>
      </c>
      <c r="F69" s="298"/>
      <c r="G69" s="298"/>
      <c r="H69" s="298"/>
      <c r="I69" s="298"/>
      <c r="J69" s="298"/>
      <c r="K69" s="298"/>
      <c r="L69" s="298"/>
    </row>
    <row r="70" spans="2:12" ht="11.5" hidden="1" customHeight="1" outlineLevel="2" x14ac:dyDescent="0.15">
      <c r="D70" s="292" t="s">
        <v>9</v>
      </c>
      <c r="E70" s="298" t="str">
        <f>TOC_Hdg_15</f>
        <v>Fixed Assets - Lookups</v>
      </c>
      <c r="F70" s="298"/>
      <c r="G70" s="298"/>
      <c r="H70" s="298"/>
      <c r="I70" s="298"/>
      <c r="J70" s="298"/>
      <c r="K70" s="298"/>
      <c r="L70" s="298"/>
    </row>
    <row r="71" spans="2:12" ht="11.5" hidden="1" customHeight="1" outlineLevel="2" x14ac:dyDescent="0.15">
      <c r="D71" s="292" t="s">
        <v>9</v>
      </c>
      <c r="E71" s="298" t="str">
        <f>TOC_Hdg_30</f>
        <v>VAT - Lookups</v>
      </c>
      <c r="F71" s="298"/>
      <c r="G71" s="298"/>
      <c r="H71" s="298"/>
      <c r="I71" s="298"/>
      <c r="J71" s="298"/>
      <c r="K71" s="298"/>
      <c r="L71" s="298"/>
    </row>
    <row r="72" spans="2:12" ht="11.5" hidden="1" customHeight="1" outlineLevel="2" x14ac:dyDescent="0.15">
      <c r="D72" s="292" t="s">
        <v>9</v>
      </c>
      <c r="E72" s="298" t="str">
        <f>TOC_Hdg_9</f>
        <v>Corporate Taxation - Lookups</v>
      </c>
      <c r="F72" s="298"/>
      <c r="G72" s="298"/>
      <c r="H72" s="298"/>
      <c r="I72" s="298"/>
      <c r="J72" s="298"/>
      <c r="K72" s="298"/>
      <c r="L72" s="298"/>
    </row>
    <row r="73" spans="2:12" ht="11.5" hidden="1" customHeight="1" outlineLevel="2" x14ac:dyDescent="0.15">
      <c r="D73" s="292" t="s">
        <v>9</v>
      </c>
      <c r="E73" s="298" t="str">
        <f>TOC_Hdg_31</f>
        <v>Summary - Lookups</v>
      </c>
      <c r="F73" s="298"/>
      <c r="G73" s="298"/>
      <c r="H73" s="298"/>
      <c r="I73" s="298"/>
      <c r="J73" s="298"/>
      <c r="K73" s="298"/>
      <c r="L73" s="298"/>
    </row>
    <row r="74" spans="2:12" ht="11.5" hidden="1" customHeight="1" outlineLevel="2" x14ac:dyDescent="0.15">
      <c r="D74" s="292" t="s">
        <v>9</v>
      </c>
      <c r="E74" s="298" t="str">
        <f>TOC_Hdg_51</f>
        <v>Summary (2) - Lookups</v>
      </c>
      <c r="F74" s="298"/>
      <c r="G74" s="298"/>
      <c r="H74" s="298"/>
      <c r="I74" s="298"/>
      <c r="J74" s="298"/>
      <c r="K74" s="298"/>
      <c r="L74" s="298"/>
    </row>
    <row r="75" spans="2:12" ht="11.5" hidden="1" customHeight="1" outlineLevel="2" x14ac:dyDescent="0.15">
      <c r="D75" s="292" t="s">
        <v>9</v>
      </c>
      <c r="E75" s="298" t="str">
        <f>TOC_Hdg_40</f>
        <v>Scenarios Summary - Lookups</v>
      </c>
      <c r="F75" s="298"/>
      <c r="G75" s="298"/>
      <c r="H75" s="298"/>
      <c r="I75" s="298"/>
      <c r="J75" s="298"/>
      <c r="K75" s="298"/>
      <c r="L75" s="298"/>
    </row>
    <row r="76" spans="2:12" outlineLevel="1" collapsed="1" x14ac:dyDescent="0.15">
      <c r="C76" s="6" t="s">
        <v>7</v>
      </c>
      <c r="D76" s="297" t="str">
        <f>Checks!B1</f>
        <v>Checks</v>
      </c>
      <c r="E76" s="297"/>
      <c r="F76" s="297"/>
      <c r="G76" s="297"/>
      <c r="H76" s="297"/>
      <c r="I76" s="297"/>
      <c r="J76" s="297"/>
      <c r="K76" s="297"/>
      <c r="L76" s="297"/>
    </row>
    <row r="77" spans="2:12" ht="11.5" hidden="1" customHeight="1" outlineLevel="2" x14ac:dyDescent="0.15">
      <c r="D77" s="292" t="s">
        <v>9</v>
      </c>
      <c r="E77" s="298" t="str">
        <f>TOC_Hdg_1</f>
        <v>Error Checks</v>
      </c>
      <c r="F77" s="298"/>
      <c r="G77" s="298"/>
      <c r="H77" s="298"/>
      <c r="I77" s="298"/>
      <c r="J77" s="298"/>
      <c r="K77" s="298"/>
      <c r="L77" s="298"/>
    </row>
    <row r="78" spans="2:12" ht="11.5" hidden="1" customHeight="1" outlineLevel="2" x14ac:dyDescent="0.15">
      <c r="D78" s="292" t="s">
        <v>9</v>
      </c>
      <c r="E78" s="298" t="str">
        <f>TOC_Hdg_2</f>
        <v>Sensitivity Checks</v>
      </c>
      <c r="F78" s="298"/>
      <c r="G78" s="298"/>
      <c r="H78" s="298"/>
      <c r="I78" s="298"/>
      <c r="J78" s="298"/>
      <c r="K78" s="298"/>
      <c r="L78" s="298"/>
    </row>
    <row r="79" spans="2:12" ht="11.5" hidden="1" customHeight="1" outlineLevel="2" x14ac:dyDescent="0.15">
      <c r="D79" s="292" t="s">
        <v>9</v>
      </c>
      <c r="E79" s="298" t="str">
        <f>TOC_Hdg_3</f>
        <v>Alert Checks</v>
      </c>
      <c r="F79" s="298"/>
      <c r="G79" s="298"/>
      <c r="H79" s="298"/>
      <c r="I79" s="298"/>
      <c r="J79" s="298"/>
      <c r="K79" s="298"/>
      <c r="L79" s="298"/>
    </row>
  </sheetData>
  <mergeCells count="67">
    <mergeCell ref="E59:L59"/>
    <mergeCell ref="E47:L47"/>
    <mergeCell ref="E48:L48"/>
    <mergeCell ref="E55:L55"/>
    <mergeCell ref="E57:L57"/>
    <mergeCell ref="E56:L56"/>
    <mergeCell ref="E58:L58"/>
    <mergeCell ref="E62:L62"/>
    <mergeCell ref="E60:L60"/>
    <mergeCell ref="E53:L53"/>
    <mergeCell ref="C13:L13"/>
    <mergeCell ref="C14:L14"/>
    <mergeCell ref="D17:L17"/>
    <mergeCell ref="E22:L22"/>
    <mergeCell ref="E23:L23"/>
    <mergeCell ref="D15:L15"/>
    <mergeCell ref="E19:L19"/>
    <mergeCell ref="E20:L20"/>
    <mergeCell ref="E21:L21"/>
    <mergeCell ref="D16:L16"/>
    <mergeCell ref="E49:L49"/>
    <mergeCell ref="E52:L52"/>
    <mergeCell ref="D18:L18"/>
    <mergeCell ref="E72:L72"/>
    <mergeCell ref="E69:L69"/>
    <mergeCell ref="E71:L71"/>
    <mergeCell ref="E70:L70"/>
    <mergeCell ref="D66:L66"/>
    <mergeCell ref="D67:L67"/>
    <mergeCell ref="E68:L68"/>
    <mergeCell ref="C65:L65"/>
    <mergeCell ref="D38:L38"/>
    <mergeCell ref="E42:L42"/>
    <mergeCell ref="D43:L43"/>
    <mergeCell ref="E45:L45"/>
    <mergeCell ref="D46:L46"/>
    <mergeCell ref="E40:L40"/>
    <mergeCell ref="E41:L41"/>
    <mergeCell ref="E39:L39"/>
    <mergeCell ref="E44:L44"/>
    <mergeCell ref="E63:L63"/>
    <mergeCell ref="E64:L64"/>
    <mergeCell ref="E50:L50"/>
    <mergeCell ref="D51:L51"/>
    <mergeCell ref="D54:L54"/>
    <mergeCell ref="D61:L61"/>
    <mergeCell ref="E27:L27"/>
    <mergeCell ref="C28:L28"/>
    <mergeCell ref="D30:L30"/>
    <mergeCell ref="E37:L37"/>
    <mergeCell ref="E24:L24"/>
    <mergeCell ref="E32:L32"/>
    <mergeCell ref="E31:L31"/>
    <mergeCell ref="E33:L33"/>
    <mergeCell ref="E35:L35"/>
    <mergeCell ref="E36:L36"/>
    <mergeCell ref="E34:L34"/>
    <mergeCell ref="E25:L25"/>
    <mergeCell ref="E26:L26"/>
    <mergeCell ref="D29:L29"/>
    <mergeCell ref="D76:L76"/>
    <mergeCell ref="E78:L78"/>
    <mergeCell ref="E79:L79"/>
    <mergeCell ref="E73:L73"/>
    <mergeCell ref="E77:L77"/>
    <mergeCell ref="E75:L75"/>
    <mergeCell ref="E74:L74"/>
  </mergeCells>
  <hyperlinks>
    <hyperlink ref="B13" location="HL_Sheet_Main_19" tooltip="Go to Instructions" display="HL_Sheet_Main_19" xr:uid="{23685CCC-7649-481D-9D1D-3B9F4B02E9E1}"/>
    <hyperlink ref="C13" location="HL_Sheet_Main_19" tooltip="Go to Instructions" display="HL_Sheet_Main_19" xr:uid="{72375725-796E-444F-AFBA-05B119FEC3E6}"/>
    <hyperlink ref="B14" location="HL_Sheet_Main_16" tooltip="Go to Dashboards" display="HL_Sheet_Main_16" xr:uid="{27D427DA-B3F1-4E7F-887E-309AC8BC690C}"/>
    <hyperlink ref="C14" location="HL_Sheet_Main_16" tooltip="Go to Dashboards" display="HL_Sheet_Main_16" xr:uid="{1EB3550C-BE20-4BF4-8291-7C69D9D876AD}"/>
    <hyperlink ref="C15" location="HL_Inst_Dashboards" tooltip="Go to Summary" display="HL_Inst_Dashboards" xr:uid="{E683A186-5FD8-464E-ACDD-3B684BB075F5}"/>
    <hyperlink ref="D15" location="HL_Inst_Dashboards" tooltip="Go to Summary" display="HL_Inst_Dashboards" xr:uid="{60871CBA-A104-4DA5-9BF7-852489DA82B5}"/>
    <hyperlink ref="C16" location="HL_Sheet_Main_20" tooltip="Go to Key Figures" display="HL_Sheet_Main_20" xr:uid="{CB57FBE0-86F0-42A6-B610-DE96173926FF}"/>
    <hyperlink ref="D16" location="HL_Sheet_Main_20" tooltip="Go to Key Figures" display="HL_Sheet_Main_20" xr:uid="{94EDFDC0-AD93-4F70-B709-B54B5F954BD7}"/>
    <hyperlink ref="C17" location="HL_Sheet_Main_15" tooltip="Go to Scenarios Summary" display="HL_Sheet_Main_15" xr:uid="{F920D5A8-2880-4275-AAD6-D6040BDA17E5}"/>
    <hyperlink ref="D17" location="HL_Sheet_Main_15" tooltip="Go to Scenarios Summary" display="HL_Sheet_Main_15" xr:uid="{FA6F742E-5598-46A8-81A5-FF5E59F28455}"/>
    <hyperlink ref="C18" location="HL_Sheet_Main_14" tooltip="Go to Scenario Manager" display="HL_Sheet_Main_14" xr:uid="{199BB968-B96D-4EFE-AB43-61D7EEE44EF7}"/>
    <hyperlink ref="D18" location="HL_Sheet_Main_14" tooltip="Go to Scenario Manager" display="HL_Sheet_Main_14" xr:uid="{85F799FE-CF53-4DAC-BD8B-4024429A10B4}"/>
    <hyperlink ref="D19" location="HL_TOC_32" tooltip="Go to Scenarios" display="HL_TOC_32" xr:uid="{7E291CC0-8203-4097-B4C7-8A94A7B817D5}"/>
    <hyperlink ref="E19" location="HL_TOC_32" tooltip="Go to Scenarios" display="HL_TOC_32" xr:uid="{8A0071C0-DE2E-42F3-AB09-4D84136F9A45}"/>
    <hyperlink ref="D20" location="HL_TOC_45" tooltip="Go to Volumes" display="HL_TOC_45" xr:uid="{A68D8331-5AA2-4DCA-8A51-D733E74F9BF4}"/>
    <hyperlink ref="E20" location="HL_TOC_45" tooltip="Go to Volumes" display="HL_TOC_45" xr:uid="{6EF210F7-D220-4177-99A9-086639822164}"/>
    <hyperlink ref="D21" location="HL_TOC_46" tooltip="Go to Volumes (2)" display="HL_TOC_46" xr:uid="{EC7F45E7-AF64-42E4-B4BE-D556BAE0BEFA}"/>
    <hyperlink ref="E21" location="HL_TOC_46" tooltip="Go to Volumes (2)" display="HL_TOC_46" xr:uid="{FCC0E185-FE00-4F65-8A31-84018D418FCF}"/>
    <hyperlink ref="D22" location="HL_TOC_28" tooltip="Go to Revenue" display="HL_TOC_28" xr:uid="{D6234895-B3EF-4E18-A70A-CD41B10681F5}"/>
    <hyperlink ref="E22" location="HL_TOC_28" tooltip="Go to Revenue" display="HL_TOC_28" xr:uid="{CCBB4355-9817-4AD8-83F9-18571F852511}"/>
    <hyperlink ref="D23" location="HL_TOC_10" tooltip="Go to Cost of Goods Sold" display="HL_TOC_10" xr:uid="{4D11A3C5-0F43-4345-B633-225667EC73CC}"/>
    <hyperlink ref="E23" location="HL_TOC_10" tooltip="Go to Cost of Goods Sold" display="HL_TOC_10" xr:uid="{97A23FC4-7538-44F5-9993-EA4A3443F8E2}"/>
    <hyperlink ref="D24" location="HL_TOC_22" tooltip="Go to Operating Expenditure" display="HL_TOC_22" xr:uid="{F23AE0DE-6EDB-4C54-9038-8BA89887202A}"/>
    <hyperlink ref="E24" location="HL_TOC_22" tooltip="Go to Operating Expenditure" display="HL_TOC_22" xr:uid="{AF674B89-279E-45D8-BA9D-15170793397D}"/>
    <hyperlink ref="D25" location="HL_TOC_26" tooltip="Go to Other Revenue" display="HL_TOC_26" xr:uid="{A09536CA-61B0-49BC-93A8-EB0D64AFA380}"/>
    <hyperlink ref="E25" location="HL_TOC_26" tooltip="Go to Other Revenue" display="HL_TOC_26" xr:uid="{C1FD2428-4C4A-4259-94F5-AF7B8D448453}"/>
    <hyperlink ref="D26" location="HL_TOC_6" tooltip="Go to Capital Expenditure" display="HL_TOC_6" xr:uid="{BABABC31-7794-4011-AF8B-EAB288743F80}"/>
    <hyperlink ref="E26" location="HL_TOC_6" tooltip="Go to Capital Expenditure" display="HL_TOC_6" xr:uid="{62408264-9442-4458-863C-B8E3D5D84F6F}"/>
    <hyperlink ref="D27" location="HL_TOC_38" tooltip="Go to Scenario Data Tables" display="HL_TOC_38" xr:uid="{CB9AFA61-1DC3-477E-B779-E09AE0983704}"/>
    <hyperlink ref="E27" location="HL_TOC_38" tooltip="Go to Scenario Data Tables" display="HL_TOC_38" xr:uid="{CE9039C8-F2D7-4076-96CF-A14DEE7069B3}"/>
    <hyperlink ref="B28" location="HL_Sheet_Main_17" tooltip="Go to Financial Model" display="HL_Sheet_Main_17" xr:uid="{F2096F6C-84B5-4B77-BFEF-BAEEC5065470}"/>
    <hyperlink ref="C28" location="HL_Sheet_Main_17" tooltip="Go to Financial Model" display="HL_Sheet_Main_17" xr:uid="{2BE63BC8-EC55-4A56-AEE7-0E2FFB2AC3EA}"/>
    <hyperlink ref="C29" location="HL_Inst_Obs" tooltip="Go to Opening Balance Sheet" display="HL_Inst_Obs" xr:uid="{83F93B14-1C43-4982-BE45-F044AFFED5D0}"/>
    <hyperlink ref="D29" location="HL_Inst_Obs" tooltip="Go to Opening Balance Sheet" display="HL_Inst_Obs" xr:uid="{79E493FF-B037-4D14-86E5-69AB0C17B813}"/>
    <hyperlink ref="C30" location="HL_Inst_Rev_Exp" tooltip="Go to Revenue &amp; Expenses" display="HL_Inst_Rev_Exp" xr:uid="{D0801C48-C27F-4E9C-8250-621E70274621}"/>
    <hyperlink ref="D30" location="HL_Inst_Rev_Exp" tooltip="Go to Revenue &amp; Expenses" display="HL_Inst_Rev_Exp" xr:uid="{75792D81-A2EC-4B8D-BCE2-E9BDAA8B8AB2}"/>
    <hyperlink ref="D31" location="HL_TOC_48" tooltip="Go to Membership" display="HL_TOC_48" xr:uid="{9052BACA-2C52-46E8-9664-31785B9A627E}"/>
    <hyperlink ref="E31" location="HL_TOC_48" tooltip="Go to Membership" display="HL_TOC_48" xr:uid="{D9EC915E-9911-4018-A129-700C9A69C08D}"/>
    <hyperlink ref="D32" location="HL_TOC_47" tooltip="Go to Membership &amp; Utilisation" display="HL_TOC_47" xr:uid="{424B45E5-7A0D-4F8D-93CF-D076FDB242F3}"/>
    <hyperlink ref="E32" location="HL_TOC_47" tooltip="Go to Membership &amp; Utilisation" display="HL_TOC_47" xr:uid="{1E9AB1BA-2BA1-43A4-8487-BBA91884F006}"/>
    <hyperlink ref="D33" location="HL_TOC_34" tooltip="Go to Revenue" display="HL_TOC_34" xr:uid="{B435807C-5753-4E66-9808-10154A4E44B8}"/>
    <hyperlink ref="E33" location="HL_TOC_34" tooltip="Go to Revenue" display="HL_TOC_34" xr:uid="{8F807F12-EF1C-4476-980A-F2D7BF46A86C}"/>
    <hyperlink ref="D34" location="HL_TOC_35" tooltip="Go to Cost of Goods Sold" display="HL_TOC_35" xr:uid="{CFE3512C-9145-4D05-BC8C-6FAEDFAB6BF0}"/>
    <hyperlink ref="E34" location="HL_TOC_35" tooltip="Go to Cost of Goods Sold" display="HL_TOC_35" xr:uid="{205DAF01-2438-4F33-93E2-21E164829440}"/>
    <hyperlink ref="D35" location="HL_TOC_36" tooltip="Go to Operating Expenditure" display="HL_TOC_36" xr:uid="{CE0A44C4-B00A-439F-BA66-8092AF3AF4F8}"/>
    <hyperlink ref="E35" location="HL_TOC_36" tooltip="Go to Operating Expenditure" display="HL_TOC_36" xr:uid="{83A187D5-EF43-486D-9DC8-CE54512F8B52}"/>
    <hyperlink ref="D36" location="HL_TOC_49" tooltip="Go to Other Revenue" display="HL_TOC_49" xr:uid="{72D1BB69-34D4-4689-AFDC-6C467DE0F41B}"/>
    <hyperlink ref="E36" location="HL_TOC_49" tooltip="Go to Other Revenue" display="HL_TOC_49" xr:uid="{529B2950-7363-4933-B64C-D2CE46C77DCD}"/>
    <hyperlink ref="D37" location="HL_TOC_27" tooltip="Go to Other Expenses" display="HL_TOC_27" xr:uid="{E7BDD020-CF85-4CD1-8C98-8AC633B35FEA}"/>
    <hyperlink ref="E37" location="HL_TOC_27" tooltip="Go to Other Expenses" display="HL_TOC_27" xr:uid="{A585C133-3177-49E8-BE4A-84555A8850BD}"/>
    <hyperlink ref="C38" location="HL_Sheet_Main_8" tooltip="Go to Working Capital" display="HL_Sheet_Main_8" xr:uid="{513CD00A-CD4B-479C-8382-7CE4A303CEE8}"/>
    <hyperlink ref="D38" location="HL_Sheet_Main_8" tooltip="Go to Working Capital" display="HL_Sheet_Main_8" xr:uid="{FB2F8FDC-6142-42E4-A38F-4993184BBF4E}"/>
    <hyperlink ref="D39" location="HL_TOC_13" tooltip="Go to Debtors" display="HL_TOC_13" xr:uid="{0B2038FE-F289-4690-89AC-3927A6F1A18A}"/>
    <hyperlink ref="E39" location="HL_TOC_13" tooltip="Go to Debtors" display="HL_TOC_13" xr:uid="{527F82CD-9018-48F4-A2ED-C453876E7352}"/>
    <hyperlink ref="D40" location="HL_TOC_19" tooltip="Go to Inventory" display="HL_TOC_19" xr:uid="{14EC18BB-52D9-4AEC-BEBE-495FD6EA7227}"/>
    <hyperlink ref="E40" location="HL_TOC_19" tooltip="Go to Inventory" display="HL_TOC_19" xr:uid="{ABAB1094-B4E7-408C-A031-FD2CB72B5A5A}"/>
    <hyperlink ref="D41" location="HL_TOC_11" tooltip="Go to Creditors" display="HL_TOC_11" xr:uid="{96549369-BBBF-462E-86B2-0D7754BBE191}"/>
    <hyperlink ref="E41" location="HL_TOC_11" tooltip="Go to Creditors" display="HL_TOC_11" xr:uid="{98BB10F0-9CA3-4A41-87B2-641637A5ADE6}"/>
    <hyperlink ref="D42" location="HL_TOC_18" tooltip="Go to Inventory Payables" display="HL_TOC_18" xr:uid="{B8855232-4E6E-47D6-A3C3-E0D82D05BA67}"/>
    <hyperlink ref="E42" location="HL_TOC_18" tooltip="Go to Inventory Payables" display="HL_TOC_18" xr:uid="{D3EDE337-9A54-47DA-B4A3-0980FA1928F8}"/>
    <hyperlink ref="C43" location="HL_Sheet_Main_10" tooltip="Go to Assets" display="HL_Sheet_Main_10" xr:uid="{951207B1-6522-4625-870E-24D2B2DFC8EE}"/>
    <hyperlink ref="D43" location="HL_Sheet_Main_10" tooltip="Go to Assets" display="HL_Sheet_Main_10" xr:uid="{86DFE6C3-55F0-40CA-BF24-D5E166188122}"/>
    <hyperlink ref="D44" location="HL_TOC_37" tooltip="Go to Capital Expenditure" display="HL_TOC_37" xr:uid="{EED74974-394C-44FA-AEF1-9039D41317ED}"/>
    <hyperlink ref="E44" location="HL_TOC_37" tooltip="Go to Capital Expenditure" display="HL_TOC_37" xr:uid="{89AC86F9-7C4A-43E0-B88B-1399D321097F}"/>
    <hyperlink ref="D45" location="HL_TOC_14" tooltip="Go to Fixed Assets" display="HL_TOC_14" xr:uid="{EBF16682-E0EB-4B1A-A428-32A1A0C86316}"/>
    <hyperlink ref="E45" location="HL_TOC_14" tooltip="Go to Fixed Assets" display="HL_TOC_14" xr:uid="{DAE842BD-7778-41AF-B805-1C30217A8428}"/>
    <hyperlink ref="C46" location="HL_Sheet_Main_9" tooltip="Go to Capital" display="HL_Sheet_Main_9" xr:uid="{6146F776-C789-409F-85FA-25BDEB9003EC}"/>
    <hyperlink ref="D46" location="HL_Sheet_Main_9" tooltip="Go to Capital" display="HL_Sheet_Main_9" xr:uid="{15C50F19-B179-45ED-8A69-ECEBF0A0556F}"/>
    <hyperlink ref="D47" location="HL_TOC_12" tooltip="Go to Debt" display="HL_TOC_12" xr:uid="{5149193D-4881-49C1-9BD8-0F4E9E2AB0DD}"/>
    <hyperlink ref="E47" location="HL_TOC_12" tooltip="Go to Debt" display="HL_TOC_12" xr:uid="{F7F161AE-ACD3-47DA-B28A-6BDD29673FBF}"/>
    <hyperlink ref="D48" location="HL_TOC_41" tooltip="Go to Operating Grants" display="HL_TOC_41" xr:uid="{9F91A8C8-956A-448F-B248-DF2C39DBA549}"/>
    <hyperlink ref="E48" location="HL_TOC_41" tooltip="Go to Operating Grants" display="HL_TOC_41" xr:uid="{3D8F0FD5-DFE2-42D9-B515-7A60ECF8A173}"/>
    <hyperlink ref="D49" location="HL_TOC_50" tooltip="Go to CAPEX Grant" display="HL_TOC_50" xr:uid="{3790A98E-626A-45D7-B3FB-385F6F42595E}"/>
    <hyperlink ref="E49" location="HL_TOC_50" tooltip="Go to CAPEX Grant" display="HL_TOC_50" xr:uid="{BA455E66-C2AD-44DD-94CB-9C0D49FF6004}"/>
    <hyperlink ref="D50" location="HL_TOC_23" tooltip="Go to Ordinary Equity" display="HL_TOC_23" xr:uid="{328FC5EA-93C7-4778-A668-D7B65D1384DB}"/>
    <hyperlink ref="E50" location="HL_TOC_23" tooltip="Go to Ordinary Equity" display="HL_TOC_23" xr:uid="{CC4D9DF1-C061-4663-B77F-F0583D9715CA}"/>
    <hyperlink ref="C51" location="HL_Sheet_Main_7" tooltip="Go to Taxation" display="HL_Sheet_Main_7" xr:uid="{029F7786-B573-419D-A69D-16158E52F887}"/>
    <hyperlink ref="D51" location="HL_Sheet_Main_7" tooltip="Go to Taxation" display="HL_Sheet_Main_7" xr:uid="{D88F3206-9F08-49D2-A23D-D2BED96F595E}"/>
    <hyperlink ref="D52" location="HL_TOC_29" tooltip="Go to VAT" display="HL_TOC_29" xr:uid="{4A47E1CF-2085-43C5-AC0D-00897A196BED}"/>
    <hyperlink ref="E52" location="HL_TOC_29" tooltip="Go to VAT" display="HL_TOC_29" xr:uid="{1E8F3C89-80C3-4E78-A3A6-E30D4460BEAB}"/>
    <hyperlink ref="D53" location="HL_TOC_8" tooltip="Go to Corporate Taxation" display="HL_TOC_8" xr:uid="{F00B07B0-6433-4BE9-86A2-0648F6B2C8D9}"/>
    <hyperlink ref="E53" location="HL_TOC_8" tooltip="Go to Corporate Taxation" display="HL_TOC_8" xr:uid="{617F1FC1-C175-45BD-AFFE-79C6F53C5158}"/>
    <hyperlink ref="C54" location="HL_Sheet_Main_11" tooltip="Go to Other Financial Statement Items" display="HL_Sheet_Main_11" xr:uid="{94C85716-B487-42B2-AF9B-089A60D99126}"/>
    <hyperlink ref="D54" location="HL_Sheet_Main_11" tooltip="Go to Other Financial Statement Items" display="HL_Sheet_Main_11" xr:uid="{6993CF4E-1D56-4DAE-9F62-BDCE12E29486}"/>
    <hyperlink ref="D55" location="HL_TOC_17" tooltip="Go to Interest on Cash" display="HL_TOC_17" xr:uid="{7B9C24A9-2F8C-45B4-B234-F9D87EF112F4}"/>
    <hyperlink ref="E55" location="HL_TOC_17" tooltip="Go to Interest on Cash" display="HL_TOC_17" xr:uid="{7CD388FF-96A1-4AAB-9DFE-E776ACF7B5C6}"/>
    <hyperlink ref="D56" location="HL_TOC_24" tooltip="Go to Other Current Assets" display="HL_TOC_24" xr:uid="{1D08BE16-4D62-4147-995C-F4AA38C56614}"/>
    <hyperlink ref="E56" location="HL_TOC_24" tooltip="Go to Other Current Assets" display="HL_TOC_24" xr:uid="{3979FCEB-C822-4E7E-9915-EFB95F95C90A}"/>
    <hyperlink ref="D57" location="HL_TOC_25" tooltip="Go to Other Non-Current Assets" display="HL_TOC_25" xr:uid="{3787A647-69FE-42CE-BD39-2FE721876331}"/>
    <hyperlink ref="E57" location="HL_TOC_25" tooltip="Go to Other Non-Current Assets" display="HL_TOC_25" xr:uid="{1BDB140E-F7B8-40B7-972C-F9CBA96C5BE4}"/>
    <hyperlink ref="D58" location="HL_TOC_42" tooltip="Go to Other Current Liabilities" display="HL_TOC_42" xr:uid="{D9179010-5E52-41FD-9567-3AD245557A16}"/>
    <hyperlink ref="E58" location="HL_TOC_42" tooltip="Go to Other Current Liabilities" display="HL_TOC_42" xr:uid="{92BE52C5-D78B-44A8-A56E-A386443C31D4}"/>
    <hyperlink ref="D59" location="HL_TOC_43" tooltip="Go to Other Non-Current Liabilities" display="HL_TOC_43" xr:uid="{CE60393F-6747-4982-BC2A-C493439B7570}"/>
    <hyperlink ref="E59" location="HL_TOC_43" tooltip="Go to Other Non-Current Liabilities" display="HL_TOC_43" xr:uid="{173FA8BA-A226-43FD-BB0B-59ADE02B9766}"/>
    <hyperlink ref="D60" location="HL_TOC_44" tooltip="Go to Other Equity" display="HL_TOC_44" xr:uid="{6CA2F9D1-AE6E-4EB3-BCAD-24E3C72D199C}"/>
    <hyperlink ref="E60" location="HL_TOC_44" tooltip="Go to Other Equity" display="HL_TOC_44" xr:uid="{0F5C7C25-EBD9-4F04-81BD-A78D98017342}"/>
    <hyperlink ref="C61" location="HL_Sheet_Main_4" tooltip="Go to Financial Statements" display="HL_Sheet_Main_4" xr:uid="{AF11DC67-88DA-42AF-BB3A-2897F2A48063}"/>
    <hyperlink ref="D61" location="HL_Sheet_Main_4" tooltip="Go to Financial Statements" display="HL_Sheet_Main_4" xr:uid="{87B65FA8-4968-49FE-BB36-BB1EFBA99930}"/>
    <hyperlink ref="D62" location="HL_TOC_16" tooltip="Go to Income Statement" display="HL_TOC_16" xr:uid="{346D21EB-083A-4BBF-B1EC-69FF13D97428}"/>
    <hyperlink ref="E62" location="HL_TOC_16" tooltip="Go to Income Statement" display="HL_TOC_16" xr:uid="{906DE53F-2220-4090-A0E2-DEB9B3BF547B}"/>
    <hyperlink ref="D63" location="HL_TOC_5" tooltip="Go to Balance Sheet" display="HL_TOC_5" xr:uid="{39DE1AA9-2DE9-4238-84A8-BF36E5AE630C}"/>
    <hyperlink ref="E63" location="HL_TOC_5" tooltip="Go to Balance Sheet" display="HL_TOC_5" xr:uid="{BA36DF26-13E8-48B6-B564-52E3C2CA57E9}"/>
    <hyperlink ref="D64" location="HL_TOC_7" tooltip="Go to Cash Flow Statement" display="HL_TOC_7" xr:uid="{A7B21740-63D7-48C9-9604-A2D9D3041212}"/>
    <hyperlink ref="E64" location="HL_TOC_7" tooltip="Go to Cash Flow Statement" display="HL_TOC_7" xr:uid="{DF0C8A76-12AB-4DC4-967C-7D7186023FBE}"/>
    <hyperlink ref="B65" location="HL_Sheet_Main_18" tooltip="Go to Appendices" display="HL_Sheet_Main_18" xr:uid="{D23D6771-8869-4B38-9A48-4A887A183B9F}"/>
    <hyperlink ref="C65" location="HL_Sheet_Main_18" tooltip="Go to Appendices" display="HL_Sheet_Main_18" xr:uid="{5D051A1F-0F76-430A-8280-AB8265DADA49}"/>
    <hyperlink ref="C66" location="HL_Inst_Ts_Ass" tooltip="Go to Time Series" display="HL_Inst_Ts_Ass" xr:uid="{E9066914-657B-418A-A451-56F6251CF689}"/>
    <hyperlink ref="D66" location="HL_Inst_Ts_Ass" tooltip="Go to Time Series" display="HL_Inst_Ts_Ass" xr:uid="{395B8990-7E83-4576-BE70-0AB65EC5920F}"/>
    <hyperlink ref="C67" location="HL_Sheet_Main_3" tooltip="Go to Lookups" display="HL_Sheet_Main_3" xr:uid="{1E325959-074C-4AAF-9EDB-BF29DFAC8559}"/>
    <hyperlink ref="D67" location="HL_Sheet_Main_3" tooltip="Go to Lookups" display="HL_Sheet_Main_3" xr:uid="{E11650A6-5BEB-481B-9FDB-B68F979EA087}"/>
    <hyperlink ref="D68" location="HL_TOC_33" tooltip="Go to Scenario Manager - Lookups" display="HL_TOC_33" xr:uid="{A16874D5-4913-4A30-9811-17314181E03A}"/>
    <hyperlink ref="E68" location="HL_TOC_33" tooltip="Go to Scenario Manager - Lookups" display="HL_TOC_33" xr:uid="{A7039176-9476-4A4A-AE91-EEC1D7E83A1F}"/>
    <hyperlink ref="D69" location="HL_TOC_20" tooltip="Go to Inventory - Lookups" display="HL_TOC_20" xr:uid="{8A36AD7E-F026-415A-A82E-EDCE707D6AEF}"/>
    <hyperlink ref="E69" location="HL_TOC_20" tooltip="Go to Inventory - Lookups" display="HL_TOC_20" xr:uid="{3C0282DA-42DB-4ABD-827A-156F2E6A5962}"/>
    <hyperlink ref="D70" location="HL_TOC_15" tooltip="Go to Fixed Assets - Lookups" display="HL_TOC_15" xr:uid="{016611F1-E697-4488-9F41-C4D211D96397}"/>
    <hyperlink ref="E70" location="HL_TOC_15" tooltip="Go to Fixed Assets - Lookups" display="HL_TOC_15" xr:uid="{C044497D-33B7-4F0C-B337-6473FAFCB893}"/>
    <hyperlink ref="D71" location="HL_TOC_30" tooltip="Go to VAT - Lookups" display="HL_TOC_30" xr:uid="{4FA6A734-C97F-44F9-956C-762F6329DD75}"/>
    <hyperlink ref="E71" location="HL_TOC_30" tooltip="Go to VAT - Lookups" display="HL_TOC_30" xr:uid="{464EC3AD-6D3F-4844-A8F8-6EA7DA1C2FD5}"/>
    <hyperlink ref="D72" location="HL_TOC_9" tooltip="Go to Corporate Taxation - Lookups" display="HL_TOC_9" xr:uid="{EEA77E8A-83E9-441F-9344-88B1DAABF59B}"/>
    <hyperlink ref="E72" location="HL_TOC_9" tooltip="Go to Corporate Taxation - Lookups" display="HL_TOC_9" xr:uid="{6578CF91-86C5-49C4-997A-F204A9085DAA}"/>
    <hyperlink ref="D73" location="HL_TOC_31" tooltip="Go to Summary - Lookups" display="HL_TOC_31" xr:uid="{1A38F8B9-C73F-496F-918D-38A1672AAC4B}"/>
    <hyperlink ref="E73" location="HL_TOC_31" tooltip="Go to Summary - Lookups" display="HL_TOC_31" xr:uid="{7CCEE2C0-03E5-449F-88C7-02097DB73F8B}"/>
    <hyperlink ref="D74" location="HL_TOC_51" tooltip="Go to Summary (2) - Lookups" display="HL_TOC_51" xr:uid="{10B587E0-C8C8-4C30-93A7-B565C7E98534}"/>
    <hyperlink ref="E74" location="HL_TOC_51" tooltip="Go to Summary (2) - Lookups" display="HL_TOC_51" xr:uid="{4ACF5A4E-550D-49CF-A57A-7387CDF49942}"/>
    <hyperlink ref="D75" location="HL_TOC_40" tooltip="Go to Scenarios Summary - Lookups" display="HL_TOC_40" xr:uid="{7251FFE2-B10E-406D-B19E-5E15F160409F}"/>
    <hyperlink ref="E75" location="HL_TOC_40" tooltip="Go to Scenarios Summary - Lookups" display="HL_TOC_40" xr:uid="{2187835E-C0EB-43AB-819D-099A02B78C51}"/>
    <hyperlink ref="C76" location="HL_Sheet_Main_5" tooltip="Go to Checks" display="HL_Sheet_Main_5" xr:uid="{8B997810-ACC3-4C6B-B9F8-EE30FF12D1C7}"/>
    <hyperlink ref="D76" location="HL_Sheet_Main_5" tooltip="Go to Checks" display="HL_Sheet_Main_5" xr:uid="{6F1D9A8A-BFC9-483C-B29B-19E794A5755A}"/>
    <hyperlink ref="D77" location="HL_TOC_1" tooltip="Go to Error Checks" display="HL_TOC_1" xr:uid="{62C17FF9-3497-4480-BE07-6F4072AE53D9}"/>
    <hyperlink ref="E77" location="HL_TOC_1" tooltip="Go to Error Checks" display="HL_TOC_1" xr:uid="{7B0C267B-666D-4F86-BBCA-78DC3E4D8B20}"/>
    <hyperlink ref="D78" location="HL_TOC_2" tooltip="Go to Sensitivity Checks" display="HL_TOC_2" xr:uid="{E3A12B6B-7982-4BB6-B099-C607D87A32AB}"/>
    <hyperlink ref="E78" location="HL_TOC_2" tooltip="Go to Sensitivity Checks" display="HL_TOC_2" xr:uid="{07331CE1-A673-450F-97CD-1515F163B5E0}"/>
    <hyperlink ref="D79" location="HL_TOC_3" tooltip="Go to Alert Checks" display="HL_TOC_3" xr:uid="{5A41BCD1-857D-49BE-B17E-2D800AE246E0}"/>
    <hyperlink ref="E79" location="HL_TOC_3" tooltip="Go to Alert Checks" display="HL_TOC_3" xr:uid="{C4A7D190-6B65-47A2-B361-5D50B77ECEFB}"/>
  </hyperlinks>
  <pageMargins left="0.39370078740157499" right="0.39370078740157499" top="0.59055118110236204" bottom="0.98425196850393704" header="0" footer="0.31496062992126"/>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AB1E1-D002-4E95-9489-D269F29E8715}">
  <sheetPr codeName="Sheet4">
    <pageSetUpPr autoPageBreaks="0"/>
  </sheetPr>
  <dimension ref="A1:AS208"/>
  <sheetViews>
    <sheetView showGridLines="0" workbookViewId="0">
      <pane xSplit="9" ySplit="15" topLeftCell="J103" activePane="bottomRight" state="frozenSplit"/>
      <selection pane="topRight" activeCell="J1" sqref="J1"/>
      <selection pane="bottomLeft" activeCell="A16" sqref="A16"/>
      <selection pane="bottomRight" activeCell="J134" sqref="J134"/>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43</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hidden="1" outlineLevel="2"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hidden="1" outlineLevel="2"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6" spans="1:45" s="233" customFormat="1" collapsed="1" x14ac:dyDescent="0.15"/>
    <row r="17" spans="1:45" s="233" customFormat="1" x14ac:dyDescent="0.15">
      <c r="A17" s="251" t="s">
        <v>271</v>
      </c>
      <c r="B17" s="1" t="s">
        <v>313</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s="233" customFormat="1" outlineLevel="1" x14ac:dyDescent="0.15"/>
    <row r="19" spans="1:45" s="233" customFormat="1" outlineLevel="1" x14ac:dyDescent="0.15">
      <c r="B19" s="252" t="s">
        <v>314</v>
      </c>
      <c r="J19" s="253" t="s">
        <v>179</v>
      </c>
      <c r="K19" s="254" t="s">
        <v>315</v>
      </c>
    </row>
    <row r="20" spans="1:45" s="233" customFormat="1" outlineLevel="1" x14ac:dyDescent="0.15">
      <c r="B20" s="338" t="s">
        <v>232</v>
      </c>
      <c r="C20" s="338"/>
      <c r="D20" s="338"/>
      <c r="E20" s="338"/>
      <c r="F20" s="338"/>
      <c r="G20" s="338"/>
      <c r="J20" s="255">
        <v>120</v>
      </c>
      <c r="K20" s="165">
        <v>4</v>
      </c>
      <c r="L20" s="165">
        <f t="shared" ref="L20:AS20" si="11">K20</f>
        <v>4</v>
      </c>
      <c r="M20" s="165">
        <f t="shared" si="11"/>
        <v>4</v>
      </c>
      <c r="N20" s="165">
        <f t="shared" si="11"/>
        <v>4</v>
      </c>
      <c r="O20" s="165">
        <f t="shared" si="11"/>
        <v>4</v>
      </c>
      <c r="P20" s="165">
        <f t="shared" si="11"/>
        <v>4</v>
      </c>
      <c r="Q20" s="165">
        <f t="shared" si="11"/>
        <v>4</v>
      </c>
      <c r="R20" s="165">
        <f t="shared" si="11"/>
        <v>4</v>
      </c>
      <c r="S20" s="165">
        <f t="shared" si="11"/>
        <v>4</v>
      </c>
      <c r="T20" s="165">
        <f t="shared" si="11"/>
        <v>4</v>
      </c>
      <c r="U20" s="165">
        <f t="shared" si="11"/>
        <v>4</v>
      </c>
      <c r="V20" s="165">
        <f t="shared" si="11"/>
        <v>4</v>
      </c>
      <c r="W20" s="165">
        <f t="shared" si="11"/>
        <v>4</v>
      </c>
      <c r="X20" s="165">
        <f t="shared" si="11"/>
        <v>4</v>
      </c>
      <c r="Y20" s="165">
        <f t="shared" si="11"/>
        <v>4</v>
      </c>
      <c r="Z20" s="165">
        <f t="shared" si="11"/>
        <v>4</v>
      </c>
      <c r="AA20" s="165">
        <f t="shared" si="11"/>
        <v>4</v>
      </c>
      <c r="AB20" s="165">
        <f t="shared" si="11"/>
        <v>4</v>
      </c>
      <c r="AC20" s="165">
        <f t="shared" si="11"/>
        <v>4</v>
      </c>
      <c r="AD20" s="165">
        <f t="shared" si="11"/>
        <v>4</v>
      </c>
      <c r="AE20" s="165">
        <f t="shared" si="11"/>
        <v>4</v>
      </c>
      <c r="AF20" s="165">
        <f t="shared" si="11"/>
        <v>4</v>
      </c>
      <c r="AG20" s="165">
        <f t="shared" si="11"/>
        <v>4</v>
      </c>
      <c r="AH20" s="165">
        <f t="shared" si="11"/>
        <v>4</v>
      </c>
      <c r="AI20" s="165">
        <f t="shared" si="11"/>
        <v>4</v>
      </c>
      <c r="AJ20" s="165">
        <f t="shared" si="11"/>
        <v>4</v>
      </c>
      <c r="AK20" s="165">
        <f t="shared" si="11"/>
        <v>4</v>
      </c>
      <c r="AL20" s="165">
        <f t="shared" si="11"/>
        <v>4</v>
      </c>
      <c r="AM20" s="165">
        <f t="shared" si="11"/>
        <v>4</v>
      </c>
      <c r="AN20" s="165">
        <f t="shared" si="11"/>
        <v>4</v>
      </c>
      <c r="AO20" s="165">
        <f t="shared" si="11"/>
        <v>4</v>
      </c>
      <c r="AP20" s="165">
        <f t="shared" si="11"/>
        <v>4</v>
      </c>
      <c r="AQ20" s="165">
        <f t="shared" si="11"/>
        <v>4</v>
      </c>
      <c r="AR20" s="165">
        <f t="shared" si="11"/>
        <v>4</v>
      </c>
      <c r="AS20" s="165">
        <f t="shared" si="11"/>
        <v>4</v>
      </c>
    </row>
    <row r="21" spans="1:45" s="233" customFormat="1" outlineLevel="1" x14ac:dyDescent="0.15">
      <c r="H21" s="256" t="s">
        <v>247</v>
      </c>
    </row>
    <row r="22" spans="1:45" s="233" customFormat="1" outlineLevel="1" x14ac:dyDescent="0.15">
      <c r="B22" s="234" t="str">
        <f>B20</f>
        <v>Members</v>
      </c>
      <c r="H22" s="259">
        <f>Scenarios!I28</f>
        <v>0</v>
      </c>
      <c r="I22"/>
      <c r="J22" s="235">
        <f t="shared" ref="J22:AS22" si="12">IF( J$8 = 1, J20, I22+$H22+J20 )</f>
        <v>120</v>
      </c>
      <c r="K22" s="235">
        <f t="shared" si="12"/>
        <v>124</v>
      </c>
      <c r="L22" s="235">
        <f t="shared" si="12"/>
        <v>128</v>
      </c>
      <c r="M22" s="235">
        <f t="shared" si="12"/>
        <v>132</v>
      </c>
      <c r="N22" s="235">
        <f t="shared" si="12"/>
        <v>136</v>
      </c>
      <c r="O22" s="235">
        <f t="shared" si="12"/>
        <v>140</v>
      </c>
      <c r="P22" s="235">
        <f t="shared" si="12"/>
        <v>144</v>
      </c>
      <c r="Q22" s="235">
        <f t="shared" si="12"/>
        <v>148</v>
      </c>
      <c r="R22" s="235">
        <f t="shared" si="12"/>
        <v>152</v>
      </c>
      <c r="S22" s="235">
        <f t="shared" si="12"/>
        <v>156</v>
      </c>
      <c r="T22" s="235">
        <f t="shared" si="12"/>
        <v>160</v>
      </c>
      <c r="U22" s="235">
        <f t="shared" si="12"/>
        <v>164</v>
      </c>
      <c r="V22" s="235">
        <f t="shared" si="12"/>
        <v>168</v>
      </c>
      <c r="W22" s="235">
        <f t="shared" si="12"/>
        <v>172</v>
      </c>
      <c r="X22" s="235">
        <f t="shared" si="12"/>
        <v>176</v>
      </c>
      <c r="Y22" s="235">
        <f t="shared" si="12"/>
        <v>180</v>
      </c>
      <c r="Z22" s="235">
        <f t="shared" si="12"/>
        <v>184</v>
      </c>
      <c r="AA22" s="235">
        <f t="shared" si="12"/>
        <v>188</v>
      </c>
      <c r="AB22" s="235">
        <f t="shared" si="12"/>
        <v>192</v>
      </c>
      <c r="AC22" s="235">
        <f t="shared" si="12"/>
        <v>196</v>
      </c>
      <c r="AD22" s="235">
        <f t="shared" si="12"/>
        <v>200</v>
      </c>
      <c r="AE22" s="235">
        <f t="shared" si="12"/>
        <v>204</v>
      </c>
      <c r="AF22" s="235">
        <f t="shared" si="12"/>
        <v>208</v>
      </c>
      <c r="AG22" s="235">
        <f t="shared" si="12"/>
        <v>212</v>
      </c>
      <c r="AH22" s="235">
        <f t="shared" si="12"/>
        <v>216</v>
      </c>
      <c r="AI22" s="235">
        <f t="shared" si="12"/>
        <v>220</v>
      </c>
      <c r="AJ22" s="235">
        <f t="shared" si="12"/>
        <v>224</v>
      </c>
      <c r="AK22" s="235">
        <f t="shared" si="12"/>
        <v>228</v>
      </c>
      <c r="AL22" s="235">
        <f t="shared" si="12"/>
        <v>232</v>
      </c>
      <c r="AM22" s="235">
        <f t="shared" si="12"/>
        <v>236</v>
      </c>
      <c r="AN22" s="235">
        <f t="shared" si="12"/>
        <v>240</v>
      </c>
      <c r="AO22" s="235">
        <f t="shared" si="12"/>
        <v>244</v>
      </c>
      <c r="AP22" s="235">
        <f t="shared" si="12"/>
        <v>248</v>
      </c>
      <c r="AQ22" s="235">
        <f t="shared" si="12"/>
        <v>252</v>
      </c>
      <c r="AR22" s="235">
        <f t="shared" si="12"/>
        <v>256</v>
      </c>
      <c r="AS22" s="235">
        <f t="shared" si="12"/>
        <v>260</v>
      </c>
    </row>
    <row r="23" spans="1:45" s="233" customFormat="1" outlineLevel="1" x14ac:dyDescent="0.15"/>
    <row r="24" spans="1:45" s="233" customFormat="1" outlineLevel="1" x14ac:dyDescent="0.15">
      <c r="B24" s="234" t="s">
        <v>306</v>
      </c>
      <c r="I24" s="257">
        <f>IF(ISERROR(SUM(J24:AS24)),1,MIN(SUM(J24:AS24),1))</f>
        <v>0</v>
      </c>
      <c r="J24" s="258">
        <f t="shared" ref="J24:AS24" si="13">IF(ISERROR(SUM(J22:J22)),1,0)</f>
        <v>0</v>
      </c>
      <c r="K24" s="258">
        <f t="shared" si="13"/>
        <v>0</v>
      </c>
      <c r="L24" s="258">
        <f t="shared" si="13"/>
        <v>0</v>
      </c>
      <c r="M24" s="258">
        <f t="shared" si="13"/>
        <v>0</v>
      </c>
      <c r="N24" s="258">
        <f t="shared" si="13"/>
        <v>0</v>
      </c>
      <c r="O24" s="258">
        <f t="shared" si="13"/>
        <v>0</v>
      </c>
      <c r="P24" s="258">
        <f t="shared" si="13"/>
        <v>0</v>
      </c>
      <c r="Q24" s="258">
        <f t="shared" si="13"/>
        <v>0</v>
      </c>
      <c r="R24" s="258">
        <f t="shared" si="13"/>
        <v>0</v>
      </c>
      <c r="S24" s="258">
        <f t="shared" si="13"/>
        <v>0</v>
      </c>
      <c r="T24" s="258">
        <f t="shared" si="13"/>
        <v>0</v>
      </c>
      <c r="U24" s="258">
        <f t="shared" si="13"/>
        <v>0</v>
      </c>
      <c r="V24" s="258">
        <f t="shared" si="13"/>
        <v>0</v>
      </c>
      <c r="W24" s="258">
        <f t="shared" si="13"/>
        <v>0</v>
      </c>
      <c r="X24" s="258">
        <f t="shared" si="13"/>
        <v>0</v>
      </c>
      <c r="Y24" s="258">
        <f t="shared" si="13"/>
        <v>0</v>
      </c>
      <c r="Z24" s="258">
        <f t="shared" si="13"/>
        <v>0</v>
      </c>
      <c r="AA24" s="258">
        <f t="shared" si="13"/>
        <v>0</v>
      </c>
      <c r="AB24" s="258">
        <f t="shared" si="13"/>
        <v>0</v>
      </c>
      <c r="AC24" s="258">
        <f t="shared" si="13"/>
        <v>0</v>
      </c>
      <c r="AD24" s="258">
        <f t="shared" si="13"/>
        <v>0</v>
      </c>
      <c r="AE24" s="258">
        <f t="shared" si="13"/>
        <v>0</v>
      </c>
      <c r="AF24" s="258">
        <f t="shared" si="13"/>
        <v>0</v>
      </c>
      <c r="AG24" s="258">
        <f t="shared" si="13"/>
        <v>0</v>
      </c>
      <c r="AH24" s="258">
        <f t="shared" si="13"/>
        <v>0</v>
      </c>
      <c r="AI24" s="258">
        <f t="shared" si="13"/>
        <v>0</v>
      </c>
      <c r="AJ24" s="258">
        <f t="shared" si="13"/>
        <v>0</v>
      </c>
      <c r="AK24" s="258">
        <f t="shared" si="13"/>
        <v>0</v>
      </c>
      <c r="AL24" s="258">
        <f t="shared" si="13"/>
        <v>0</v>
      </c>
      <c r="AM24" s="258">
        <f t="shared" si="13"/>
        <v>0</v>
      </c>
      <c r="AN24" s="258">
        <f t="shared" si="13"/>
        <v>0</v>
      </c>
      <c r="AO24" s="258">
        <f t="shared" si="13"/>
        <v>0</v>
      </c>
      <c r="AP24" s="258">
        <f t="shared" si="13"/>
        <v>0</v>
      </c>
      <c r="AQ24" s="258">
        <f t="shared" si="13"/>
        <v>0</v>
      </c>
      <c r="AR24" s="258">
        <f t="shared" si="13"/>
        <v>0</v>
      </c>
      <c r="AS24" s="258">
        <f t="shared" si="13"/>
        <v>0</v>
      </c>
    </row>
    <row r="25" spans="1:45" s="233" customFormat="1" outlineLevel="1" x14ac:dyDescent="0.15">
      <c r="B25" s="234" t="s">
        <v>316</v>
      </c>
      <c r="I25" s="257">
        <f>IF(ISERROR(SUM(J25:AS25)),1,MIN(SUM(J25:AS25),1))</f>
        <v>0</v>
      </c>
      <c r="J25" s="258">
        <f t="shared" ref="J25:AS25" si="14">IF(J24=1,0,IF(MIN(J22:J22)&lt;0,1,0))</f>
        <v>0</v>
      </c>
      <c r="K25" s="258">
        <f t="shared" si="14"/>
        <v>0</v>
      </c>
      <c r="L25" s="258">
        <f t="shared" si="14"/>
        <v>0</v>
      </c>
      <c r="M25" s="258">
        <f t="shared" si="14"/>
        <v>0</v>
      </c>
      <c r="N25" s="258">
        <f t="shared" si="14"/>
        <v>0</v>
      </c>
      <c r="O25" s="258">
        <f t="shared" si="14"/>
        <v>0</v>
      </c>
      <c r="P25" s="258">
        <f t="shared" si="14"/>
        <v>0</v>
      </c>
      <c r="Q25" s="258">
        <f t="shared" si="14"/>
        <v>0</v>
      </c>
      <c r="R25" s="258">
        <f t="shared" si="14"/>
        <v>0</v>
      </c>
      <c r="S25" s="258">
        <f t="shared" si="14"/>
        <v>0</v>
      </c>
      <c r="T25" s="258">
        <f t="shared" si="14"/>
        <v>0</v>
      </c>
      <c r="U25" s="258">
        <f t="shared" si="14"/>
        <v>0</v>
      </c>
      <c r="V25" s="258">
        <f t="shared" si="14"/>
        <v>0</v>
      </c>
      <c r="W25" s="258">
        <f t="shared" si="14"/>
        <v>0</v>
      </c>
      <c r="X25" s="258">
        <f t="shared" si="14"/>
        <v>0</v>
      </c>
      <c r="Y25" s="258">
        <f t="shared" si="14"/>
        <v>0</v>
      </c>
      <c r="Z25" s="258">
        <f t="shared" si="14"/>
        <v>0</v>
      </c>
      <c r="AA25" s="258">
        <f t="shared" si="14"/>
        <v>0</v>
      </c>
      <c r="AB25" s="258">
        <f t="shared" si="14"/>
        <v>0</v>
      </c>
      <c r="AC25" s="258">
        <f t="shared" si="14"/>
        <v>0</v>
      </c>
      <c r="AD25" s="258">
        <f t="shared" si="14"/>
        <v>0</v>
      </c>
      <c r="AE25" s="258">
        <f t="shared" si="14"/>
        <v>0</v>
      </c>
      <c r="AF25" s="258">
        <f t="shared" si="14"/>
        <v>0</v>
      </c>
      <c r="AG25" s="258">
        <f t="shared" si="14"/>
        <v>0</v>
      </c>
      <c r="AH25" s="258">
        <f t="shared" si="14"/>
        <v>0</v>
      </c>
      <c r="AI25" s="258">
        <f t="shared" si="14"/>
        <v>0</v>
      </c>
      <c r="AJ25" s="258">
        <f t="shared" si="14"/>
        <v>0</v>
      </c>
      <c r="AK25" s="258">
        <f t="shared" si="14"/>
        <v>0</v>
      </c>
      <c r="AL25" s="258">
        <f t="shared" si="14"/>
        <v>0</v>
      </c>
      <c r="AM25" s="258">
        <f t="shared" si="14"/>
        <v>0</v>
      </c>
      <c r="AN25" s="258">
        <f t="shared" si="14"/>
        <v>0</v>
      </c>
      <c r="AO25" s="258">
        <f t="shared" si="14"/>
        <v>0</v>
      </c>
      <c r="AP25" s="258">
        <f t="shared" si="14"/>
        <v>0</v>
      </c>
      <c r="AQ25" s="258">
        <f t="shared" si="14"/>
        <v>0</v>
      </c>
      <c r="AR25" s="258">
        <f t="shared" si="14"/>
        <v>0</v>
      </c>
      <c r="AS25" s="258">
        <f t="shared" si="14"/>
        <v>0</v>
      </c>
    </row>
    <row r="27" spans="1:45" x14ac:dyDescent="0.15">
      <c r="A27" s="74" t="s">
        <v>271</v>
      </c>
      <c r="B27" s="1" t="s">
        <v>317</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row>
    <row r="28" spans="1:45" outlineLevel="1" x14ac:dyDescent="0.15"/>
    <row r="29" spans="1:45" outlineLevel="1" x14ac:dyDescent="0.15">
      <c r="B29" s="340" t="s">
        <v>219</v>
      </c>
      <c r="C29" s="340"/>
      <c r="D29" s="340"/>
      <c r="E29" s="340"/>
      <c r="F29" s="340"/>
      <c r="G29" s="340"/>
      <c r="J29" s="222">
        <v>0.29964516129032259</v>
      </c>
      <c r="K29" s="222">
        <v>0.58462833333333331</v>
      </c>
      <c r="L29" s="222">
        <v>0.56265322580645161</v>
      </c>
      <c r="M29" s="222">
        <v>0.66820833333333329</v>
      </c>
      <c r="N29" s="222">
        <v>0.22990483870967737</v>
      </c>
      <c r="O29" s="222">
        <v>0.4476725806451613</v>
      </c>
      <c r="P29" s="222">
        <v>0.52059999999999995</v>
      </c>
      <c r="Q29" s="222">
        <v>0.50209193548387099</v>
      </c>
      <c r="R29" s="222">
        <v>0.35162166666666667</v>
      </c>
      <c r="S29" s="222">
        <v>0.400208064516129</v>
      </c>
      <c r="T29" s="222">
        <v>0.43965833333333337</v>
      </c>
      <c r="U29" s="222">
        <v>0.3357290322580645</v>
      </c>
      <c r="V29" s="222">
        <v>0.29964516129032259</v>
      </c>
      <c r="W29" s="222">
        <v>0.58462833333333331</v>
      </c>
      <c r="X29" s="222">
        <v>0.56265322580645161</v>
      </c>
      <c r="Y29" s="222">
        <v>0.66820833333333329</v>
      </c>
      <c r="Z29" s="222">
        <v>0.22990483870967737</v>
      </c>
      <c r="AA29" s="222">
        <v>0.4476725806451613</v>
      </c>
      <c r="AB29" s="222">
        <v>0.52059999999999995</v>
      </c>
      <c r="AC29" s="222">
        <v>0.50209193548387099</v>
      </c>
      <c r="AD29" s="222">
        <v>0.35162166666666667</v>
      </c>
      <c r="AE29" s="222">
        <v>0.400208064516129</v>
      </c>
      <c r="AF29" s="222">
        <v>0.43965833333333337</v>
      </c>
      <c r="AG29" s="222">
        <v>0.3357290322580645</v>
      </c>
      <c r="AH29" s="222">
        <v>0.29964516129032259</v>
      </c>
      <c r="AI29" s="222">
        <v>0.58462833333333331</v>
      </c>
      <c r="AJ29" s="222">
        <v>0.56265322580645161</v>
      </c>
      <c r="AK29" s="222">
        <v>0.66820833333333329</v>
      </c>
      <c r="AL29" s="222">
        <v>0.22990483870967737</v>
      </c>
      <c r="AM29" s="222">
        <v>0.4476725806451613</v>
      </c>
      <c r="AN29" s="222">
        <v>0.52059999999999995</v>
      </c>
      <c r="AO29" s="222">
        <v>0.50209193548387099</v>
      </c>
      <c r="AP29" s="222">
        <v>0.35162166666666667</v>
      </c>
      <c r="AQ29" s="222">
        <v>0.400208064516129</v>
      </c>
      <c r="AR29" s="222">
        <v>0.43965833333333337</v>
      </c>
      <c r="AS29" s="222">
        <v>0.3357290322580645</v>
      </c>
    </row>
    <row r="30" spans="1:45" outlineLevel="1" x14ac:dyDescent="0.15">
      <c r="B30" s="340" t="s">
        <v>318</v>
      </c>
      <c r="C30" s="340"/>
      <c r="D30" s="340"/>
      <c r="E30" s="340"/>
      <c r="F30" s="340"/>
      <c r="G30" s="340"/>
      <c r="J30" s="222">
        <f t="shared" ref="J30:AS30" si="15">MIN( J29*J22*J14, J34 * J14 * J31 )</f>
        <v>165.40412903225806</v>
      </c>
      <c r="K30" s="222">
        <f t="shared" si="15"/>
        <v>304.47443599999997</v>
      </c>
      <c r="L30" s="222">
        <f t="shared" si="15"/>
        <v>316.88629677419357</v>
      </c>
      <c r="M30" s="222">
        <f t="shared" si="15"/>
        <v>388.09539999999998</v>
      </c>
      <c r="N30" s="222">
        <f t="shared" si="15"/>
        <v>131.3216438709677</v>
      </c>
      <c r="O30" s="222">
        <f t="shared" si="15"/>
        <v>288.30114193548383</v>
      </c>
      <c r="P30" s="222">
        <f t="shared" si="15"/>
        <v>314.85888</v>
      </c>
      <c r="Q30" s="222">
        <f t="shared" si="15"/>
        <v>312.10034709677421</v>
      </c>
      <c r="R30" s="222">
        <f t="shared" si="15"/>
        <v>235.16457066666669</v>
      </c>
      <c r="S30" s="222">
        <f t="shared" si="15"/>
        <v>287.18930709677414</v>
      </c>
      <c r="T30" s="222">
        <f t="shared" si="15"/>
        <v>281.38133333333337</v>
      </c>
      <c r="U30" s="222">
        <f t="shared" si="15"/>
        <v>253.27398193548385</v>
      </c>
      <c r="V30" s="222">
        <f t="shared" si="15"/>
        <v>221.49770322580648</v>
      </c>
      <c r="W30" s="222">
        <f t="shared" si="15"/>
        <v>422.335508</v>
      </c>
      <c r="X30" s="222">
        <f t="shared" si="15"/>
        <v>455.52405161290318</v>
      </c>
      <c r="Y30" s="222">
        <f t="shared" si="15"/>
        <v>505.16549999999995</v>
      </c>
      <c r="Z30" s="222">
        <f t="shared" si="15"/>
        <v>186.13095741935481</v>
      </c>
      <c r="AA30" s="222">
        <f t="shared" si="15"/>
        <v>387.14724774193547</v>
      </c>
      <c r="AB30" s="222">
        <f t="shared" si="15"/>
        <v>399.82079999999996</v>
      </c>
      <c r="AC30" s="222">
        <f t="shared" si="15"/>
        <v>413.32208129032261</v>
      </c>
      <c r="AD30" s="222">
        <f t="shared" si="15"/>
        <v>309.42706666666669</v>
      </c>
      <c r="AE30" s="222">
        <f t="shared" si="15"/>
        <v>359.22675870967743</v>
      </c>
      <c r="AF30" s="222">
        <f t="shared" si="15"/>
        <v>384.08552000000003</v>
      </c>
      <c r="AG30" s="222">
        <f t="shared" si="15"/>
        <v>327.40295225806443</v>
      </c>
      <c r="AH30" s="222">
        <f t="shared" si="15"/>
        <v>271.83809032258068</v>
      </c>
      <c r="AI30" s="222">
        <f t="shared" si="15"/>
        <v>565.92022666666674</v>
      </c>
      <c r="AJ30" s="222">
        <f t="shared" si="15"/>
        <v>579.7578838709677</v>
      </c>
      <c r="AK30" s="222">
        <f t="shared" si="15"/>
        <v>576</v>
      </c>
      <c r="AL30" s="222">
        <f t="shared" si="15"/>
        <v>245.35444387096766</v>
      </c>
      <c r="AM30" s="222">
        <f t="shared" si="15"/>
        <v>464.86320774193553</v>
      </c>
      <c r="AN30" s="222">
        <f t="shared" si="15"/>
        <v>499.77599999999995</v>
      </c>
      <c r="AO30" s="222">
        <f t="shared" si="15"/>
        <v>539.04590193548393</v>
      </c>
      <c r="AP30" s="222">
        <f t="shared" si="15"/>
        <v>383.68956266666669</v>
      </c>
      <c r="AQ30" s="222">
        <f t="shared" si="15"/>
        <v>423.58021548387097</v>
      </c>
      <c r="AR30" s="222">
        <f t="shared" si="15"/>
        <v>495.23114666666675</v>
      </c>
      <c r="AS30" s="222">
        <f t="shared" si="15"/>
        <v>401.53192258064513</v>
      </c>
    </row>
    <row r="31" spans="1:45" outlineLevel="1" x14ac:dyDescent="0.15">
      <c r="B31" s="340" t="s">
        <v>807</v>
      </c>
      <c r="C31" s="340"/>
      <c r="D31" s="340"/>
      <c r="E31" s="340"/>
      <c r="F31" s="340"/>
      <c r="G31" s="340"/>
      <c r="J31" s="222">
        <v>16</v>
      </c>
      <c r="K31" s="222">
        <v>16</v>
      </c>
      <c r="L31" s="222">
        <v>16</v>
      </c>
      <c r="M31" s="222">
        <v>16</v>
      </c>
      <c r="N31" s="222">
        <v>16</v>
      </c>
      <c r="O31" s="222">
        <v>16</v>
      </c>
      <c r="P31" s="222">
        <v>16</v>
      </c>
      <c r="Q31" s="222">
        <v>16</v>
      </c>
      <c r="R31" s="222">
        <v>16</v>
      </c>
      <c r="S31" s="222">
        <v>16</v>
      </c>
      <c r="T31" s="222">
        <v>16</v>
      </c>
      <c r="U31" s="222">
        <v>16</v>
      </c>
      <c r="V31" s="222">
        <v>16</v>
      </c>
      <c r="W31" s="222">
        <v>16</v>
      </c>
      <c r="X31" s="222">
        <v>16</v>
      </c>
      <c r="Y31" s="222">
        <v>16</v>
      </c>
      <c r="Z31" s="222">
        <v>16</v>
      </c>
      <c r="AA31" s="222">
        <v>16</v>
      </c>
      <c r="AB31" s="222">
        <v>16</v>
      </c>
      <c r="AC31" s="222">
        <v>16</v>
      </c>
      <c r="AD31" s="222">
        <v>16</v>
      </c>
      <c r="AE31" s="222">
        <v>16</v>
      </c>
      <c r="AF31" s="222">
        <v>16</v>
      </c>
      <c r="AG31" s="222">
        <v>16</v>
      </c>
      <c r="AH31" s="222">
        <v>16</v>
      </c>
      <c r="AI31" s="222">
        <v>16</v>
      </c>
      <c r="AJ31" s="222">
        <v>16</v>
      </c>
      <c r="AK31" s="222">
        <v>16</v>
      </c>
      <c r="AL31" s="222">
        <v>16</v>
      </c>
      <c r="AM31" s="222">
        <v>16</v>
      </c>
      <c r="AN31" s="222">
        <v>16</v>
      </c>
      <c r="AO31" s="222">
        <v>16</v>
      </c>
      <c r="AP31" s="222">
        <v>16</v>
      </c>
      <c r="AQ31" s="222">
        <v>16</v>
      </c>
      <c r="AR31" s="222">
        <v>16</v>
      </c>
      <c r="AS31" s="222">
        <v>16</v>
      </c>
    </row>
    <row r="32" spans="1:45" outlineLevel="1" x14ac:dyDescent="0.15">
      <c r="B32" s="340" t="s">
        <v>319</v>
      </c>
      <c r="C32" s="340"/>
      <c r="D32" s="340"/>
      <c r="E32" s="340"/>
      <c r="F32" s="340"/>
      <c r="G32" s="340"/>
      <c r="J32" s="222">
        <v>4</v>
      </c>
      <c r="K32" s="222">
        <f t="shared" ref="K32:AS32" si="16">K22-J22</f>
        <v>4</v>
      </c>
      <c r="L32" s="222">
        <f t="shared" si="16"/>
        <v>4</v>
      </c>
      <c r="M32" s="222">
        <f t="shared" si="16"/>
        <v>4</v>
      </c>
      <c r="N32" s="222">
        <f t="shared" si="16"/>
        <v>4</v>
      </c>
      <c r="O32" s="222">
        <f t="shared" si="16"/>
        <v>4</v>
      </c>
      <c r="P32" s="222">
        <f t="shared" si="16"/>
        <v>4</v>
      </c>
      <c r="Q32" s="222">
        <f t="shared" si="16"/>
        <v>4</v>
      </c>
      <c r="R32" s="222">
        <f t="shared" si="16"/>
        <v>4</v>
      </c>
      <c r="S32" s="222">
        <f t="shared" si="16"/>
        <v>4</v>
      </c>
      <c r="T32" s="222">
        <f t="shared" si="16"/>
        <v>4</v>
      </c>
      <c r="U32" s="222">
        <f t="shared" si="16"/>
        <v>4</v>
      </c>
      <c r="V32" s="222">
        <f t="shared" si="16"/>
        <v>4</v>
      </c>
      <c r="W32" s="222">
        <f t="shared" si="16"/>
        <v>4</v>
      </c>
      <c r="X32" s="222">
        <f t="shared" si="16"/>
        <v>4</v>
      </c>
      <c r="Y32" s="222">
        <f t="shared" si="16"/>
        <v>4</v>
      </c>
      <c r="Z32" s="222">
        <f t="shared" si="16"/>
        <v>4</v>
      </c>
      <c r="AA32" s="222">
        <f t="shared" si="16"/>
        <v>4</v>
      </c>
      <c r="AB32" s="222">
        <f t="shared" si="16"/>
        <v>4</v>
      </c>
      <c r="AC32" s="222">
        <f t="shared" si="16"/>
        <v>4</v>
      </c>
      <c r="AD32" s="222">
        <f t="shared" si="16"/>
        <v>4</v>
      </c>
      <c r="AE32" s="222">
        <f t="shared" si="16"/>
        <v>4</v>
      </c>
      <c r="AF32" s="222">
        <f t="shared" si="16"/>
        <v>4</v>
      </c>
      <c r="AG32" s="222">
        <f t="shared" si="16"/>
        <v>4</v>
      </c>
      <c r="AH32" s="222">
        <f t="shared" si="16"/>
        <v>4</v>
      </c>
      <c r="AI32" s="222">
        <f t="shared" si="16"/>
        <v>4</v>
      </c>
      <c r="AJ32" s="222">
        <f t="shared" si="16"/>
        <v>4</v>
      </c>
      <c r="AK32" s="222">
        <f t="shared" si="16"/>
        <v>4</v>
      </c>
      <c r="AL32" s="222">
        <f t="shared" si="16"/>
        <v>4</v>
      </c>
      <c r="AM32" s="222">
        <f t="shared" si="16"/>
        <v>4</v>
      </c>
      <c r="AN32" s="222">
        <f t="shared" si="16"/>
        <v>4</v>
      </c>
      <c r="AO32" s="222">
        <f t="shared" si="16"/>
        <v>4</v>
      </c>
      <c r="AP32" s="222">
        <f t="shared" si="16"/>
        <v>4</v>
      </c>
      <c r="AQ32" s="222">
        <f t="shared" si="16"/>
        <v>4</v>
      </c>
      <c r="AR32" s="222">
        <f t="shared" si="16"/>
        <v>4</v>
      </c>
      <c r="AS32" s="222">
        <f t="shared" si="16"/>
        <v>4</v>
      </c>
    </row>
    <row r="33" spans="1:45" outlineLevel="1" x14ac:dyDescent="0.15">
      <c r="B33" s="340" t="s">
        <v>320</v>
      </c>
      <c r="C33" s="340"/>
      <c r="D33" s="340"/>
      <c r="E33" s="340"/>
      <c r="F33" s="340"/>
      <c r="G33" s="340"/>
      <c r="J33" s="222">
        <v>10</v>
      </c>
      <c r="K33" s="222">
        <f t="shared" ref="K33:AS33" si="17">J22/12</f>
        <v>10</v>
      </c>
      <c r="L33" s="222">
        <f t="shared" si="17"/>
        <v>10.333333333333334</v>
      </c>
      <c r="M33" s="222">
        <f t="shared" si="17"/>
        <v>10.666666666666666</v>
      </c>
      <c r="N33" s="222">
        <f t="shared" si="17"/>
        <v>11</v>
      </c>
      <c r="O33" s="222">
        <f t="shared" si="17"/>
        <v>11.333333333333334</v>
      </c>
      <c r="P33" s="222">
        <f t="shared" si="17"/>
        <v>11.666666666666666</v>
      </c>
      <c r="Q33" s="222">
        <f t="shared" si="17"/>
        <v>12</v>
      </c>
      <c r="R33" s="222">
        <f t="shared" si="17"/>
        <v>12.333333333333334</v>
      </c>
      <c r="S33" s="222">
        <f t="shared" si="17"/>
        <v>12.666666666666666</v>
      </c>
      <c r="T33" s="222">
        <f t="shared" si="17"/>
        <v>13</v>
      </c>
      <c r="U33" s="222">
        <f t="shared" si="17"/>
        <v>13.333333333333334</v>
      </c>
      <c r="V33" s="222">
        <f t="shared" si="17"/>
        <v>13.666666666666666</v>
      </c>
      <c r="W33" s="222">
        <f t="shared" si="17"/>
        <v>14</v>
      </c>
      <c r="X33" s="222">
        <f t="shared" si="17"/>
        <v>14.333333333333334</v>
      </c>
      <c r="Y33" s="222">
        <f t="shared" si="17"/>
        <v>14.666666666666666</v>
      </c>
      <c r="Z33" s="222">
        <f t="shared" si="17"/>
        <v>15</v>
      </c>
      <c r="AA33" s="222">
        <f t="shared" si="17"/>
        <v>15.333333333333334</v>
      </c>
      <c r="AB33" s="222">
        <f t="shared" si="17"/>
        <v>15.666666666666666</v>
      </c>
      <c r="AC33" s="222">
        <f t="shared" si="17"/>
        <v>16</v>
      </c>
      <c r="AD33" s="222">
        <f t="shared" si="17"/>
        <v>16.333333333333332</v>
      </c>
      <c r="AE33" s="222">
        <f t="shared" si="17"/>
        <v>16.666666666666668</v>
      </c>
      <c r="AF33" s="222">
        <f t="shared" si="17"/>
        <v>17</v>
      </c>
      <c r="AG33" s="222">
        <f t="shared" si="17"/>
        <v>17.333333333333332</v>
      </c>
      <c r="AH33" s="222">
        <f t="shared" si="17"/>
        <v>17.666666666666668</v>
      </c>
      <c r="AI33" s="222">
        <f t="shared" si="17"/>
        <v>18</v>
      </c>
      <c r="AJ33" s="222">
        <f t="shared" si="17"/>
        <v>18.333333333333332</v>
      </c>
      <c r="AK33" s="222">
        <f t="shared" si="17"/>
        <v>18.666666666666668</v>
      </c>
      <c r="AL33" s="222">
        <f t="shared" si="17"/>
        <v>19</v>
      </c>
      <c r="AM33" s="222">
        <f t="shared" si="17"/>
        <v>19.333333333333332</v>
      </c>
      <c r="AN33" s="222">
        <f t="shared" si="17"/>
        <v>19.666666666666668</v>
      </c>
      <c r="AO33" s="222">
        <f t="shared" si="17"/>
        <v>20</v>
      </c>
      <c r="AP33" s="222">
        <f t="shared" si="17"/>
        <v>20.333333333333332</v>
      </c>
      <c r="AQ33" s="222">
        <f t="shared" si="17"/>
        <v>20.666666666666668</v>
      </c>
      <c r="AR33" s="222">
        <f t="shared" si="17"/>
        <v>21</v>
      </c>
      <c r="AS33" s="222">
        <f t="shared" si="17"/>
        <v>21.333333333333332</v>
      </c>
    </row>
    <row r="34" spans="1:45" outlineLevel="1" x14ac:dyDescent="0.15">
      <c r="B34" s="340" t="s">
        <v>321</v>
      </c>
      <c r="C34" s="340"/>
      <c r="D34" s="340"/>
      <c r="E34" s="340"/>
      <c r="F34" s="340"/>
      <c r="G34" s="340"/>
      <c r="J34" s="222">
        <v>7</v>
      </c>
      <c r="K34" s="222">
        <v>7</v>
      </c>
      <c r="L34" s="222">
        <v>7</v>
      </c>
      <c r="M34" s="222">
        <v>7</v>
      </c>
      <c r="N34" s="222">
        <v>7</v>
      </c>
      <c r="O34" s="222">
        <v>7</v>
      </c>
      <c r="P34" s="222">
        <v>7</v>
      </c>
      <c r="Q34" s="222">
        <v>7</v>
      </c>
      <c r="R34" s="222">
        <v>7</v>
      </c>
      <c r="S34" s="222">
        <v>7</v>
      </c>
      <c r="T34" s="222">
        <v>7</v>
      </c>
      <c r="U34" s="222">
        <v>7</v>
      </c>
      <c r="V34" s="222">
        <f>U34+1</f>
        <v>8</v>
      </c>
      <c r="W34" s="222">
        <f t="shared" ref="W34:AB34" si="18">V34</f>
        <v>8</v>
      </c>
      <c r="X34" s="222">
        <f t="shared" si="18"/>
        <v>8</v>
      </c>
      <c r="Y34" s="222">
        <f t="shared" si="18"/>
        <v>8</v>
      </c>
      <c r="Z34" s="222">
        <f t="shared" si="18"/>
        <v>8</v>
      </c>
      <c r="AA34" s="222">
        <f t="shared" si="18"/>
        <v>8</v>
      </c>
      <c r="AB34" s="222">
        <f t="shared" si="18"/>
        <v>8</v>
      </c>
      <c r="AC34" s="222">
        <f>AB34+1</f>
        <v>9</v>
      </c>
      <c r="AD34" s="222">
        <f>AC34</f>
        <v>9</v>
      </c>
      <c r="AE34" s="222">
        <f t="shared" ref="AE34:AL34" si="19">AD34</f>
        <v>9</v>
      </c>
      <c r="AF34" s="222">
        <f t="shared" si="19"/>
        <v>9</v>
      </c>
      <c r="AG34" s="222">
        <f t="shared" si="19"/>
        <v>9</v>
      </c>
      <c r="AH34" s="222">
        <f t="shared" si="19"/>
        <v>9</v>
      </c>
      <c r="AI34" s="222">
        <f t="shared" si="19"/>
        <v>9</v>
      </c>
      <c r="AJ34" s="222">
        <f t="shared" si="19"/>
        <v>9</v>
      </c>
      <c r="AK34" s="222">
        <f t="shared" si="19"/>
        <v>9</v>
      </c>
      <c r="AL34" s="222">
        <f t="shared" si="19"/>
        <v>9</v>
      </c>
      <c r="AM34" s="222">
        <f>AL34+1</f>
        <v>10</v>
      </c>
      <c r="AN34" s="222">
        <f t="shared" ref="AN34:AS34" si="20">AM34</f>
        <v>10</v>
      </c>
      <c r="AO34" s="222">
        <f t="shared" si="20"/>
        <v>10</v>
      </c>
      <c r="AP34" s="222">
        <f t="shared" si="20"/>
        <v>10</v>
      </c>
      <c r="AQ34" s="222">
        <f t="shared" si="20"/>
        <v>10</v>
      </c>
      <c r="AR34" s="222">
        <f t="shared" si="20"/>
        <v>10</v>
      </c>
      <c r="AS34" s="222">
        <f t="shared" si="20"/>
        <v>10</v>
      </c>
    </row>
    <row r="35" spans="1:45" outlineLevel="1" x14ac:dyDescent="0.15">
      <c r="H35" s="220" t="s">
        <v>247</v>
      </c>
    </row>
    <row r="36" spans="1:45" outlineLevel="1" x14ac:dyDescent="0.15">
      <c r="B36" s="248" t="str">
        <f t="shared" ref="B36:B41" si="21">B29</f>
        <v>Weekly Engagement Rate</v>
      </c>
      <c r="H36" s="218">
        <f>Scenarios!I33</f>
        <v>0</v>
      </c>
      <c r="J36" s="14">
        <f t="shared" ref="J36:AS36" si="22">J29+$H36</f>
        <v>0.29964516129032259</v>
      </c>
      <c r="K36" s="14">
        <f t="shared" si="22"/>
        <v>0.58462833333333331</v>
      </c>
      <c r="L36" s="14">
        <f t="shared" si="22"/>
        <v>0.56265322580645161</v>
      </c>
      <c r="M36" s="14">
        <f t="shared" si="22"/>
        <v>0.66820833333333329</v>
      </c>
      <c r="N36" s="14">
        <f t="shared" si="22"/>
        <v>0.22990483870967737</v>
      </c>
      <c r="O36" s="14">
        <f t="shared" si="22"/>
        <v>0.4476725806451613</v>
      </c>
      <c r="P36" s="14">
        <f t="shared" si="22"/>
        <v>0.52059999999999995</v>
      </c>
      <c r="Q36" s="14">
        <f t="shared" si="22"/>
        <v>0.50209193548387099</v>
      </c>
      <c r="R36" s="14">
        <f t="shared" si="22"/>
        <v>0.35162166666666667</v>
      </c>
      <c r="S36" s="14">
        <f t="shared" si="22"/>
        <v>0.400208064516129</v>
      </c>
      <c r="T36" s="14">
        <f t="shared" si="22"/>
        <v>0.43965833333333337</v>
      </c>
      <c r="U36" s="14">
        <f t="shared" si="22"/>
        <v>0.3357290322580645</v>
      </c>
      <c r="V36" s="14">
        <f t="shared" si="22"/>
        <v>0.29964516129032259</v>
      </c>
      <c r="W36" s="14">
        <f t="shared" si="22"/>
        <v>0.58462833333333331</v>
      </c>
      <c r="X36" s="14">
        <f t="shared" si="22"/>
        <v>0.56265322580645161</v>
      </c>
      <c r="Y36" s="14">
        <f t="shared" si="22"/>
        <v>0.66820833333333329</v>
      </c>
      <c r="Z36" s="14">
        <f t="shared" si="22"/>
        <v>0.22990483870967737</v>
      </c>
      <c r="AA36" s="14">
        <f t="shared" si="22"/>
        <v>0.4476725806451613</v>
      </c>
      <c r="AB36" s="14">
        <f t="shared" si="22"/>
        <v>0.52059999999999995</v>
      </c>
      <c r="AC36" s="14">
        <f t="shared" si="22"/>
        <v>0.50209193548387099</v>
      </c>
      <c r="AD36" s="14">
        <f t="shared" si="22"/>
        <v>0.35162166666666667</v>
      </c>
      <c r="AE36" s="14">
        <f t="shared" si="22"/>
        <v>0.400208064516129</v>
      </c>
      <c r="AF36" s="14">
        <f t="shared" si="22"/>
        <v>0.43965833333333337</v>
      </c>
      <c r="AG36" s="14">
        <f t="shared" si="22"/>
        <v>0.3357290322580645</v>
      </c>
      <c r="AH36" s="14">
        <f t="shared" si="22"/>
        <v>0.29964516129032259</v>
      </c>
      <c r="AI36" s="14">
        <f t="shared" si="22"/>
        <v>0.58462833333333331</v>
      </c>
      <c r="AJ36" s="14">
        <f t="shared" si="22"/>
        <v>0.56265322580645161</v>
      </c>
      <c r="AK36" s="14">
        <f t="shared" si="22"/>
        <v>0.66820833333333329</v>
      </c>
      <c r="AL36" s="14">
        <f t="shared" si="22"/>
        <v>0.22990483870967737</v>
      </c>
      <c r="AM36" s="14">
        <f t="shared" si="22"/>
        <v>0.4476725806451613</v>
      </c>
      <c r="AN36" s="14">
        <f t="shared" si="22"/>
        <v>0.52059999999999995</v>
      </c>
      <c r="AO36" s="14">
        <f t="shared" si="22"/>
        <v>0.50209193548387099</v>
      </c>
      <c r="AP36" s="14">
        <f t="shared" si="22"/>
        <v>0.35162166666666667</v>
      </c>
      <c r="AQ36" s="14">
        <f t="shared" si="22"/>
        <v>0.400208064516129</v>
      </c>
      <c r="AR36" s="14">
        <f t="shared" si="22"/>
        <v>0.43965833333333337</v>
      </c>
      <c r="AS36" s="14">
        <f t="shared" si="22"/>
        <v>0.3357290322580645</v>
      </c>
    </row>
    <row r="37" spans="1:45" outlineLevel="1" x14ac:dyDescent="0.15">
      <c r="B37" s="248" t="str">
        <f t="shared" si="21"/>
        <v>Monthly Student Sessions</v>
      </c>
      <c r="H37" s="218">
        <f>Scenarios!I34</f>
        <v>0</v>
      </c>
      <c r="J37" s="14">
        <f t="shared" ref="J37:AS37" si="23">J30+$H37</f>
        <v>165.40412903225806</v>
      </c>
      <c r="K37" s="14">
        <f t="shared" si="23"/>
        <v>304.47443599999997</v>
      </c>
      <c r="L37" s="14">
        <f t="shared" si="23"/>
        <v>316.88629677419357</v>
      </c>
      <c r="M37" s="14">
        <f t="shared" si="23"/>
        <v>388.09539999999998</v>
      </c>
      <c r="N37" s="14">
        <f t="shared" si="23"/>
        <v>131.3216438709677</v>
      </c>
      <c r="O37" s="14">
        <f t="shared" si="23"/>
        <v>288.30114193548383</v>
      </c>
      <c r="P37" s="14">
        <f t="shared" si="23"/>
        <v>314.85888</v>
      </c>
      <c r="Q37" s="14">
        <f t="shared" si="23"/>
        <v>312.10034709677421</v>
      </c>
      <c r="R37" s="14">
        <f t="shared" si="23"/>
        <v>235.16457066666669</v>
      </c>
      <c r="S37" s="14">
        <f t="shared" si="23"/>
        <v>287.18930709677414</v>
      </c>
      <c r="T37" s="14">
        <f t="shared" si="23"/>
        <v>281.38133333333337</v>
      </c>
      <c r="U37" s="14">
        <f t="shared" si="23"/>
        <v>253.27398193548385</v>
      </c>
      <c r="V37" s="14">
        <f t="shared" si="23"/>
        <v>221.49770322580648</v>
      </c>
      <c r="W37" s="14">
        <f t="shared" si="23"/>
        <v>422.335508</v>
      </c>
      <c r="X37" s="14">
        <f t="shared" si="23"/>
        <v>455.52405161290318</v>
      </c>
      <c r="Y37" s="14">
        <f t="shared" si="23"/>
        <v>505.16549999999995</v>
      </c>
      <c r="Z37" s="14">
        <f t="shared" si="23"/>
        <v>186.13095741935481</v>
      </c>
      <c r="AA37" s="14">
        <f t="shared" si="23"/>
        <v>387.14724774193547</v>
      </c>
      <c r="AB37" s="14">
        <f t="shared" si="23"/>
        <v>399.82079999999996</v>
      </c>
      <c r="AC37" s="14">
        <f t="shared" si="23"/>
        <v>413.32208129032261</v>
      </c>
      <c r="AD37" s="14">
        <f t="shared" si="23"/>
        <v>309.42706666666669</v>
      </c>
      <c r="AE37" s="14">
        <f t="shared" si="23"/>
        <v>359.22675870967743</v>
      </c>
      <c r="AF37" s="14">
        <f t="shared" si="23"/>
        <v>384.08552000000003</v>
      </c>
      <c r="AG37" s="14">
        <f t="shared" si="23"/>
        <v>327.40295225806443</v>
      </c>
      <c r="AH37" s="14">
        <f t="shared" si="23"/>
        <v>271.83809032258068</v>
      </c>
      <c r="AI37" s="14">
        <f t="shared" si="23"/>
        <v>565.92022666666674</v>
      </c>
      <c r="AJ37" s="14">
        <f t="shared" si="23"/>
        <v>579.7578838709677</v>
      </c>
      <c r="AK37" s="14">
        <f t="shared" si="23"/>
        <v>576</v>
      </c>
      <c r="AL37" s="14">
        <f t="shared" si="23"/>
        <v>245.35444387096766</v>
      </c>
      <c r="AM37" s="14">
        <f t="shared" si="23"/>
        <v>464.86320774193553</v>
      </c>
      <c r="AN37" s="14">
        <f t="shared" si="23"/>
        <v>499.77599999999995</v>
      </c>
      <c r="AO37" s="14">
        <f t="shared" si="23"/>
        <v>539.04590193548393</v>
      </c>
      <c r="AP37" s="14">
        <f t="shared" si="23"/>
        <v>383.68956266666669</v>
      </c>
      <c r="AQ37" s="14">
        <f t="shared" si="23"/>
        <v>423.58021548387097</v>
      </c>
      <c r="AR37" s="14">
        <f t="shared" si="23"/>
        <v>495.23114666666675</v>
      </c>
      <c r="AS37" s="14">
        <f t="shared" si="23"/>
        <v>401.53192258064513</v>
      </c>
    </row>
    <row r="38" spans="1:45" outlineLevel="1" x14ac:dyDescent="0.15">
      <c r="B38" s="248" t="str">
        <f t="shared" si="21"/>
        <v>Max Students per Class</v>
      </c>
      <c r="H38" s="221">
        <f>Scenarios!I35</f>
        <v>0</v>
      </c>
      <c r="J38" s="14">
        <f t="shared" ref="J38:AS38" si="24">J31+$H38</f>
        <v>16</v>
      </c>
      <c r="K38" s="14">
        <f t="shared" si="24"/>
        <v>16</v>
      </c>
      <c r="L38" s="14">
        <f t="shared" si="24"/>
        <v>16</v>
      </c>
      <c r="M38" s="14">
        <f t="shared" si="24"/>
        <v>16</v>
      </c>
      <c r="N38" s="14">
        <f t="shared" si="24"/>
        <v>16</v>
      </c>
      <c r="O38" s="14">
        <f t="shared" si="24"/>
        <v>16</v>
      </c>
      <c r="P38" s="14">
        <f t="shared" si="24"/>
        <v>16</v>
      </c>
      <c r="Q38" s="14">
        <f t="shared" si="24"/>
        <v>16</v>
      </c>
      <c r="R38" s="14">
        <f t="shared" si="24"/>
        <v>16</v>
      </c>
      <c r="S38" s="14">
        <f t="shared" si="24"/>
        <v>16</v>
      </c>
      <c r="T38" s="14">
        <f t="shared" si="24"/>
        <v>16</v>
      </c>
      <c r="U38" s="14">
        <f t="shared" si="24"/>
        <v>16</v>
      </c>
      <c r="V38" s="14">
        <f t="shared" si="24"/>
        <v>16</v>
      </c>
      <c r="W38" s="14">
        <f t="shared" si="24"/>
        <v>16</v>
      </c>
      <c r="X38" s="14">
        <f t="shared" si="24"/>
        <v>16</v>
      </c>
      <c r="Y38" s="14">
        <f t="shared" si="24"/>
        <v>16</v>
      </c>
      <c r="Z38" s="14">
        <f t="shared" si="24"/>
        <v>16</v>
      </c>
      <c r="AA38" s="14">
        <f t="shared" si="24"/>
        <v>16</v>
      </c>
      <c r="AB38" s="14">
        <f t="shared" si="24"/>
        <v>16</v>
      </c>
      <c r="AC38" s="14">
        <f t="shared" si="24"/>
        <v>16</v>
      </c>
      <c r="AD38" s="14">
        <f t="shared" si="24"/>
        <v>16</v>
      </c>
      <c r="AE38" s="14">
        <f t="shared" si="24"/>
        <v>16</v>
      </c>
      <c r="AF38" s="14">
        <f t="shared" si="24"/>
        <v>16</v>
      </c>
      <c r="AG38" s="14">
        <f t="shared" si="24"/>
        <v>16</v>
      </c>
      <c r="AH38" s="14">
        <f t="shared" si="24"/>
        <v>16</v>
      </c>
      <c r="AI38" s="14">
        <f t="shared" si="24"/>
        <v>16</v>
      </c>
      <c r="AJ38" s="14">
        <f t="shared" si="24"/>
        <v>16</v>
      </c>
      <c r="AK38" s="14">
        <f t="shared" si="24"/>
        <v>16</v>
      </c>
      <c r="AL38" s="14">
        <f t="shared" si="24"/>
        <v>16</v>
      </c>
      <c r="AM38" s="14">
        <f t="shared" si="24"/>
        <v>16</v>
      </c>
      <c r="AN38" s="14">
        <f t="shared" si="24"/>
        <v>16</v>
      </c>
      <c r="AO38" s="14">
        <f t="shared" si="24"/>
        <v>16</v>
      </c>
      <c r="AP38" s="14">
        <f t="shared" si="24"/>
        <v>16</v>
      </c>
      <c r="AQ38" s="14">
        <f t="shared" si="24"/>
        <v>16</v>
      </c>
      <c r="AR38" s="14">
        <f t="shared" si="24"/>
        <v>16</v>
      </c>
      <c r="AS38" s="14">
        <f t="shared" si="24"/>
        <v>16</v>
      </c>
    </row>
    <row r="39" spans="1:45" outlineLevel="1" x14ac:dyDescent="0.15">
      <c r="B39" s="248" t="str">
        <f t="shared" si="21"/>
        <v>Net New Members</v>
      </c>
      <c r="H39" s="290">
        <f>Scenarios!I36</f>
        <v>0</v>
      </c>
      <c r="J39" s="14">
        <f t="shared" ref="J39:AS39" si="25">J32+$H39</f>
        <v>4</v>
      </c>
      <c r="K39" s="14">
        <f t="shared" si="25"/>
        <v>4</v>
      </c>
      <c r="L39" s="14">
        <f t="shared" si="25"/>
        <v>4</v>
      </c>
      <c r="M39" s="14">
        <f t="shared" si="25"/>
        <v>4</v>
      </c>
      <c r="N39" s="14">
        <f t="shared" si="25"/>
        <v>4</v>
      </c>
      <c r="O39" s="14">
        <f t="shared" si="25"/>
        <v>4</v>
      </c>
      <c r="P39" s="14">
        <f t="shared" si="25"/>
        <v>4</v>
      </c>
      <c r="Q39" s="14">
        <f t="shared" si="25"/>
        <v>4</v>
      </c>
      <c r="R39" s="14">
        <f t="shared" si="25"/>
        <v>4</v>
      </c>
      <c r="S39" s="14">
        <f t="shared" si="25"/>
        <v>4</v>
      </c>
      <c r="T39" s="14">
        <f t="shared" si="25"/>
        <v>4</v>
      </c>
      <c r="U39" s="14">
        <f t="shared" si="25"/>
        <v>4</v>
      </c>
      <c r="V39" s="14">
        <f t="shared" si="25"/>
        <v>4</v>
      </c>
      <c r="W39" s="14">
        <f t="shared" si="25"/>
        <v>4</v>
      </c>
      <c r="X39" s="14">
        <f t="shared" si="25"/>
        <v>4</v>
      </c>
      <c r="Y39" s="14">
        <f t="shared" si="25"/>
        <v>4</v>
      </c>
      <c r="Z39" s="14">
        <f t="shared" si="25"/>
        <v>4</v>
      </c>
      <c r="AA39" s="14">
        <f t="shared" si="25"/>
        <v>4</v>
      </c>
      <c r="AB39" s="14">
        <f t="shared" si="25"/>
        <v>4</v>
      </c>
      <c r="AC39" s="14">
        <f t="shared" si="25"/>
        <v>4</v>
      </c>
      <c r="AD39" s="14">
        <f t="shared" si="25"/>
        <v>4</v>
      </c>
      <c r="AE39" s="14">
        <f t="shared" si="25"/>
        <v>4</v>
      </c>
      <c r="AF39" s="14">
        <f t="shared" si="25"/>
        <v>4</v>
      </c>
      <c r="AG39" s="14">
        <f t="shared" si="25"/>
        <v>4</v>
      </c>
      <c r="AH39" s="14">
        <f t="shared" si="25"/>
        <v>4</v>
      </c>
      <c r="AI39" s="14">
        <f t="shared" si="25"/>
        <v>4</v>
      </c>
      <c r="AJ39" s="14">
        <f t="shared" si="25"/>
        <v>4</v>
      </c>
      <c r="AK39" s="14">
        <f t="shared" si="25"/>
        <v>4</v>
      </c>
      <c r="AL39" s="14">
        <f t="shared" si="25"/>
        <v>4</v>
      </c>
      <c r="AM39" s="14">
        <f t="shared" si="25"/>
        <v>4</v>
      </c>
      <c r="AN39" s="14">
        <f t="shared" si="25"/>
        <v>4</v>
      </c>
      <c r="AO39" s="14">
        <f t="shared" si="25"/>
        <v>4</v>
      </c>
      <c r="AP39" s="14">
        <f t="shared" si="25"/>
        <v>4</v>
      </c>
      <c r="AQ39" s="14">
        <f t="shared" si="25"/>
        <v>4</v>
      </c>
      <c r="AR39" s="14">
        <f t="shared" si="25"/>
        <v>4</v>
      </c>
      <c r="AS39" s="14">
        <f t="shared" si="25"/>
        <v>4</v>
      </c>
    </row>
    <row r="40" spans="1:45" outlineLevel="1" x14ac:dyDescent="0.15">
      <c r="B40" s="248" t="str">
        <f t="shared" si="21"/>
        <v>Renewing Members</v>
      </c>
      <c r="H40" s="218">
        <f>Scenarios!I37</f>
        <v>0</v>
      </c>
      <c r="J40" s="14">
        <f t="shared" ref="J40:AS40" si="26">J33+$H40</f>
        <v>10</v>
      </c>
      <c r="K40" s="14">
        <f t="shared" si="26"/>
        <v>10</v>
      </c>
      <c r="L40" s="14">
        <f t="shared" si="26"/>
        <v>10.333333333333334</v>
      </c>
      <c r="M40" s="14">
        <f t="shared" si="26"/>
        <v>10.666666666666666</v>
      </c>
      <c r="N40" s="14">
        <f t="shared" si="26"/>
        <v>11</v>
      </c>
      <c r="O40" s="14">
        <f t="shared" si="26"/>
        <v>11.333333333333334</v>
      </c>
      <c r="P40" s="14">
        <f t="shared" si="26"/>
        <v>11.666666666666666</v>
      </c>
      <c r="Q40" s="14">
        <f t="shared" si="26"/>
        <v>12</v>
      </c>
      <c r="R40" s="14">
        <f t="shared" si="26"/>
        <v>12.333333333333334</v>
      </c>
      <c r="S40" s="14">
        <f t="shared" si="26"/>
        <v>12.666666666666666</v>
      </c>
      <c r="T40" s="14">
        <f t="shared" si="26"/>
        <v>13</v>
      </c>
      <c r="U40" s="14">
        <f t="shared" si="26"/>
        <v>13.333333333333334</v>
      </c>
      <c r="V40" s="14">
        <f t="shared" si="26"/>
        <v>13.666666666666666</v>
      </c>
      <c r="W40" s="14">
        <f t="shared" si="26"/>
        <v>14</v>
      </c>
      <c r="X40" s="14">
        <f t="shared" si="26"/>
        <v>14.333333333333334</v>
      </c>
      <c r="Y40" s="14">
        <f t="shared" si="26"/>
        <v>14.666666666666666</v>
      </c>
      <c r="Z40" s="14">
        <f t="shared" si="26"/>
        <v>15</v>
      </c>
      <c r="AA40" s="14">
        <f t="shared" si="26"/>
        <v>15.333333333333334</v>
      </c>
      <c r="AB40" s="14">
        <f t="shared" si="26"/>
        <v>15.666666666666666</v>
      </c>
      <c r="AC40" s="14">
        <f t="shared" si="26"/>
        <v>16</v>
      </c>
      <c r="AD40" s="14">
        <f t="shared" si="26"/>
        <v>16.333333333333332</v>
      </c>
      <c r="AE40" s="14">
        <f t="shared" si="26"/>
        <v>16.666666666666668</v>
      </c>
      <c r="AF40" s="14">
        <f t="shared" si="26"/>
        <v>17</v>
      </c>
      <c r="AG40" s="14">
        <f t="shared" si="26"/>
        <v>17.333333333333332</v>
      </c>
      <c r="AH40" s="14">
        <f t="shared" si="26"/>
        <v>17.666666666666668</v>
      </c>
      <c r="AI40" s="14">
        <f t="shared" si="26"/>
        <v>18</v>
      </c>
      <c r="AJ40" s="14">
        <f t="shared" si="26"/>
        <v>18.333333333333332</v>
      </c>
      <c r="AK40" s="14">
        <f t="shared" si="26"/>
        <v>18.666666666666668</v>
      </c>
      <c r="AL40" s="14">
        <f t="shared" si="26"/>
        <v>19</v>
      </c>
      <c r="AM40" s="14">
        <f t="shared" si="26"/>
        <v>19.333333333333332</v>
      </c>
      <c r="AN40" s="14">
        <f t="shared" si="26"/>
        <v>19.666666666666668</v>
      </c>
      <c r="AO40" s="14">
        <f t="shared" si="26"/>
        <v>20</v>
      </c>
      <c r="AP40" s="14">
        <f t="shared" si="26"/>
        <v>20.333333333333332</v>
      </c>
      <c r="AQ40" s="14">
        <f t="shared" si="26"/>
        <v>20.666666666666668</v>
      </c>
      <c r="AR40" s="14">
        <f t="shared" si="26"/>
        <v>21</v>
      </c>
      <c r="AS40" s="14">
        <f t="shared" si="26"/>
        <v>21.333333333333332</v>
      </c>
    </row>
    <row r="41" spans="1:45" outlineLevel="1" x14ac:dyDescent="0.15">
      <c r="B41" s="248" t="str">
        <f t="shared" si="21"/>
        <v>Number of Classes per Week</v>
      </c>
      <c r="H41" s="221">
        <f>Scenarios!I38</f>
        <v>0</v>
      </c>
      <c r="J41" s="14">
        <f t="shared" ref="J41:AS41" si="27">J34+$H41</f>
        <v>7</v>
      </c>
      <c r="K41" s="14">
        <f t="shared" si="27"/>
        <v>7</v>
      </c>
      <c r="L41" s="14">
        <f t="shared" si="27"/>
        <v>7</v>
      </c>
      <c r="M41" s="14">
        <f t="shared" si="27"/>
        <v>7</v>
      </c>
      <c r="N41" s="14">
        <f t="shared" si="27"/>
        <v>7</v>
      </c>
      <c r="O41" s="14">
        <f t="shared" si="27"/>
        <v>7</v>
      </c>
      <c r="P41" s="14">
        <f t="shared" si="27"/>
        <v>7</v>
      </c>
      <c r="Q41" s="14">
        <f t="shared" si="27"/>
        <v>7</v>
      </c>
      <c r="R41" s="14">
        <f t="shared" si="27"/>
        <v>7</v>
      </c>
      <c r="S41" s="14">
        <f t="shared" si="27"/>
        <v>7</v>
      </c>
      <c r="T41" s="14">
        <f t="shared" si="27"/>
        <v>7</v>
      </c>
      <c r="U41" s="14">
        <f t="shared" si="27"/>
        <v>7</v>
      </c>
      <c r="V41" s="14">
        <f t="shared" si="27"/>
        <v>8</v>
      </c>
      <c r="W41" s="14">
        <f t="shared" si="27"/>
        <v>8</v>
      </c>
      <c r="X41" s="14">
        <f t="shared" si="27"/>
        <v>8</v>
      </c>
      <c r="Y41" s="14">
        <f t="shared" si="27"/>
        <v>8</v>
      </c>
      <c r="Z41" s="14">
        <f t="shared" si="27"/>
        <v>8</v>
      </c>
      <c r="AA41" s="14">
        <f t="shared" si="27"/>
        <v>8</v>
      </c>
      <c r="AB41" s="14">
        <f t="shared" si="27"/>
        <v>8</v>
      </c>
      <c r="AC41" s="14">
        <f t="shared" si="27"/>
        <v>9</v>
      </c>
      <c r="AD41" s="14">
        <f t="shared" si="27"/>
        <v>9</v>
      </c>
      <c r="AE41" s="14">
        <f t="shared" si="27"/>
        <v>9</v>
      </c>
      <c r="AF41" s="14">
        <f t="shared" si="27"/>
        <v>9</v>
      </c>
      <c r="AG41" s="14">
        <f t="shared" si="27"/>
        <v>9</v>
      </c>
      <c r="AH41" s="14">
        <f t="shared" si="27"/>
        <v>9</v>
      </c>
      <c r="AI41" s="14">
        <f t="shared" si="27"/>
        <v>9</v>
      </c>
      <c r="AJ41" s="14">
        <f t="shared" si="27"/>
        <v>9</v>
      </c>
      <c r="AK41" s="14">
        <f t="shared" si="27"/>
        <v>9</v>
      </c>
      <c r="AL41" s="14">
        <f t="shared" si="27"/>
        <v>9</v>
      </c>
      <c r="AM41" s="14">
        <f t="shared" si="27"/>
        <v>10</v>
      </c>
      <c r="AN41" s="14">
        <f t="shared" si="27"/>
        <v>10</v>
      </c>
      <c r="AO41" s="14">
        <f t="shared" si="27"/>
        <v>10</v>
      </c>
      <c r="AP41" s="14">
        <f t="shared" si="27"/>
        <v>10</v>
      </c>
      <c r="AQ41" s="14">
        <f t="shared" si="27"/>
        <v>10</v>
      </c>
      <c r="AR41" s="14">
        <f t="shared" si="27"/>
        <v>10</v>
      </c>
      <c r="AS41" s="14">
        <f t="shared" si="27"/>
        <v>10</v>
      </c>
    </row>
    <row r="42" spans="1:45" outlineLevel="1" x14ac:dyDescent="0.15"/>
    <row r="43" spans="1:45" outlineLevel="1" x14ac:dyDescent="0.15">
      <c r="B43" s="107" t="s">
        <v>306</v>
      </c>
      <c r="I43" s="22">
        <f>IF(ISERROR(SUM(J43:AS43)),1,MIN(SUM(J43:AS43),1))</f>
        <v>0</v>
      </c>
      <c r="J43" s="17">
        <f t="shared" ref="J43:AS43" si="28">IF(ISERROR(SUM(J36:J41)),1,0)</f>
        <v>0</v>
      </c>
      <c r="K43" s="17">
        <f t="shared" si="28"/>
        <v>0</v>
      </c>
      <c r="L43" s="17">
        <f t="shared" si="28"/>
        <v>0</v>
      </c>
      <c r="M43" s="17">
        <f t="shared" si="28"/>
        <v>0</v>
      </c>
      <c r="N43" s="17">
        <f t="shared" si="28"/>
        <v>0</v>
      </c>
      <c r="O43" s="17">
        <f t="shared" si="28"/>
        <v>0</v>
      </c>
      <c r="P43" s="17">
        <f t="shared" si="28"/>
        <v>0</v>
      </c>
      <c r="Q43" s="17">
        <f t="shared" si="28"/>
        <v>0</v>
      </c>
      <c r="R43" s="17">
        <f t="shared" si="28"/>
        <v>0</v>
      </c>
      <c r="S43" s="17">
        <f t="shared" si="28"/>
        <v>0</v>
      </c>
      <c r="T43" s="17">
        <f t="shared" si="28"/>
        <v>0</v>
      </c>
      <c r="U43" s="17">
        <f t="shared" si="28"/>
        <v>0</v>
      </c>
      <c r="V43" s="17">
        <f t="shared" si="28"/>
        <v>0</v>
      </c>
      <c r="W43" s="17">
        <f t="shared" si="28"/>
        <v>0</v>
      </c>
      <c r="X43" s="17">
        <f t="shared" si="28"/>
        <v>0</v>
      </c>
      <c r="Y43" s="17">
        <f t="shared" si="28"/>
        <v>0</v>
      </c>
      <c r="Z43" s="17">
        <f t="shared" si="28"/>
        <v>0</v>
      </c>
      <c r="AA43" s="17">
        <f t="shared" si="28"/>
        <v>0</v>
      </c>
      <c r="AB43" s="17">
        <f t="shared" si="28"/>
        <v>0</v>
      </c>
      <c r="AC43" s="17">
        <f t="shared" si="28"/>
        <v>0</v>
      </c>
      <c r="AD43" s="17">
        <f t="shared" si="28"/>
        <v>0</v>
      </c>
      <c r="AE43" s="17">
        <f t="shared" si="28"/>
        <v>0</v>
      </c>
      <c r="AF43" s="17">
        <f t="shared" si="28"/>
        <v>0</v>
      </c>
      <c r="AG43" s="17">
        <f t="shared" si="28"/>
        <v>0</v>
      </c>
      <c r="AH43" s="17">
        <f t="shared" si="28"/>
        <v>0</v>
      </c>
      <c r="AI43" s="17">
        <f t="shared" si="28"/>
        <v>0</v>
      </c>
      <c r="AJ43" s="17">
        <f t="shared" si="28"/>
        <v>0</v>
      </c>
      <c r="AK43" s="17">
        <f t="shared" si="28"/>
        <v>0</v>
      </c>
      <c r="AL43" s="17">
        <f t="shared" si="28"/>
        <v>0</v>
      </c>
      <c r="AM43" s="17">
        <f t="shared" si="28"/>
        <v>0</v>
      </c>
      <c r="AN43" s="17">
        <f t="shared" si="28"/>
        <v>0</v>
      </c>
      <c r="AO43" s="17">
        <f t="shared" si="28"/>
        <v>0</v>
      </c>
      <c r="AP43" s="17">
        <f t="shared" si="28"/>
        <v>0</v>
      </c>
      <c r="AQ43" s="17">
        <f t="shared" si="28"/>
        <v>0</v>
      </c>
      <c r="AR43" s="17">
        <f t="shared" si="28"/>
        <v>0</v>
      </c>
      <c r="AS43" s="17">
        <f t="shared" si="28"/>
        <v>0</v>
      </c>
    </row>
    <row r="44" spans="1:45" outlineLevel="1" x14ac:dyDescent="0.15">
      <c r="B44" s="107" t="s">
        <v>316</v>
      </c>
      <c r="I44" s="22">
        <f>IF(ISERROR(SUM(J44:AS44)),1,MIN(SUM(J44:AS44),1))</f>
        <v>0</v>
      </c>
      <c r="J44" s="17">
        <f t="shared" ref="J44:AS44" si="29">IF(J43=1,0,IF(MIN(J36:J41)&lt;0,1,0))</f>
        <v>0</v>
      </c>
      <c r="K44" s="17">
        <f t="shared" si="29"/>
        <v>0</v>
      </c>
      <c r="L44" s="17">
        <f t="shared" si="29"/>
        <v>0</v>
      </c>
      <c r="M44" s="17">
        <f t="shared" si="29"/>
        <v>0</v>
      </c>
      <c r="N44" s="17">
        <f t="shared" si="29"/>
        <v>0</v>
      </c>
      <c r="O44" s="17">
        <f t="shared" si="29"/>
        <v>0</v>
      </c>
      <c r="P44" s="17">
        <f t="shared" si="29"/>
        <v>0</v>
      </c>
      <c r="Q44" s="17">
        <f t="shared" si="29"/>
        <v>0</v>
      </c>
      <c r="R44" s="17">
        <f t="shared" si="29"/>
        <v>0</v>
      </c>
      <c r="S44" s="17">
        <f t="shared" si="29"/>
        <v>0</v>
      </c>
      <c r="T44" s="17">
        <f t="shared" si="29"/>
        <v>0</v>
      </c>
      <c r="U44" s="17">
        <f t="shared" si="29"/>
        <v>0</v>
      </c>
      <c r="V44" s="17">
        <f t="shared" si="29"/>
        <v>0</v>
      </c>
      <c r="W44" s="17">
        <f t="shared" si="29"/>
        <v>0</v>
      </c>
      <c r="X44" s="17">
        <f t="shared" si="29"/>
        <v>0</v>
      </c>
      <c r="Y44" s="17">
        <f t="shared" si="29"/>
        <v>0</v>
      </c>
      <c r="Z44" s="17">
        <f t="shared" si="29"/>
        <v>0</v>
      </c>
      <c r="AA44" s="17">
        <f t="shared" si="29"/>
        <v>0</v>
      </c>
      <c r="AB44" s="17">
        <f t="shared" si="29"/>
        <v>0</v>
      </c>
      <c r="AC44" s="17">
        <f t="shared" si="29"/>
        <v>0</v>
      </c>
      <c r="AD44" s="17">
        <f t="shared" si="29"/>
        <v>0</v>
      </c>
      <c r="AE44" s="17">
        <f t="shared" si="29"/>
        <v>0</v>
      </c>
      <c r="AF44" s="17">
        <f t="shared" si="29"/>
        <v>0</v>
      </c>
      <c r="AG44" s="17">
        <f t="shared" si="29"/>
        <v>0</v>
      </c>
      <c r="AH44" s="17">
        <f t="shared" si="29"/>
        <v>0</v>
      </c>
      <c r="AI44" s="17">
        <f t="shared" si="29"/>
        <v>0</v>
      </c>
      <c r="AJ44" s="17">
        <f t="shared" si="29"/>
        <v>0</v>
      </c>
      <c r="AK44" s="17">
        <f t="shared" si="29"/>
        <v>0</v>
      </c>
      <c r="AL44" s="17">
        <f t="shared" si="29"/>
        <v>0</v>
      </c>
      <c r="AM44" s="17">
        <f t="shared" si="29"/>
        <v>0</v>
      </c>
      <c r="AN44" s="17">
        <f t="shared" si="29"/>
        <v>0</v>
      </c>
      <c r="AO44" s="17">
        <f t="shared" si="29"/>
        <v>0</v>
      </c>
      <c r="AP44" s="17">
        <f t="shared" si="29"/>
        <v>0</v>
      </c>
      <c r="AQ44" s="17">
        <f t="shared" si="29"/>
        <v>0</v>
      </c>
      <c r="AR44" s="17">
        <f t="shared" si="29"/>
        <v>0</v>
      </c>
      <c r="AS44" s="17">
        <f t="shared" si="29"/>
        <v>0</v>
      </c>
    </row>
    <row r="46" spans="1:45" x14ac:dyDescent="0.15">
      <c r="A46" s="74" t="s">
        <v>271</v>
      </c>
      <c r="B46" s="1" t="s">
        <v>64</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row>
    <row r="47" spans="1:45" outlineLevel="1" x14ac:dyDescent="0.15"/>
    <row r="48" spans="1:45" outlineLevel="1" x14ac:dyDescent="0.15">
      <c r="B48" s="16" t="s">
        <v>64</v>
      </c>
      <c r="H48" s="155" t="s">
        <v>322</v>
      </c>
    </row>
    <row r="49" spans="2:45" outlineLevel="1" x14ac:dyDescent="0.15">
      <c r="B49" s="338" t="s">
        <v>323</v>
      </c>
      <c r="C49" s="338"/>
      <c r="D49" s="338"/>
      <c r="E49" s="338"/>
      <c r="F49" s="338"/>
      <c r="H49" s="213" t="s">
        <v>324</v>
      </c>
      <c r="J49" s="214">
        <v>25</v>
      </c>
      <c r="K49" s="214">
        <v>25</v>
      </c>
      <c r="L49" s="214">
        <v>25</v>
      </c>
      <c r="M49" s="214">
        <v>25</v>
      </c>
      <c r="N49" s="214">
        <v>25</v>
      </c>
      <c r="O49" s="214">
        <v>25</v>
      </c>
      <c r="P49" s="214">
        <v>25</v>
      </c>
      <c r="Q49" s="214">
        <v>25</v>
      </c>
      <c r="R49" s="214">
        <v>25</v>
      </c>
      <c r="S49" s="214">
        <v>25</v>
      </c>
      <c r="T49" s="214">
        <v>25</v>
      </c>
      <c r="U49" s="214">
        <v>25</v>
      </c>
      <c r="V49" s="214">
        <v>25</v>
      </c>
      <c r="W49" s="214">
        <v>25</v>
      </c>
      <c r="X49" s="214">
        <v>25</v>
      </c>
      <c r="Y49" s="214">
        <v>25</v>
      </c>
      <c r="Z49" s="214">
        <v>25</v>
      </c>
      <c r="AA49" s="214">
        <v>25</v>
      </c>
      <c r="AB49" s="214">
        <v>25</v>
      </c>
      <c r="AC49" s="214">
        <v>25</v>
      </c>
      <c r="AD49" s="214">
        <v>25</v>
      </c>
      <c r="AE49" s="214">
        <v>25</v>
      </c>
      <c r="AF49" s="214">
        <v>25</v>
      </c>
      <c r="AG49" s="214">
        <v>25</v>
      </c>
      <c r="AH49" s="214">
        <v>25</v>
      </c>
      <c r="AI49" s="214">
        <v>25</v>
      </c>
      <c r="AJ49" s="214">
        <v>25</v>
      </c>
      <c r="AK49" s="214">
        <v>25</v>
      </c>
      <c r="AL49" s="214">
        <v>25</v>
      </c>
      <c r="AM49" s="214">
        <v>25</v>
      </c>
      <c r="AN49" s="214">
        <v>25</v>
      </c>
      <c r="AO49" s="214">
        <v>25</v>
      </c>
      <c r="AP49" s="214">
        <v>25</v>
      </c>
      <c r="AQ49" s="214">
        <v>25</v>
      </c>
      <c r="AR49" s="214">
        <v>25</v>
      </c>
      <c r="AS49" s="214">
        <v>25</v>
      </c>
    </row>
    <row r="50" spans="2:45" outlineLevel="1" x14ac:dyDescent="0.15">
      <c r="H50" s="213" t="s">
        <v>325</v>
      </c>
      <c r="J50" s="165">
        <f t="shared" ref="J50:AS50" si="30">J32+J33</f>
        <v>14</v>
      </c>
      <c r="K50" s="165">
        <f t="shared" si="30"/>
        <v>14</v>
      </c>
      <c r="L50" s="165">
        <f t="shared" si="30"/>
        <v>14.333333333333334</v>
      </c>
      <c r="M50" s="165">
        <f t="shared" si="30"/>
        <v>14.666666666666666</v>
      </c>
      <c r="N50" s="165">
        <f t="shared" si="30"/>
        <v>15</v>
      </c>
      <c r="O50" s="165">
        <f t="shared" si="30"/>
        <v>15.333333333333334</v>
      </c>
      <c r="P50" s="165">
        <f t="shared" si="30"/>
        <v>15.666666666666666</v>
      </c>
      <c r="Q50" s="165">
        <f t="shared" si="30"/>
        <v>16</v>
      </c>
      <c r="R50" s="165">
        <f t="shared" si="30"/>
        <v>16.333333333333336</v>
      </c>
      <c r="S50" s="165">
        <f t="shared" si="30"/>
        <v>16.666666666666664</v>
      </c>
      <c r="T50" s="165">
        <f t="shared" si="30"/>
        <v>17</v>
      </c>
      <c r="U50" s="165">
        <f t="shared" si="30"/>
        <v>17.333333333333336</v>
      </c>
      <c r="V50" s="165">
        <f t="shared" si="30"/>
        <v>17.666666666666664</v>
      </c>
      <c r="W50" s="165">
        <f t="shared" si="30"/>
        <v>18</v>
      </c>
      <c r="X50" s="165">
        <f t="shared" si="30"/>
        <v>18.333333333333336</v>
      </c>
      <c r="Y50" s="165">
        <f t="shared" si="30"/>
        <v>18.666666666666664</v>
      </c>
      <c r="Z50" s="165">
        <f t="shared" si="30"/>
        <v>19</v>
      </c>
      <c r="AA50" s="165">
        <f t="shared" si="30"/>
        <v>19.333333333333336</v>
      </c>
      <c r="AB50" s="165">
        <f t="shared" si="30"/>
        <v>19.666666666666664</v>
      </c>
      <c r="AC50" s="165">
        <f t="shared" si="30"/>
        <v>20</v>
      </c>
      <c r="AD50" s="165">
        <f t="shared" si="30"/>
        <v>20.333333333333332</v>
      </c>
      <c r="AE50" s="165">
        <f t="shared" si="30"/>
        <v>20.666666666666668</v>
      </c>
      <c r="AF50" s="165">
        <f t="shared" si="30"/>
        <v>21</v>
      </c>
      <c r="AG50" s="165">
        <f t="shared" si="30"/>
        <v>21.333333333333332</v>
      </c>
      <c r="AH50" s="165">
        <f t="shared" si="30"/>
        <v>21.666666666666668</v>
      </c>
      <c r="AI50" s="165">
        <f t="shared" si="30"/>
        <v>22</v>
      </c>
      <c r="AJ50" s="165">
        <f t="shared" si="30"/>
        <v>22.333333333333332</v>
      </c>
      <c r="AK50" s="165">
        <f t="shared" si="30"/>
        <v>22.666666666666668</v>
      </c>
      <c r="AL50" s="165">
        <f t="shared" si="30"/>
        <v>23</v>
      </c>
      <c r="AM50" s="165">
        <f t="shared" si="30"/>
        <v>23.333333333333332</v>
      </c>
      <c r="AN50" s="165">
        <f t="shared" si="30"/>
        <v>23.666666666666668</v>
      </c>
      <c r="AO50" s="165">
        <f t="shared" si="30"/>
        <v>24</v>
      </c>
      <c r="AP50" s="165">
        <f t="shared" si="30"/>
        <v>24.333333333333332</v>
      </c>
      <c r="AQ50" s="165">
        <f t="shared" si="30"/>
        <v>24.666666666666668</v>
      </c>
      <c r="AR50" s="165">
        <f t="shared" si="30"/>
        <v>25</v>
      </c>
      <c r="AS50" s="165">
        <f t="shared" si="30"/>
        <v>25.333333333333332</v>
      </c>
    </row>
    <row r="51" spans="2:45" ht="3" customHeight="1" outlineLevel="1" x14ac:dyDescent="0.15"/>
    <row r="52" spans="2:45" outlineLevel="1" x14ac:dyDescent="0.15">
      <c r="B52" s="338" t="s">
        <v>326</v>
      </c>
      <c r="C52" s="338"/>
      <c r="D52" s="338"/>
      <c r="E52" s="338"/>
      <c r="F52" s="338"/>
      <c r="H52" s="213" t="s">
        <v>324</v>
      </c>
      <c r="J52" s="214">
        <v>15</v>
      </c>
      <c r="K52" s="214">
        <v>15</v>
      </c>
      <c r="L52" s="214">
        <v>15</v>
      </c>
      <c r="M52" s="214">
        <v>15</v>
      </c>
      <c r="N52" s="214">
        <v>15</v>
      </c>
      <c r="O52" s="214">
        <v>15</v>
      </c>
      <c r="P52" s="214">
        <v>15</v>
      </c>
      <c r="Q52" s="214">
        <v>15</v>
      </c>
      <c r="R52" s="214">
        <v>15</v>
      </c>
      <c r="S52" s="214">
        <v>15</v>
      </c>
      <c r="T52" s="214">
        <v>15</v>
      </c>
      <c r="U52" s="214">
        <v>15</v>
      </c>
      <c r="V52" s="214">
        <v>15</v>
      </c>
      <c r="W52" s="214">
        <v>15</v>
      </c>
      <c r="X52" s="214">
        <v>15</v>
      </c>
      <c r="Y52" s="214">
        <v>15</v>
      </c>
      <c r="Z52" s="214">
        <v>15</v>
      </c>
      <c r="AA52" s="214">
        <v>15</v>
      </c>
      <c r="AB52" s="214">
        <v>15</v>
      </c>
      <c r="AC52" s="214">
        <v>15</v>
      </c>
      <c r="AD52" s="214">
        <v>15</v>
      </c>
      <c r="AE52" s="214">
        <v>15</v>
      </c>
      <c r="AF52" s="214">
        <v>15</v>
      </c>
      <c r="AG52" s="214">
        <v>15</v>
      </c>
      <c r="AH52" s="214">
        <v>15</v>
      </c>
      <c r="AI52" s="214">
        <v>15</v>
      </c>
      <c r="AJ52" s="214">
        <v>15</v>
      </c>
      <c r="AK52" s="214">
        <v>15</v>
      </c>
      <c r="AL52" s="214">
        <v>15</v>
      </c>
      <c r="AM52" s="214">
        <v>15</v>
      </c>
      <c r="AN52" s="214">
        <v>15</v>
      </c>
      <c r="AO52" s="214">
        <v>15</v>
      </c>
      <c r="AP52" s="214">
        <v>15</v>
      </c>
      <c r="AQ52" s="214">
        <v>15</v>
      </c>
      <c r="AR52" s="214">
        <v>15</v>
      </c>
      <c r="AS52" s="214">
        <v>15</v>
      </c>
    </row>
    <row r="53" spans="2:45" outlineLevel="1" x14ac:dyDescent="0.15">
      <c r="H53" s="213" t="s">
        <v>327</v>
      </c>
      <c r="J53" s="166">
        <f t="shared" ref="J53:AS53" si="31">J30</f>
        <v>165.40412903225806</v>
      </c>
      <c r="K53" s="166">
        <f t="shared" si="31"/>
        <v>304.47443599999997</v>
      </c>
      <c r="L53" s="166">
        <f t="shared" si="31"/>
        <v>316.88629677419357</v>
      </c>
      <c r="M53" s="166">
        <f t="shared" si="31"/>
        <v>388.09539999999998</v>
      </c>
      <c r="N53" s="166">
        <f t="shared" si="31"/>
        <v>131.3216438709677</v>
      </c>
      <c r="O53" s="166">
        <f t="shared" si="31"/>
        <v>288.30114193548383</v>
      </c>
      <c r="P53" s="166">
        <f t="shared" si="31"/>
        <v>314.85888</v>
      </c>
      <c r="Q53" s="166">
        <f t="shared" si="31"/>
        <v>312.10034709677421</v>
      </c>
      <c r="R53" s="166">
        <f t="shared" si="31"/>
        <v>235.16457066666669</v>
      </c>
      <c r="S53" s="166">
        <f t="shared" si="31"/>
        <v>287.18930709677414</v>
      </c>
      <c r="T53" s="166">
        <f t="shared" si="31"/>
        <v>281.38133333333337</v>
      </c>
      <c r="U53" s="166">
        <f t="shared" si="31"/>
        <v>253.27398193548385</v>
      </c>
      <c r="V53" s="166">
        <f t="shared" si="31"/>
        <v>221.49770322580648</v>
      </c>
      <c r="W53" s="166">
        <f t="shared" si="31"/>
        <v>422.335508</v>
      </c>
      <c r="X53" s="166">
        <f t="shared" si="31"/>
        <v>455.52405161290318</v>
      </c>
      <c r="Y53" s="166">
        <f t="shared" si="31"/>
        <v>505.16549999999995</v>
      </c>
      <c r="Z53" s="166">
        <f t="shared" si="31"/>
        <v>186.13095741935481</v>
      </c>
      <c r="AA53" s="166">
        <f t="shared" si="31"/>
        <v>387.14724774193547</v>
      </c>
      <c r="AB53" s="166">
        <f t="shared" si="31"/>
        <v>399.82079999999996</v>
      </c>
      <c r="AC53" s="166">
        <f t="shared" si="31"/>
        <v>413.32208129032261</v>
      </c>
      <c r="AD53" s="166">
        <f t="shared" si="31"/>
        <v>309.42706666666669</v>
      </c>
      <c r="AE53" s="166">
        <f t="shared" si="31"/>
        <v>359.22675870967743</v>
      </c>
      <c r="AF53" s="166">
        <f t="shared" si="31"/>
        <v>384.08552000000003</v>
      </c>
      <c r="AG53" s="166">
        <f t="shared" si="31"/>
        <v>327.40295225806443</v>
      </c>
      <c r="AH53" s="166">
        <f t="shared" si="31"/>
        <v>271.83809032258068</v>
      </c>
      <c r="AI53" s="166">
        <f t="shared" si="31"/>
        <v>565.92022666666674</v>
      </c>
      <c r="AJ53" s="166">
        <f t="shared" si="31"/>
        <v>579.7578838709677</v>
      </c>
      <c r="AK53" s="166">
        <f t="shared" si="31"/>
        <v>576</v>
      </c>
      <c r="AL53" s="166">
        <f t="shared" si="31"/>
        <v>245.35444387096766</v>
      </c>
      <c r="AM53" s="166">
        <f t="shared" si="31"/>
        <v>464.86320774193553</v>
      </c>
      <c r="AN53" s="166">
        <f t="shared" si="31"/>
        <v>499.77599999999995</v>
      </c>
      <c r="AO53" s="166">
        <f t="shared" si="31"/>
        <v>539.04590193548393</v>
      </c>
      <c r="AP53" s="166">
        <f t="shared" si="31"/>
        <v>383.68956266666669</v>
      </c>
      <c r="AQ53" s="166">
        <f t="shared" si="31"/>
        <v>423.58021548387097</v>
      </c>
      <c r="AR53" s="166">
        <f t="shared" si="31"/>
        <v>495.23114666666675</v>
      </c>
      <c r="AS53" s="166">
        <f t="shared" si="31"/>
        <v>401.53192258064513</v>
      </c>
    </row>
    <row r="54" spans="2:45" ht="3" customHeight="1" outlineLevel="1" x14ac:dyDescent="0.15"/>
    <row r="55" spans="2:45" outlineLevel="1" x14ac:dyDescent="0.15">
      <c r="B55" s="338" t="s">
        <v>328</v>
      </c>
      <c r="C55" s="338"/>
      <c r="D55" s="338"/>
      <c r="E55" s="338"/>
      <c r="F55" s="338"/>
      <c r="H55" s="213" t="s">
        <v>329</v>
      </c>
      <c r="J55" s="214">
        <v>40</v>
      </c>
      <c r="K55" s="214">
        <v>40</v>
      </c>
      <c r="L55" s="214">
        <v>40</v>
      </c>
      <c r="M55" s="214">
        <v>40</v>
      </c>
      <c r="N55" s="214">
        <v>40</v>
      </c>
      <c r="O55" s="214">
        <v>40</v>
      </c>
      <c r="P55" s="214">
        <v>40</v>
      </c>
      <c r="Q55" s="214">
        <v>40</v>
      </c>
      <c r="R55" s="214">
        <v>40</v>
      </c>
      <c r="S55" s="214">
        <v>40</v>
      </c>
      <c r="T55" s="214">
        <v>40</v>
      </c>
      <c r="U55" s="214">
        <v>40</v>
      </c>
      <c r="V55" s="214">
        <v>40</v>
      </c>
      <c r="W55" s="214">
        <v>40</v>
      </c>
      <c r="X55" s="214">
        <v>40</v>
      </c>
      <c r="Y55" s="214">
        <v>40</v>
      </c>
      <c r="Z55" s="214">
        <v>40</v>
      </c>
      <c r="AA55" s="214">
        <v>40</v>
      </c>
      <c r="AB55" s="214">
        <v>40</v>
      </c>
      <c r="AC55" s="214">
        <v>40</v>
      </c>
      <c r="AD55" s="214">
        <v>40</v>
      </c>
      <c r="AE55" s="214">
        <v>40</v>
      </c>
      <c r="AF55" s="214">
        <v>40</v>
      </c>
      <c r="AG55" s="214">
        <v>40</v>
      </c>
      <c r="AH55" s="214">
        <v>40</v>
      </c>
      <c r="AI55" s="214">
        <v>40</v>
      </c>
      <c r="AJ55" s="214">
        <v>40</v>
      </c>
      <c r="AK55" s="214">
        <v>40</v>
      </c>
      <c r="AL55" s="214">
        <v>40</v>
      </c>
      <c r="AM55" s="214">
        <v>40</v>
      </c>
      <c r="AN55" s="214">
        <v>40</v>
      </c>
      <c r="AO55" s="214">
        <v>40</v>
      </c>
      <c r="AP55" s="214">
        <v>40</v>
      </c>
      <c r="AQ55" s="214">
        <v>40</v>
      </c>
      <c r="AR55" s="214">
        <v>40</v>
      </c>
      <c r="AS55" s="214">
        <v>40</v>
      </c>
    </row>
    <row r="56" spans="2:45" outlineLevel="1" x14ac:dyDescent="0.15">
      <c r="H56" s="213" t="s">
        <v>330</v>
      </c>
      <c r="J56" s="165">
        <v>10</v>
      </c>
      <c r="K56" s="165">
        <v>10</v>
      </c>
      <c r="L56" s="165">
        <v>10</v>
      </c>
      <c r="M56" s="165">
        <v>10</v>
      </c>
      <c r="N56" s="165">
        <v>10</v>
      </c>
      <c r="O56" s="165">
        <v>10</v>
      </c>
      <c r="P56" s="165">
        <v>20</v>
      </c>
      <c r="Q56" s="165">
        <v>20</v>
      </c>
      <c r="R56" s="165">
        <v>20</v>
      </c>
      <c r="S56" s="165">
        <v>20</v>
      </c>
      <c r="T56" s="165">
        <v>20</v>
      </c>
      <c r="U56" s="165">
        <v>20</v>
      </c>
      <c r="V56" s="165">
        <v>20</v>
      </c>
      <c r="W56" s="165">
        <v>20</v>
      </c>
      <c r="X56" s="165">
        <v>20</v>
      </c>
      <c r="Y56" s="165">
        <v>20</v>
      </c>
      <c r="Z56" s="165">
        <v>20</v>
      </c>
      <c r="AA56" s="165">
        <v>20</v>
      </c>
      <c r="AB56" s="165">
        <v>30</v>
      </c>
      <c r="AC56" s="165">
        <v>30</v>
      </c>
      <c r="AD56" s="165">
        <v>30</v>
      </c>
      <c r="AE56" s="165">
        <v>30</v>
      </c>
      <c r="AF56" s="165">
        <v>30</v>
      </c>
      <c r="AG56" s="165">
        <v>30</v>
      </c>
      <c r="AH56" s="165">
        <v>30</v>
      </c>
      <c r="AI56" s="165">
        <v>30</v>
      </c>
      <c r="AJ56" s="165">
        <v>30</v>
      </c>
      <c r="AK56" s="165">
        <v>30</v>
      </c>
      <c r="AL56" s="165">
        <v>30</v>
      </c>
      <c r="AM56" s="165">
        <v>30</v>
      </c>
      <c r="AN56" s="165">
        <v>30</v>
      </c>
      <c r="AO56" s="165">
        <v>30</v>
      </c>
      <c r="AP56" s="165">
        <v>30</v>
      </c>
      <c r="AQ56" s="165">
        <v>30</v>
      </c>
      <c r="AR56" s="165">
        <v>30</v>
      </c>
      <c r="AS56" s="165">
        <v>30</v>
      </c>
    </row>
    <row r="57" spans="2:45" ht="3" customHeight="1" outlineLevel="1" x14ac:dyDescent="0.15"/>
    <row r="58" spans="2:45" outlineLevel="1" x14ac:dyDescent="0.15">
      <c r="B58" s="338" t="s">
        <v>331</v>
      </c>
      <c r="C58" s="338"/>
      <c r="D58" s="338"/>
      <c r="E58" s="338"/>
      <c r="F58" s="338"/>
      <c r="H58" s="213" t="s">
        <v>329</v>
      </c>
      <c r="J58" s="214">
        <v>5</v>
      </c>
      <c r="K58" s="214">
        <v>5</v>
      </c>
      <c r="L58" s="214">
        <v>5</v>
      </c>
      <c r="M58" s="214">
        <v>5</v>
      </c>
      <c r="N58" s="214">
        <v>5</v>
      </c>
      <c r="O58" s="214">
        <v>5</v>
      </c>
      <c r="P58" s="214">
        <v>5</v>
      </c>
      <c r="Q58" s="214">
        <v>5</v>
      </c>
      <c r="R58" s="214">
        <v>5</v>
      </c>
      <c r="S58" s="214">
        <v>5</v>
      </c>
      <c r="T58" s="214">
        <v>5</v>
      </c>
      <c r="U58" s="214">
        <v>5</v>
      </c>
      <c r="V58" s="214">
        <v>5</v>
      </c>
      <c r="W58" s="214">
        <v>5</v>
      </c>
      <c r="X58" s="214">
        <v>5</v>
      </c>
      <c r="Y58" s="214">
        <v>5</v>
      </c>
      <c r="Z58" s="214">
        <v>5</v>
      </c>
      <c r="AA58" s="214">
        <v>5</v>
      </c>
      <c r="AB58" s="214">
        <v>5</v>
      </c>
      <c r="AC58" s="214">
        <v>5</v>
      </c>
      <c r="AD58" s="214">
        <v>5</v>
      </c>
      <c r="AE58" s="214">
        <v>5</v>
      </c>
      <c r="AF58" s="214">
        <v>5</v>
      </c>
      <c r="AG58" s="214">
        <v>5</v>
      </c>
      <c r="AH58" s="214">
        <v>5</v>
      </c>
      <c r="AI58" s="214">
        <v>5</v>
      </c>
      <c r="AJ58" s="214">
        <v>5</v>
      </c>
      <c r="AK58" s="214">
        <v>5</v>
      </c>
      <c r="AL58" s="214">
        <v>5</v>
      </c>
      <c r="AM58" s="214">
        <v>5</v>
      </c>
      <c r="AN58" s="214">
        <v>5</v>
      </c>
      <c r="AO58" s="214">
        <v>5</v>
      </c>
      <c r="AP58" s="214">
        <v>5</v>
      </c>
      <c r="AQ58" s="214">
        <v>5</v>
      </c>
      <c r="AR58" s="214">
        <v>5</v>
      </c>
      <c r="AS58" s="214">
        <v>5</v>
      </c>
    </row>
    <row r="59" spans="2:45" outlineLevel="1" x14ac:dyDescent="0.15">
      <c r="H59" s="213" t="s">
        <v>330</v>
      </c>
      <c r="J59" s="165">
        <v>8</v>
      </c>
      <c r="K59" s="165">
        <v>8</v>
      </c>
      <c r="L59" s="165">
        <v>8</v>
      </c>
      <c r="M59" s="165">
        <v>8</v>
      </c>
      <c r="N59" s="165">
        <v>8</v>
      </c>
      <c r="O59" s="165">
        <v>8</v>
      </c>
      <c r="P59" s="165">
        <v>8</v>
      </c>
      <c r="Q59" s="165">
        <v>8</v>
      </c>
      <c r="R59" s="165">
        <v>8</v>
      </c>
      <c r="S59" s="165">
        <v>8</v>
      </c>
      <c r="T59" s="165">
        <v>8</v>
      </c>
      <c r="U59" s="165">
        <v>8</v>
      </c>
      <c r="V59" s="165">
        <v>8</v>
      </c>
      <c r="W59" s="165">
        <v>8</v>
      </c>
      <c r="X59" s="165">
        <v>8</v>
      </c>
      <c r="Y59" s="165">
        <v>8</v>
      </c>
      <c r="Z59" s="165">
        <v>8</v>
      </c>
      <c r="AA59" s="165">
        <v>8</v>
      </c>
      <c r="AB59" s="165">
        <v>8</v>
      </c>
      <c r="AC59" s="165">
        <v>8</v>
      </c>
      <c r="AD59" s="165">
        <v>8</v>
      </c>
      <c r="AE59" s="165">
        <v>8</v>
      </c>
      <c r="AF59" s="165">
        <v>8</v>
      </c>
      <c r="AG59" s="165">
        <v>8</v>
      </c>
      <c r="AH59" s="165">
        <v>8</v>
      </c>
      <c r="AI59" s="165">
        <v>8</v>
      </c>
      <c r="AJ59" s="165">
        <v>8</v>
      </c>
      <c r="AK59" s="165">
        <v>8</v>
      </c>
      <c r="AL59" s="165">
        <v>8</v>
      </c>
      <c r="AM59" s="165">
        <v>8</v>
      </c>
      <c r="AN59" s="165">
        <v>8</v>
      </c>
      <c r="AO59" s="165">
        <v>8</v>
      </c>
      <c r="AP59" s="165">
        <v>8</v>
      </c>
      <c r="AQ59" s="165">
        <v>8</v>
      </c>
      <c r="AR59" s="165">
        <v>8</v>
      </c>
      <c r="AS59" s="165">
        <v>8</v>
      </c>
    </row>
    <row r="60" spans="2:45" ht="3" customHeight="1" outlineLevel="1" x14ac:dyDescent="0.15"/>
    <row r="61" spans="2:45" outlineLevel="1" x14ac:dyDescent="0.15">
      <c r="B61" s="338" t="s">
        <v>332</v>
      </c>
      <c r="C61" s="338"/>
      <c r="D61" s="338"/>
      <c r="E61" s="338"/>
      <c r="F61" s="338"/>
      <c r="H61" s="80" t="s">
        <v>333</v>
      </c>
      <c r="J61" s="166">
        <f t="shared" ref="J61:AS61" si="32">J22/1.2</f>
        <v>100</v>
      </c>
      <c r="K61" s="166">
        <f t="shared" si="32"/>
        <v>103.33333333333334</v>
      </c>
      <c r="L61" s="166">
        <f t="shared" si="32"/>
        <v>106.66666666666667</v>
      </c>
      <c r="M61" s="166">
        <f t="shared" si="32"/>
        <v>110</v>
      </c>
      <c r="N61" s="166">
        <f t="shared" si="32"/>
        <v>113.33333333333334</v>
      </c>
      <c r="O61" s="166">
        <f t="shared" si="32"/>
        <v>116.66666666666667</v>
      </c>
      <c r="P61" s="166">
        <f t="shared" si="32"/>
        <v>120</v>
      </c>
      <c r="Q61" s="166">
        <f t="shared" si="32"/>
        <v>123.33333333333334</v>
      </c>
      <c r="R61" s="166">
        <f t="shared" si="32"/>
        <v>126.66666666666667</v>
      </c>
      <c r="S61" s="166">
        <f t="shared" si="32"/>
        <v>130</v>
      </c>
      <c r="T61" s="166">
        <f t="shared" si="32"/>
        <v>133.33333333333334</v>
      </c>
      <c r="U61" s="166">
        <f t="shared" si="32"/>
        <v>136.66666666666669</v>
      </c>
      <c r="V61" s="166">
        <f t="shared" si="32"/>
        <v>140</v>
      </c>
      <c r="W61" s="166">
        <f t="shared" si="32"/>
        <v>143.33333333333334</v>
      </c>
      <c r="X61" s="166">
        <f t="shared" si="32"/>
        <v>146.66666666666669</v>
      </c>
      <c r="Y61" s="166">
        <f t="shared" si="32"/>
        <v>150</v>
      </c>
      <c r="Z61" s="166">
        <f t="shared" si="32"/>
        <v>153.33333333333334</v>
      </c>
      <c r="AA61" s="166">
        <f t="shared" si="32"/>
        <v>156.66666666666669</v>
      </c>
      <c r="AB61" s="166">
        <f t="shared" si="32"/>
        <v>160</v>
      </c>
      <c r="AC61" s="166">
        <f t="shared" si="32"/>
        <v>163.33333333333334</v>
      </c>
      <c r="AD61" s="166">
        <f t="shared" si="32"/>
        <v>166.66666666666669</v>
      </c>
      <c r="AE61" s="166">
        <f t="shared" si="32"/>
        <v>170</v>
      </c>
      <c r="AF61" s="166">
        <f t="shared" si="32"/>
        <v>173.33333333333334</v>
      </c>
      <c r="AG61" s="166">
        <f t="shared" si="32"/>
        <v>176.66666666666669</v>
      </c>
      <c r="AH61" s="166">
        <f t="shared" si="32"/>
        <v>180</v>
      </c>
      <c r="AI61" s="166">
        <f t="shared" si="32"/>
        <v>183.33333333333334</v>
      </c>
      <c r="AJ61" s="166">
        <f t="shared" si="32"/>
        <v>186.66666666666669</v>
      </c>
      <c r="AK61" s="166">
        <f t="shared" si="32"/>
        <v>190</v>
      </c>
      <c r="AL61" s="166">
        <f t="shared" si="32"/>
        <v>193.33333333333334</v>
      </c>
      <c r="AM61" s="166">
        <f t="shared" si="32"/>
        <v>196.66666666666669</v>
      </c>
      <c r="AN61" s="166">
        <f t="shared" si="32"/>
        <v>200</v>
      </c>
      <c r="AO61" s="166">
        <f t="shared" si="32"/>
        <v>203.33333333333334</v>
      </c>
      <c r="AP61" s="166">
        <f t="shared" si="32"/>
        <v>206.66666666666669</v>
      </c>
      <c r="AQ61" s="166">
        <f t="shared" si="32"/>
        <v>210</v>
      </c>
      <c r="AR61" s="166">
        <f t="shared" si="32"/>
        <v>213.33333333333334</v>
      </c>
      <c r="AS61" s="166">
        <f t="shared" si="32"/>
        <v>216.66666666666669</v>
      </c>
    </row>
    <row r="62" spans="2:45" ht="3" customHeight="1" outlineLevel="1" x14ac:dyDescent="0.15"/>
    <row r="63" spans="2:45" ht="3" customHeight="1" outlineLevel="1" x14ac:dyDescent="0.15"/>
    <row r="64" spans="2:45" outlineLevel="1" x14ac:dyDescent="0.15">
      <c r="B64" s="16" t="str">
        <f>B48</f>
        <v>Revenue</v>
      </c>
      <c r="H64" s="155" t="s">
        <v>247</v>
      </c>
    </row>
    <row r="65" spans="2:45" outlineLevel="1" x14ac:dyDescent="0.15">
      <c r="B65" s="107" t="str">
        <f>B49</f>
        <v>Membership Fees</v>
      </c>
      <c r="H65" s="223">
        <f>Scenarios!I44</f>
        <v>0</v>
      </c>
      <c r="J65" s="17">
        <f t="shared" ref="J65:AS65" si="33">J49*J50/Ts_Denom_Conv_Fact+$H65</f>
        <v>350</v>
      </c>
      <c r="K65" s="17">
        <f t="shared" si="33"/>
        <v>350</v>
      </c>
      <c r="L65" s="17">
        <f t="shared" si="33"/>
        <v>358.33333333333337</v>
      </c>
      <c r="M65" s="17">
        <f t="shared" si="33"/>
        <v>366.66666666666663</v>
      </c>
      <c r="N65" s="17">
        <f t="shared" si="33"/>
        <v>375</v>
      </c>
      <c r="O65" s="17">
        <f t="shared" si="33"/>
        <v>383.33333333333337</v>
      </c>
      <c r="P65" s="17">
        <f t="shared" si="33"/>
        <v>391.66666666666663</v>
      </c>
      <c r="Q65" s="17">
        <f t="shared" si="33"/>
        <v>400</v>
      </c>
      <c r="R65" s="17">
        <f t="shared" si="33"/>
        <v>408.33333333333337</v>
      </c>
      <c r="S65" s="17">
        <f t="shared" si="33"/>
        <v>416.66666666666663</v>
      </c>
      <c r="T65" s="17">
        <f t="shared" si="33"/>
        <v>425</v>
      </c>
      <c r="U65" s="17">
        <f t="shared" si="33"/>
        <v>433.33333333333337</v>
      </c>
      <c r="V65" s="17">
        <f t="shared" si="33"/>
        <v>441.66666666666663</v>
      </c>
      <c r="W65" s="17">
        <f t="shared" si="33"/>
        <v>450</v>
      </c>
      <c r="X65" s="17">
        <f t="shared" si="33"/>
        <v>458.33333333333337</v>
      </c>
      <c r="Y65" s="17">
        <f t="shared" si="33"/>
        <v>466.66666666666663</v>
      </c>
      <c r="Z65" s="17">
        <f t="shared" si="33"/>
        <v>475</v>
      </c>
      <c r="AA65" s="17">
        <f t="shared" si="33"/>
        <v>483.33333333333337</v>
      </c>
      <c r="AB65" s="17">
        <f t="shared" si="33"/>
        <v>491.66666666666663</v>
      </c>
      <c r="AC65" s="17">
        <f t="shared" si="33"/>
        <v>500</v>
      </c>
      <c r="AD65" s="17">
        <f t="shared" si="33"/>
        <v>508.33333333333331</v>
      </c>
      <c r="AE65" s="17">
        <f t="shared" si="33"/>
        <v>516.66666666666674</v>
      </c>
      <c r="AF65" s="17">
        <f t="shared" si="33"/>
        <v>525</v>
      </c>
      <c r="AG65" s="17">
        <f t="shared" si="33"/>
        <v>533.33333333333326</v>
      </c>
      <c r="AH65" s="17">
        <f t="shared" si="33"/>
        <v>541.66666666666674</v>
      </c>
      <c r="AI65" s="17">
        <f t="shared" si="33"/>
        <v>550</v>
      </c>
      <c r="AJ65" s="17">
        <f t="shared" si="33"/>
        <v>558.33333333333326</v>
      </c>
      <c r="AK65" s="17">
        <f t="shared" si="33"/>
        <v>566.66666666666674</v>
      </c>
      <c r="AL65" s="17">
        <f t="shared" si="33"/>
        <v>575</v>
      </c>
      <c r="AM65" s="17">
        <f t="shared" si="33"/>
        <v>583.33333333333326</v>
      </c>
      <c r="AN65" s="17">
        <f t="shared" si="33"/>
        <v>591.66666666666674</v>
      </c>
      <c r="AO65" s="17">
        <f t="shared" si="33"/>
        <v>600</v>
      </c>
      <c r="AP65" s="17">
        <f t="shared" si="33"/>
        <v>608.33333333333326</v>
      </c>
      <c r="AQ65" s="17">
        <f t="shared" si="33"/>
        <v>616.66666666666674</v>
      </c>
      <c r="AR65" s="17">
        <f t="shared" si="33"/>
        <v>625</v>
      </c>
      <c r="AS65" s="17">
        <f t="shared" si="33"/>
        <v>633.33333333333326</v>
      </c>
    </row>
    <row r="66" spans="2:45" outlineLevel="1" x14ac:dyDescent="0.15">
      <c r="B66" s="107" t="str">
        <f>B52</f>
        <v>PAYG Fencing</v>
      </c>
      <c r="J66" s="17">
        <f t="shared" ref="J66:AS66" si="34">J52*J53/Ts_Denom_Conv_Fact</f>
        <v>2481.0619354838709</v>
      </c>
      <c r="K66" s="17">
        <f t="shared" si="34"/>
        <v>4567.1165399999991</v>
      </c>
      <c r="L66" s="17">
        <f t="shared" si="34"/>
        <v>4753.2944516129037</v>
      </c>
      <c r="M66" s="17">
        <f t="shared" si="34"/>
        <v>5821.4309999999996</v>
      </c>
      <c r="N66" s="17">
        <f t="shared" si="34"/>
        <v>1969.8246580645155</v>
      </c>
      <c r="O66" s="17">
        <f t="shared" si="34"/>
        <v>4324.5171290322578</v>
      </c>
      <c r="P66" s="17">
        <f t="shared" si="34"/>
        <v>4722.8832000000002</v>
      </c>
      <c r="Q66" s="17">
        <f t="shared" si="34"/>
        <v>4681.505206451613</v>
      </c>
      <c r="R66" s="17">
        <f t="shared" si="34"/>
        <v>3527.4685600000003</v>
      </c>
      <c r="S66" s="17">
        <f t="shared" si="34"/>
        <v>4307.8396064516119</v>
      </c>
      <c r="T66" s="17">
        <f t="shared" si="34"/>
        <v>4220.72</v>
      </c>
      <c r="U66" s="17">
        <f t="shared" si="34"/>
        <v>3799.1097290322577</v>
      </c>
      <c r="V66" s="17">
        <f t="shared" si="34"/>
        <v>3322.465548387097</v>
      </c>
      <c r="W66" s="17">
        <f t="shared" si="34"/>
        <v>6335.03262</v>
      </c>
      <c r="X66" s="17">
        <f t="shared" si="34"/>
        <v>6832.8607741935475</v>
      </c>
      <c r="Y66" s="17">
        <f t="shared" si="34"/>
        <v>7577.4824999999992</v>
      </c>
      <c r="Z66" s="17">
        <f t="shared" si="34"/>
        <v>2791.9643612903224</v>
      </c>
      <c r="AA66" s="17">
        <f t="shared" si="34"/>
        <v>5807.2087161290319</v>
      </c>
      <c r="AB66" s="17">
        <f t="shared" si="34"/>
        <v>5997.3119999999999</v>
      </c>
      <c r="AC66" s="17">
        <f t="shared" si="34"/>
        <v>6199.831219354839</v>
      </c>
      <c r="AD66" s="17">
        <f t="shared" si="34"/>
        <v>4641.4059999999999</v>
      </c>
      <c r="AE66" s="17">
        <f t="shared" si="34"/>
        <v>5388.4013806451612</v>
      </c>
      <c r="AF66" s="17">
        <f t="shared" si="34"/>
        <v>5761.2828000000009</v>
      </c>
      <c r="AG66" s="17">
        <f t="shared" si="34"/>
        <v>4911.0442838709669</v>
      </c>
      <c r="AH66" s="17">
        <f t="shared" si="34"/>
        <v>4077.5713548387102</v>
      </c>
      <c r="AI66" s="17">
        <f t="shared" si="34"/>
        <v>8488.8034000000007</v>
      </c>
      <c r="AJ66" s="17">
        <f t="shared" si="34"/>
        <v>8696.3682580645163</v>
      </c>
      <c r="AK66" s="17">
        <f t="shared" si="34"/>
        <v>8640</v>
      </c>
      <c r="AL66" s="17">
        <f t="shared" si="34"/>
        <v>3680.3166580645147</v>
      </c>
      <c r="AM66" s="17">
        <f t="shared" si="34"/>
        <v>6972.9481161290332</v>
      </c>
      <c r="AN66" s="17">
        <f t="shared" si="34"/>
        <v>7496.6399999999994</v>
      </c>
      <c r="AO66" s="17">
        <f t="shared" si="34"/>
        <v>8085.6885290322589</v>
      </c>
      <c r="AP66" s="17">
        <f t="shared" si="34"/>
        <v>5755.3434400000006</v>
      </c>
      <c r="AQ66" s="17">
        <f t="shared" si="34"/>
        <v>6353.7032322580644</v>
      </c>
      <c r="AR66" s="17">
        <f t="shared" si="34"/>
        <v>7428.467200000001</v>
      </c>
      <c r="AS66" s="17">
        <f t="shared" si="34"/>
        <v>6022.9788387096769</v>
      </c>
    </row>
    <row r="67" spans="2:45" outlineLevel="1" x14ac:dyDescent="0.15">
      <c r="B67" s="107" t="str">
        <f>B55</f>
        <v>Private Hire</v>
      </c>
      <c r="H67" s="223">
        <f>Scenarios!I47</f>
        <v>0</v>
      </c>
      <c r="J67" s="17">
        <f t="shared" ref="J67:AS67" si="35">J55*J56/Ts_Denom_Conv_Fact+$H67</f>
        <v>400</v>
      </c>
      <c r="K67" s="17">
        <f t="shared" si="35"/>
        <v>400</v>
      </c>
      <c r="L67" s="17">
        <f t="shared" si="35"/>
        <v>400</v>
      </c>
      <c r="M67" s="17">
        <f t="shared" si="35"/>
        <v>400</v>
      </c>
      <c r="N67" s="17">
        <f t="shared" si="35"/>
        <v>400</v>
      </c>
      <c r="O67" s="17">
        <f t="shared" si="35"/>
        <v>400</v>
      </c>
      <c r="P67" s="17">
        <f t="shared" si="35"/>
        <v>800</v>
      </c>
      <c r="Q67" s="17">
        <f t="shared" si="35"/>
        <v>800</v>
      </c>
      <c r="R67" s="17">
        <f t="shared" si="35"/>
        <v>800</v>
      </c>
      <c r="S67" s="17">
        <f t="shared" si="35"/>
        <v>800</v>
      </c>
      <c r="T67" s="17">
        <f t="shared" si="35"/>
        <v>800</v>
      </c>
      <c r="U67" s="17">
        <f t="shared" si="35"/>
        <v>800</v>
      </c>
      <c r="V67" s="17">
        <f t="shared" si="35"/>
        <v>800</v>
      </c>
      <c r="W67" s="17">
        <f t="shared" si="35"/>
        <v>800</v>
      </c>
      <c r="X67" s="17">
        <f t="shared" si="35"/>
        <v>800</v>
      </c>
      <c r="Y67" s="17">
        <f t="shared" si="35"/>
        <v>800</v>
      </c>
      <c r="Z67" s="17">
        <f t="shared" si="35"/>
        <v>800</v>
      </c>
      <c r="AA67" s="17">
        <f t="shared" si="35"/>
        <v>800</v>
      </c>
      <c r="AB67" s="17">
        <f t="shared" si="35"/>
        <v>1200</v>
      </c>
      <c r="AC67" s="17">
        <f t="shared" si="35"/>
        <v>1200</v>
      </c>
      <c r="AD67" s="17">
        <f t="shared" si="35"/>
        <v>1200</v>
      </c>
      <c r="AE67" s="17">
        <f t="shared" si="35"/>
        <v>1200</v>
      </c>
      <c r="AF67" s="17">
        <f t="shared" si="35"/>
        <v>1200</v>
      </c>
      <c r="AG67" s="17">
        <f t="shared" si="35"/>
        <v>1200</v>
      </c>
      <c r="AH67" s="17">
        <f t="shared" si="35"/>
        <v>1200</v>
      </c>
      <c r="AI67" s="17">
        <f t="shared" si="35"/>
        <v>1200</v>
      </c>
      <c r="AJ67" s="17">
        <f t="shared" si="35"/>
        <v>1200</v>
      </c>
      <c r="AK67" s="17">
        <f t="shared" si="35"/>
        <v>1200</v>
      </c>
      <c r="AL67" s="17">
        <f t="shared" si="35"/>
        <v>1200</v>
      </c>
      <c r="AM67" s="17">
        <f t="shared" si="35"/>
        <v>1200</v>
      </c>
      <c r="AN67" s="17">
        <f t="shared" si="35"/>
        <v>1200</v>
      </c>
      <c r="AO67" s="17">
        <f t="shared" si="35"/>
        <v>1200</v>
      </c>
      <c r="AP67" s="17">
        <f t="shared" si="35"/>
        <v>1200</v>
      </c>
      <c r="AQ67" s="17">
        <f t="shared" si="35"/>
        <v>1200</v>
      </c>
      <c r="AR67" s="17">
        <f t="shared" si="35"/>
        <v>1200</v>
      </c>
      <c r="AS67" s="17">
        <f t="shared" si="35"/>
        <v>1200</v>
      </c>
    </row>
    <row r="68" spans="2:45" outlineLevel="1" x14ac:dyDescent="0.15">
      <c r="B68" s="107" t="str">
        <f>B58</f>
        <v>Book a Piste</v>
      </c>
      <c r="H68" s="224">
        <f>Scenarios!I50</f>
        <v>0</v>
      </c>
      <c r="J68" s="17">
        <f t="shared" ref="J68:AS68" si="36">J58*J59/Ts_Denom_Conv_Fact+$H68</f>
        <v>40</v>
      </c>
      <c r="K68" s="17">
        <f t="shared" si="36"/>
        <v>40</v>
      </c>
      <c r="L68" s="17">
        <f t="shared" si="36"/>
        <v>40</v>
      </c>
      <c r="M68" s="17">
        <f t="shared" si="36"/>
        <v>40</v>
      </c>
      <c r="N68" s="17">
        <f t="shared" si="36"/>
        <v>40</v>
      </c>
      <c r="O68" s="17">
        <f t="shared" si="36"/>
        <v>40</v>
      </c>
      <c r="P68" s="17">
        <f t="shared" si="36"/>
        <v>40</v>
      </c>
      <c r="Q68" s="17">
        <f t="shared" si="36"/>
        <v>40</v>
      </c>
      <c r="R68" s="17">
        <f t="shared" si="36"/>
        <v>40</v>
      </c>
      <c r="S68" s="17">
        <f t="shared" si="36"/>
        <v>40</v>
      </c>
      <c r="T68" s="17">
        <f t="shared" si="36"/>
        <v>40</v>
      </c>
      <c r="U68" s="17">
        <f t="shared" si="36"/>
        <v>40</v>
      </c>
      <c r="V68" s="17">
        <f t="shared" si="36"/>
        <v>40</v>
      </c>
      <c r="W68" s="17">
        <f t="shared" si="36"/>
        <v>40</v>
      </c>
      <c r="X68" s="17">
        <f t="shared" si="36"/>
        <v>40</v>
      </c>
      <c r="Y68" s="17">
        <f t="shared" si="36"/>
        <v>40</v>
      </c>
      <c r="Z68" s="17">
        <f t="shared" si="36"/>
        <v>40</v>
      </c>
      <c r="AA68" s="17">
        <f t="shared" si="36"/>
        <v>40</v>
      </c>
      <c r="AB68" s="17">
        <f t="shared" si="36"/>
        <v>40</v>
      </c>
      <c r="AC68" s="17">
        <f t="shared" si="36"/>
        <v>40</v>
      </c>
      <c r="AD68" s="17">
        <f t="shared" si="36"/>
        <v>40</v>
      </c>
      <c r="AE68" s="17">
        <f t="shared" si="36"/>
        <v>40</v>
      </c>
      <c r="AF68" s="17">
        <f t="shared" si="36"/>
        <v>40</v>
      </c>
      <c r="AG68" s="17">
        <f t="shared" si="36"/>
        <v>40</v>
      </c>
      <c r="AH68" s="17">
        <f t="shared" si="36"/>
        <v>40</v>
      </c>
      <c r="AI68" s="17">
        <f t="shared" si="36"/>
        <v>40</v>
      </c>
      <c r="AJ68" s="17">
        <f t="shared" si="36"/>
        <v>40</v>
      </c>
      <c r="AK68" s="17">
        <f t="shared" si="36"/>
        <v>40</v>
      </c>
      <c r="AL68" s="17">
        <f t="shared" si="36"/>
        <v>40</v>
      </c>
      <c r="AM68" s="17">
        <f t="shared" si="36"/>
        <v>40</v>
      </c>
      <c r="AN68" s="17">
        <f t="shared" si="36"/>
        <v>40</v>
      </c>
      <c r="AO68" s="17">
        <f t="shared" si="36"/>
        <v>40</v>
      </c>
      <c r="AP68" s="17">
        <f t="shared" si="36"/>
        <v>40</v>
      </c>
      <c r="AQ68" s="17">
        <f t="shared" si="36"/>
        <v>40</v>
      </c>
      <c r="AR68" s="17">
        <f t="shared" si="36"/>
        <v>40</v>
      </c>
      <c r="AS68" s="17">
        <f t="shared" si="36"/>
        <v>40</v>
      </c>
    </row>
    <row r="69" spans="2:45" outlineLevel="1" x14ac:dyDescent="0.15">
      <c r="B69" s="107" t="str">
        <f>B61</f>
        <v>Merch Sales</v>
      </c>
      <c r="H69" s="157">
        <f>Scenarios!I53</f>
        <v>0</v>
      </c>
      <c r="J69" s="17">
        <f t="shared" ref="J69:AS69" si="37">J61*(1+$H69)</f>
        <v>100</v>
      </c>
      <c r="K69" s="17">
        <f t="shared" si="37"/>
        <v>103.33333333333334</v>
      </c>
      <c r="L69" s="17">
        <f t="shared" si="37"/>
        <v>106.66666666666667</v>
      </c>
      <c r="M69" s="17">
        <f t="shared" si="37"/>
        <v>110</v>
      </c>
      <c r="N69" s="17">
        <f t="shared" si="37"/>
        <v>113.33333333333334</v>
      </c>
      <c r="O69" s="17">
        <f t="shared" si="37"/>
        <v>116.66666666666667</v>
      </c>
      <c r="P69" s="17">
        <f t="shared" si="37"/>
        <v>120</v>
      </c>
      <c r="Q69" s="17">
        <f t="shared" si="37"/>
        <v>123.33333333333334</v>
      </c>
      <c r="R69" s="17">
        <f t="shared" si="37"/>
        <v>126.66666666666667</v>
      </c>
      <c r="S69" s="17">
        <f t="shared" si="37"/>
        <v>130</v>
      </c>
      <c r="T69" s="17">
        <f t="shared" si="37"/>
        <v>133.33333333333334</v>
      </c>
      <c r="U69" s="17">
        <f t="shared" si="37"/>
        <v>136.66666666666669</v>
      </c>
      <c r="V69" s="17">
        <f t="shared" si="37"/>
        <v>140</v>
      </c>
      <c r="W69" s="17">
        <f t="shared" si="37"/>
        <v>143.33333333333334</v>
      </c>
      <c r="X69" s="17">
        <f t="shared" si="37"/>
        <v>146.66666666666669</v>
      </c>
      <c r="Y69" s="17">
        <f t="shared" si="37"/>
        <v>150</v>
      </c>
      <c r="Z69" s="17">
        <f t="shared" si="37"/>
        <v>153.33333333333334</v>
      </c>
      <c r="AA69" s="17">
        <f t="shared" si="37"/>
        <v>156.66666666666669</v>
      </c>
      <c r="AB69" s="17">
        <f t="shared" si="37"/>
        <v>160</v>
      </c>
      <c r="AC69" s="17">
        <f t="shared" si="37"/>
        <v>163.33333333333334</v>
      </c>
      <c r="AD69" s="17">
        <f t="shared" si="37"/>
        <v>166.66666666666669</v>
      </c>
      <c r="AE69" s="17">
        <f t="shared" si="37"/>
        <v>170</v>
      </c>
      <c r="AF69" s="17">
        <f t="shared" si="37"/>
        <v>173.33333333333334</v>
      </c>
      <c r="AG69" s="17">
        <f t="shared" si="37"/>
        <v>176.66666666666669</v>
      </c>
      <c r="AH69" s="17">
        <f t="shared" si="37"/>
        <v>180</v>
      </c>
      <c r="AI69" s="17">
        <f t="shared" si="37"/>
        <v>183.33333333333334</v>
      </c>
      <c r="AJ69" s="17">
        <f t="shared" si="37"/>
        <v>186.66666666666669</v>
      </c>
      <c r="AK69" s="17">
        <f t="shared" si="37"/>
        <v>190</v>
      </c>
      <c r="AL69" s="17">
        <f t="shared" si="37"/>
        <v>193.33333333333334</v>
      </c>
      <c r="AM69" s="17">
        <f t="shared" si="37"/>
        <v>196.66666666666669</v>
      </c>
      <c r="AN69" s="17">
        <f t="shared" si="37"/>
        <v>200</v>
      </c>
      <c r="AO69" s="17">
        <f t="shared" si="37"/>
        <v>203.33333333333334</v>
      </c>
      <c r="AP69" s="17">
        <f t="shared" si="37"/>
        <v>206.66666666666669</v>
      </c>
      <c r="AQ69" s="17">
        <f t="shared" si="37"/>
        <v>210</v>
      </c>
      <c r="AR69" s="17">
        <f t="shared" si="37"/>
        <v>213.33333333333334</v>
      </c>
      <c r="AS69" s="17">
        <f t="shared" si="37"/>
        <v>216.66666666666669</v>
      </c>
    </row>
    <row r="70" spans="2:45" outlineLevel="1" x14ac:dyDescent="0.15">
      <c r="B70" s="16" t="str">
        <f>"Total "&amp;B48</f>
        <v>Total Revenue</v>
      </c>
      <c r="J70" s="228">
        <f t="shared" ref="J70:AS70" ca="1" si="38">IF(ROWS(J$64:J$70)=2,0,SUM(OFFSET(J$64,1,0,ROWS(J$64:J$70)-2)))</f>
        <v>3371.0619354838709</v>
      </c>
      <c r="K70" s="228">
        <f t="shared" ca="1" si="38"/>
        <v>5460.4498733333321</v>
      </c>
      <c r="L70" s="228">
        <f t="shared" ca="1" si="38"/>
        <v>5658.2944516129037</v>
      </c>
      <c r="M70" s="228">
        <f t="shared" ca="1" si="38"/>
        <v>6738.0976666666666</v>
      </c>
      <c r="N70" s="228">
        <f t="shared" ca="1" si="38"/>
        <v>2898.1579913978489</v>
      </c>
      <c r="O70" s="228">
        <f t="shared" ca="1" si="38"/>
        <v>5264.5171290322578</v>
      </c>
      <c r="P70" s="228">
        <f t="shared" ca="1" si="38"/>
        <v>6074.5498666666672</v>
      </c>
      <c r="Q70" s="228">
        <f t="shared" ca="1" si="38"/>
        <v>6044.8385397849461</v>
      </c>
      <c r="R70" s="228">
        <f t="shared" ca="1" si="38"/>
        <v>4902.4685600000003</v>
      </c>
      <c r="S70" s="228">
        <f t="shared" ca="1" si="38"/>
        <v>5694.5062731182788</v>
      </c>
      <c r="T70" s="228">
        <f t="shared" ca="1" si="38"/>
        <v>5619.0533333333333</v>
      </c>
      <c r="U70" s="228">
        <f t="shared" ca="1" si="38"/>
        <v>5209.1097290322577</v>
      </c>
      <c r="V70" s="228">
        <f t="shared" ca="1" si="38"/>
        <v>4744.1322150537635</v>
      </c>
      <c r="W70" s="228">
        <f t="shared" ca="1" si="38"/>
        <v>7768.365953333333</v>
      </c>
      <c r="X70" s="228">
        <f t="shared" ca="1" si="38"/>
        <v>8277.8607741935466</v>
      </c>
      <c r="Y70" s="228">
        <f t="shared" ca="1" si="38"/>
        <v>9034.1491666666661</v>
      </c>
      <c r="Z70" s="228">
        <f t="shared" ca="1" si="38"/>
        <v>4260.2976946236549</v>
      </c>
      <c r="AA70" s="228">
        <f t="shared" ca="1" si="38"/>
        <v>7287.2087161290319</v>
      </c>
      <c r="AB70" s="228">
        <f t="shared" ca="1" si="38"/>
        <v>7888.9786666666669</v>
      </c>
      <c r="AC70" s="228">
        <f t="shared" ca="1" si="38"/>
        <v>8103.1645526881721</v>
      </c>
      <c r="AD70" s="228">
        <f t="shared" ca="1" si="38"/>
        <v>6556.4059999999999</v>
      </c>
      <c r="AE70" s="228">
        <f t="shared" ca="1" si="38"/>
        <v>7315.0680473118282</v>
      </c>
      <c r="AF70" s="228">
        <f t="shared" ca="1" si="38"/>
        <v>7699.6161333333339</v>
      </c>
      <c r="AG70" s="228">
        <f t="shared" ca="1" si="38"/>
        <v>6861.0442838709669</v>
      </c>
      <c r="AH70" s="228">
        <f t="shared" ca="1" si="38"/>
        <v>6039.2380215053772</v>
      </c>
      <c r="AI70" s="228">
        <f t="shared" ca="1" si="38"/>
        <v>10462.136733333335</v>
      </c>
      <c r="AJ70" s="228">
        <f t="shared" ca="1" si="38"/>
        <v>10681.368258064516</v>
      </c>
      <c r="AK70" s="228">
        <f t="shared" ca="1" si="38"/>
        <v>10636.666666666666</v>
      </c>
      <c r="AL70" s="228">
        <f t="shared" ca="1" si="38"/>
        <v>5688.6499913978478</v>
      </c>
      <c r="AM70" s="228">
        <f t="shared" ca="1" si="38"/>
        <v>8992.9481161290332</v>
      </c>
      <c r="AN70" s="228">
        <f t="shared" ca="1" si="38"/>
        <v>9528.3066666666673</v>
      </c>
      <c r="AO70" s="228">
        <f t="shared" ca="1" si="38"/>
        <v>10129.021862365593</v>
      </c>
      <c r="AP70" s="228">
        <f t="shared" ca="1" si="38"/>
        <v>7810.3434400000006</v>
      </c>
      <c r="AQ70" s="228">
        <f t="shared" ca="1" si="38"/>
        <v>8420.3698989247314</v>
      </c>
      <c r="AR70" s="228">
        <f t="shared" ca="1" si="38"/>
        <v>9506.8005333333349</v>
      </c>
      <c r="AS70" s="228">
        <f t="shared" ca="1" si="38"/>
        <v>8112.9788387096769</v>
      </c>
    </row>
    <row r="71" spans="2:45" ht="6" customHeight="1" outlineLevel="1" x14ac:dyDescent="0.15"/>
    <row r="72" spans="2:45" hidden="1" outlineLevel="2" x14ac:dyDescent="0.15">
      <c r="B72" s="16" t="str">
        <f>B48</f>
        <v>Revenue</v>
      </c>
    </row>
    <row r="73" spans="2:45" hidden="1" outlineLevel="2" x14ac:dyDescent="0.15">
      <c r="B73" s="107" t="str">
        <f t="shared" ref="B73:B78" si="39">B65</f>
        <v>Membership Fees</v>
      </c>
      <c r="J73" s="14">
        <f t="shared" ref="J73:AS73" si="40">J65</f>
        <v>350</v>
      </c>
      <c r="K73" s="14">
        <f t="shared" si="40"/>
        <v>350</v>
      </c>
      <c r="L73" s="14">
        <f t="shared" si="40"/>
        <v>358.33333333333337</v>
      </c>
      <c r="M73" s="14">
        <f t="shared" si="40"/>
        <v>366.66666666666663</v>
      </c>
      <c r="N73" s="14">
        <f t="shared" si="40"/>
        <v>375</v>
      </c>
      <c r="O73" s="14">
        <f t="shared" si="40"/>
        <v>383.33333333333337</v>
      </c>
      <c r="P73" s="14">
        <f t="shared" si="40"/>
        <v>391.66666666666663</v>
      </c>
      <c r="Q73" s="14">
        <f t="shared" si="40"/>
        <v>400</v>
      </c>
      <c r="R73" s="14">
        <f t="shared" si="40"/>
        <v>408.33333333333337</v>
      </c>
      <c r="S73" s="14">
        <f t="shared" si="40"/>
        <v>416.66666666666663</v>
      </c>
      <c r="T73" s="14">
        <f t="shared" si="40"/>
        <v>425</v>
      </c>
      <c r="U73" s="14">
        <f t="shared" si="40"/>
        <v>433.33333333333337</v>
      </c>
      <c r="V73" s="14">
        <f t="shared" si="40"/>
        <v>441.66666666666663</v>
      </c>
      <c r="W73" s="14">
        <f t="shared" si="40"/>
        <v>450</v>
      </c>
      <c r="X73" s="14">
        <f t="shared" si="40"/>
        <v>458.33333333333337</v>
      </c>
      <c r="Y73" s="14">
        <f t="shared" si="40"/>
        <v>466.66666666666663</v>
      </c>
      <c r="Z73" s="14">
        <f t="shared" si="40"/>
        <v>475</v>
      </c>
      <c r="AA73" s="14">
        <f t="shared" si="40"/>
        <v>483.33333333333337</v>
      </c>
      <c r="AB73" s="14">
        <f t="shared" si="40"/>
        <v>491.66666666666663</v>
      </c>
      <c r="AC73" s="14">
        <f t="shared" si="40"/>
        <v>500</v>
      </c>
      <c r="AD73" s="14">
        <f t="shared" si="40"/>
        <v>508.33333333333331</v>
      </c>
      <c r="AE73" s="14">
        <f t="shared" si="40"/>
        <v>516.66666666666674</v>
      </c>
      <c r="AF73" s="14">
        <f t="shared" si="40"/>
        <v>525</v>
      </c>
      <c r="AG73" s="14">
        <f t="shared" si="40"/>
        <v>533.33333333333326</v>
      </c>
      <c r="AH73" s="14">
        <f t="shared" si="40"/>
        <v>541.66666666666674</v>
      </c>
      <c r="AI73" s="14">
        <f t="shared" si="40"/>
        <v>550</v>
      </c>
      <c r="AJ73" s="14">
        <f t="shared" si="40"/>
        <v>558.33333333333326</v>
      </c>
      <c r="AK73" s="14">
        <f t="shared" si="40"/>
        <v>566.66666666666674</v>
      </c>
      <c r="AL73" s="14">
        <f t="shared" si="40"/>
        <v>575</v>
      </c>
      <c r="AM73" s="14">
        <f t="shared" si="40"/>
        <v>583.33333333333326</v>
      </c>
      <c r="AN73" s="14">
        <f t="shared" si="40"/>
        <v>591.66666666666674</v>
      </c>
      <c r="AO73" s="14">
        <f t="shared" si="40"/>
        <v>600</v>
      </c>
      <c r="AP73" s="14">
        <f t="shared" si="40"/>
        <v>608.33333333333326</v>
      </c>
      <c r="AQ73" s="14">
        <f t="shared" si="40"/>
        <v>616.66666666666674</v>
      </c>
      <c r="AR73" s="14">
        <f t="shared" si="40"/>
        <v>625</v>
      </c>
      <c r="AS73" s="14">
        <f t="shared" si="40"/>
        <v>633.33333333333326</v>
      </c>
    </row>
    <row r="74" spans="2:45" hidden="1" outlineLevel="2" x14ac:dyDescent="0.15">
      <c r="B74" s="107" t="str">
        <f t="shared" si="39"/>
        <v>PAYG Fencing</v>
      </c>
      <c r="J74" s="14">
        <f t="shared" ref="J74:AS74" si="41">J66</f>
        <v>2481.0619354838709</v>
      </c>
      <c r="K74" s="14">
        <f t="shared" si="41"/>
        <v>4567.1165399999991</v>
      </c>
      <c r="L74" s="14">
        <f t="shared" si="41"/>
        <v>4753.2944516129037</v>
      </c>
      <c r="M74" s="14">
        <f t="shared" si="41"/>
        <v>5821.4309999999996</v>
      </c>
      <c r="N74" s="14">
        <f t="shared" si="41"/>
        <v>1969.8246580645155</v>
      </c>
      <c r="O74" s="14">
        <f t="shared" si="41"/>
        <v>4324.5171290322578</v>
      </c>
      <c r="P74" s="14">
        <f t="shared" si="41"/>
        <v>4722.8832000000002</v>
      </c>
      <c r="Q74" s="14">
        <f t="shared" si="41"/>
        <v>4681.505206451613</v>
      </c>
      <c r="R74" s="14">
        <f t="shared" si="41"/>
        <v>3527.4685600000003</v>
      </c>
      <c r="S74" s="14">
        <f t="shared" si="41"/>
        <v>4307.8396064516119</v>
      </c>
      <c r="T74" s="14">
        <f t="shared" si="41"/>
        <v>4220.72</v>
      </c>
      <c r="U74" s="14">
        <f t="shared" si="41"/>
        <v>3799.1097290322577</v>
      </c>
      <c r="V74" s="14">
        <f t="shared" si="41"/>
        <v>3322.465548387097</v>
      </c>
      <c r="W74" s="14">
        <f t="shared" si="41"/>
        <v>6335.03262</v>
      </c>
      <c r="X74" s="14">
        <f t="shared" si="41"/>
        <v>6832.8607741935475</v>
      </c>
      <c r="Y74" s="14">
        <f t="shared" si="41"/>
        <v>7577.4824999999992</v>
      </c>
      <c r="Z74" s="14">
        <f t="shared" si="41"/>
        <v>2791.9643612903224</v>
      </c>
      <c r="AA74" s="14">
        <f t="shared" si="41"/>
        <v>5807.2087161290319</v>
      </c>
      <c r="AB74" s="14">
        <f t="shared" si="41"/>
        <v>5997.3119999999999</v>
      </c>
      <c r="AC74" s="14">
        <f t="shared" si="41"/>
        <v>6199.831219354839</v>
      </c>
      <c r="AD74" s="14">
        <f t="shared" si="41"/>
        <v>4641.4059999999999</v>
      </c>
      <c r="AE74" s="14">
        <f t="shared" si="41"/>
        <v>5388.4013806451612</v>
      </c>
      <c r="AF74" s="14">
        <f t="shared" si="41"/>
        <v>5761.2828000000009</v>
      </c>
      <c r="AG74" s="14">
        <f t="shared" si="41"/>
        <v>4911.0442838709669</v>
      </c>
      <c r="AH74" s="14">
        <f t="shared" si="41"/>
        <v>4077.5713548387102</v>
      </c>
      <c r="AI74" s="14">
        <f t="shared" si="41"/>
        <v>8488.8034000000007</v>
      </c>
      <c r="AJ74" s="14">
        <f t="shared" si="41"/>
        <v>8696.3682580645163</v>
      </c>
      <c r="AK74" s="14">
        <f t="shared" si="41"/>
        <v>8640</v>
      </c>
      <c r="AL74" s="14">
        <f t="shared" si="41"/>
        <v>3680.3166580645147</v>
      </c>
      <c r="AM74" s="14">
        <f t="shared" si="41"/>
        <v>6972.9481161290332</v>
      </c>
      <c r="AN74" s="14">
        <f t="shared" si="41"/>
        <v>7496.6399999999994</v>
      </c>
      <c r="AO74" s="14">
        <f t="shared" si="41"/>
        <v>8085.6885290322589</v>
      </c>
      <c r="AP74" s="14">
        <f t="shared" si="41"/>
        <v>5755.3434400000006</v>
      </c>
      <c r="AQ74" s="14">
        <f t="shared" si="41"/>
        <v>6353.7032322580644</v>
      </c>
      <c r="AR74" s="14">
        <f t="shared" si="41"/>
        <v>7428.467200000001</v>
      </c>
      <c r="AS74" s="14">
        <f t="shared" si="41"/>
        <v>6022.9788387096769</v>
      </c>
    </row>
    <row r="75" spans="2:45" hidden="1" outlineLevel="2" x14ac:dyDescent="0.15">
      <c r="B75" s="107" t="str">
        <f t="shared" si="39"/>
        <v>Private Hire</v>
      </c>
      <c r="J75" s="14">
        <f t="shared" ref="J75:AS75" si="42">J67</f>
        <v>400</v>
      </c>
      <c r="K75" s="14">
        <f t="shared" si="42"/>
        <v>400</v>
      </c>
      <c r="L75" s="14">
        <f t="shared" si="42"/>
        <v>400</v>
      </c>
      <c r="M75" s="14">
        <f t="shared" si="42"/>
        <v>400</v>
      </c>
      <c r="N75" s="14">
        <f t="shared" si="42"/>
        <v>400</v>
      </c>
      <c r="O75" s="14">
        <f t="shared" si="42"/>
        <v>400</v>
      </c>
      <c r="P75" s="14">
        <f t="shared" si="42"/>
        <v>800</v>
      </c>
      <c r="Q75" s="14">
        <f t="shared" si="42"/>
        <v>800</v>
      </c>
      <c r="R75" s="14">
        <f t="shared" si="42"/>
        <v>800</v>
      </c>
      <c r="S75" s="14">
        <f t="shared" si="42"/>
        <v>800</v>
      </c>
      <c r="T75" s="14">
        <f t="shared" si="42"/>
        <v>800</v>
      </c>
      <c r="U75" s="14">
        <f t="shared" si="42"/>
        <v>800</v>
      </c>
      <c r="V75" s="14">
        <f t="shared" si="42"/>
        <v>800</v>
      </c>
      <c r="W75" s="14">
        <f t="shared" si="42"/>
        <v>800</v>
      </c>
      <c r="X75" s="14">
        <f t="shared" si="42"/>
        <v>800</v>
      </c>
      <c r="Y75" s="14">
        <f t="shared" si="42"/>
        <v>800</v>
      </c>
      <c r="Z75" s="14">
        <f t="shared" si="42"/>
        <v>800</v>
      </c>
      <c r="AA75" s="14">
        <f t="shared" si="42"/>
        <v>800</v>
      </c>
      <c r="AB75" s="14">
        <f t="shared" si="42"/>
        <v>1200</v>
      </c>
      <c r="AC75" s="14">
        <f t="shared" si="42"/>
        <v>1200</v>
      </c>
      <c r="AD75" s="14">
        <f t="shared" si="42"/>
        <v>1200</v>
      </c>
      <c r="AE75" s="14">
        <f t="shared" si="42"/>
        <v>1200</v>
      </c>
      <c r="AF75" s="14">
        <f t="shared" si="42"/>
        <v>1200</v>
      </c>
      <c r="AG75" s="14">
        <f t="shared" si="42"/>
        <v>1200</v>
      </c>
      <c r="AH75" s="14">
        <f t="shared" si="42"/>
        <v>1200</v>
      </c>
      <c r="AI75" s="14">
        <f t="shared" si="42"/>
        <v>1200</v>
      </c>
      <c r="AJ75" s="14">
        <f t="shared" si="42"/>
        <v>1200</v>
      </c>
      <c r="AK75" s="14">
        <f t="shared" si="42"/>
        <v>1200</v>
      </c>
      <c r="AL75" s="14">
        <f t="shared" si="42"/>
        <v>1200</v>
      </c>
      <c r="AM75" s="14">
        <f t="shared" si="42"/>
        <v>1200</v>
      </c>
      <c r="AN75" s="14">
        <f t="shared" si="42"/>
        <v>1200</v>
      </c>
      <c r="AO75" s="14">
        <f t="shared" si="42"/>
        <v>1200</v>
      </c>
      <c r="AP75" s="14">
        <f t="shared" si="42"/>
        <v>1200</v>
      </c>
      <c r="AQ75" s="14">
        <f t="shared" si="42"/>
        <v>1200</v>
      </c>
      <c r="AR75" s="14">
        <f t="shared" si="42"/>
        <v>1200</v>
      </c>
      <c r="AS75" s="14">
        <f t="shared" si="42"/>
        <v>1200</v>
      </c>
    </row>
    <row r="76" spans="2:45" hidden="1" outlineLevel="2" x14ac:dyDescent="0.15">
      <c r="B76" s="107" t="str">
        <f t="shared" si="39"/>
        <v>Book a Piste</v>
      </c>
      <c r="J76" s="14">
        <f t="shared" ref="J76:AS76" si="43">J68</f>
        <v>40</v>
      </c>
      <c r="K76" s="14">
        <f t="shared" si="43"/>
        <v>40</v>
      </c>
      <c r="L76" s="14">
        <f t="shared" si="43"/>
        <v>40</v>
      </c>
      <c r="M76" s="14">
        <f t="shared" si="43"/>
        <v>40</v>
      </c>
      <c r="N76" s="14">
        <f t="shared" si="43"/>
        <v>40</v>
      </c>
      <c r="O76" s="14">
        <f t="shared" si="43"/>
        <v>40</v>
      </c>
      <c r="P76" s="14">
        <f t="shared" si="43"/>
        <v>40</v>
      </c>
      <c r="Q76" s="14">
        <f t="shared" si="43"/>
        <v>40</v>
      </c>
      <c r="R76" s="14">
        <f t="shared" si="43"/>
        <v>40</v>
      </c>
      <c r="S76" s="14">
        <f t="shared" si="43"/>
        <v>40</v>
      </c>
      <c r="T76" s="14">
        <f t="shared" si="43"/>
        <v>40</v>
      </c>
      <c r="U76" s="14">
        <f t="shared" si="43"/>
        <v>40</v>
      </c>
      <c r="V76" s="14">
        <f t="shared" si="43"/>
        <v>40</v>
      </c>
      <c r="W76" s="14">
        <f t="shared" si="43"/>
        <v>40</v>
      </c>
      <c r="X76" s="14">
        <f t="shared" si="43"/>
        <v>40</v>
      </c>
      <c r="Y76" s="14">
        <f t="shared" si="43"/>
        <v>40</v>
      </c>
      <c r="Z76" s="14">
        <f t="shared" si="43"/>
        <v>40</v>
      </c>
      <c r="AA76" s="14">
        <f t="shared" si="43"/>
        <v>40</v>
      </c>
      <c r="AB76" s="14">
        <f t="shared" si="43"/>
        <v>40</v>
      </c>
      <c r="AC76" s="14">
        <f t="shared" si="43"/>
        <v>40</v>
      </c>
      <c r="AD76" s="14">
        <f t="shared" si="43"/>
        <v>40</v>
      </c>
      <c r="AE76" s="14">
        <f t="shared" si="43"/>
        <v>40</v>
      </c>
      <c r="AF76" s="14">
        <f t="shared" si="43"/>
        <v>40</v>
      </c>
      <c r="AG76" s="14">
        <f t="shared" si="43"/>
        <v>40</v>
      </c>
      <c r="AH76" s="14">
        <f t="shared" si="43"/>
        <v>40</v>
      </c>
      <c r="AI76" s="14">
        <f t="shared" si="43"/>
        <v>40</v>
      </c>
      <c r="AJ76" s="14">
        <f t="shared" si="43"/>
        <v>40</v>
      </c>
      <c r="AK76" s="14">
        <f t="shared" si="43"/>
        <v>40</v>
      </c>
      <c r="AL76" s="14">
        <f t="shared" si="43"/>
        <v>40</v>
      </c>
      <c r="AM76" s="14">
        <f t="shared" si="43"/>
        <v>40</v>
      </c>
      <c r="AN76" s="14">
        <f t="shared" si="43"/>
        <v>40</v>
      </c>
      <c r="AO76" s="14">
        <f t="shared" si="43"/>
        <v>40</v>
      </c>
      <c r="AP76" s="14">
        <f t="shared" si="43"/>
        <v>40</v>
      </c>
      <c r="AQ76" s="14">
        <f t="shared" si="43"/>
        <v>40</v>
      </c>
      <c r="AR76" s="14">
        <f t="shared" si="43"/>
        <v>40</v>
      </c>
      <c r="AS76" s="14">
        <f t="shared" si="43"/>
        <v>40</v>
      </c>
    </row>
    <row r="77" spans="2:45" hidden="1" outlineLevel="2" x14ac:dyDescent="0.15">
      <c r="B77" s="107" t="str">
        <f t="shared" si="39"/>
        <v>Merch Sales</v>
      </c>
      <c r="J77" s="14">
        <f t="shared" ref="J77:AS77" si="44">J69</f>
        <v>100</v>
      </c>
      <c r="K77" s="14">
        <f t="shared" si="44"/>
        <v>103.33333333333334</v>
      </c>
      <c r="L77" s="14">
        <f t="shared" si="44"/>
        <v>106.66666666666667</v>
      </c>
      <c r="M77" s="14">
        <f t="shared" si="44"/>
        <v>110</v>
      </c>
      <c r="N77" s="14">
        <f t="shared" si="44"/>
        <v>113.33333333333334</v>
      </c>
      <c r="O77" s="14">
        <f t="shared" si="44"/>
        <v>116.66666666666667</v>
      </c>
      <c r="P77" s="14">
        <f t="shared" si="44"/>
        <v>120</v>
      </c>
      <c r="Q77" s="14">
        <f t="shared" si="44"/>
        <v>123.33333333333334</v>
      </c>
      <c r="R77" s="14">
        <f t="shared" si="44"/>
        <v>126.66666666666667</v>
      </c>
      <c r="S77" s="14">
        <f t="shared" si="44"/>
        <v>130</v>
      </c>
      <c r="T77" s="14">
        <f t="shared" si="44"/>
        <v>133.33333333333334</v>
      </c>
      <c r="U77" s="14">
        <f t="shared" si="44"/>
        <v>136.66666666666669</v>
      </c>
      <c r="V77" s="14">
        <f t="shared" si="44"/>
        <v>140</v>
      </c>
      <c r="W77" s="14">
        <f t="shared" si="44"/>
        <v>143.33333333333334</v>
      </c>
      <c r="X77" s="14">
        <f t="shared" si="44"/>
        <v>146.66666666666669</v>
      </c>
      <c r="Y77" s="14">
        <f t="shared" si="44"/>
        <v>150</v>
      </c>
      <c r="Z77" s="14">
        <f t="shared" si="44"/>
        <v>153.33333333333334</v>
      </c>
      <c r="AA77" s="14">
        <f t="shared" si="44"/>
        <v>156.66666666666669</v>
      </c>
      <c r="AB77" s="14">
        <f t="shared" si="44"/>
        <v>160</v>
      </c>
      <c r="AC77" s="14">
        <f t="shared" si="44"/>
        <v>163.33333333333334</v>
      </c>
      <c r="AD77" s="14">
        <f t="shared" si="44"/>
        <v>166.66666666666669</v>
      </c>
      <c r="AE77" s="14">
        <f t="shared" si="44"/>
        <v>170</v>
      </c>
      <c r="AF77" s="14">
        <f t="shared" si="44"/>
        <v>173.33333333333334</v>
      </c>
      <c r="AG77" s="14">
        <f t="shared" si="44"/>
        <v>176.66666666666669</v>
      </c>
      <c r="AH77" s="14">
        <f t="shared" si="44"/>
        <v>180</v>
      </c>
      <c r="AI77" s="14">
        <f t="shared" si="44"/>
        <v>183.33333333333334</v>
      </c>
      <c r="AJ77" s="14">
        <f t="shared" si="44"/>
        <v>186.66666666666669</v>
      </c>
      <c r="AK77" s="14">
        <f t="shared" si="44"/>
        <v>190</v>
      </c>
      <c r="AL77" s="14">
        <f t="shared" si="44"/>
        <v>193.33333333333334</v>
      </c>
      <c r="AM77" s="14">
        <f t="shared" si="44"/>
        <v>196.66666666666669</v>
      </c>
      <c r="AN77" s="14">
        <f t="shared" si="44"/>
        <v>200</v>
      </c>
      <c r="AO77" s="14">
        <f t="shared" si="44"/>
        <v>203.33333333333334</v>
      </c>
      <c r="AP77" s="14">
        <f t="shared" si="44"/>
        <v>206.66666666666669</v>
      </c>
      <c r="AQ77" s="14">
        <f t="shared" si="44"/>
        <v>210</v>
      </c>
      <c r="AR77" s="14">
        <f t="shared" si="44"/>
        <v>213.33333333333334</v>
      </c>
      <c r="AS77" s="14">
        <f t="shared" si="44"/>
        <v>216.66666666666669</v>
      </c>
    </row>
    <row r="78" spans="2:45" hidden="1" outlineLevel="2" x14ac:dyDescent="0.15">
      <c r="B78" s="16" t="str">
        <f t="shared" si="39"/>
        <v>Total Revenue</v>
      </c>
      <c r="J78" s="18">
        <f t="shared" ref="J78:AS78" si="45">SUM(J73:J77)</f>
        <v>3371.0619354838709</v>
      </c>
      <c r="K78" s="18">
        <f t="shared" si="45"/>
        <v>5460.4498733333321</v>
      </c>
      <c r="L78" s="18">
        <f t="shared" si="45"/>
        <v>5658.2944516129037</v>
      </c>
      <c r="M78" s="18">
        <f t="shared" si="45"/>
        <v>6738.0976666666666</v>
      </c>
      <c r="N78" s="18">
        <f t="shared" si="45"/>
        <v>2898.1579913978489</v>
      </c>
      <c r="O78" s="18">
        <f t="shared" si="45"/>
        <v>5264.5171290322578</v>
      </c>
      <c r="P78" s="18">
        <f t="shared" si="45"/>
        <v>6074.5498666666672</v>
      </c>
      <c r="Q78" s="18">
        <f t="shared" si="45"/>
        <v>6044.8385397849461</v>
      </c>
      <c r="R78" s="18">
        <f t="shared" si="45"/>
        <v>4902.4685600000003</v>
      </c>
      <c r="S78" s="18">
        <f t="shared" si="45"/>
        <v>5694.5062731182788</v>
      </c>
      <c r="T78" s="18">
        <f t="shared" si="45"/>
        <v>5619.0533333333333</v>
      </c>
      <c r="U78" s="18">
        <f t="shared" si="45"/>
        <v>5209.1097290322577</v>
      </c>
      <c r="V78" s="18">
        <f t="shared" si="45"/>
        <v>4744.1322150537635</v>
      </c>
      <c r="W78" s="18">
        <f t="shared" si="45"/>
        <v>7768.365953333333</v>
      </c>
      <c r="X78" s="18">
        <f t="shared" si="45"/>
        <v>8277.8607741935466</v>
      </c>
      <c r="Y78" s="18">
        <f t="shared" si="45"/>
        <v>9034.1491666666661</v>
      </c>
      <c r="Z78" s="18">
        <f t="shared" si="45"/>
        <v>4260.2976946236549</v>
      </c>
      <c r="AA78" s="18">
        <f t="shared" si="45"/>
        <v>7287.2087161290319</v>
      </c>
      <c r="AB78" s="18">
        <f t="shared" si="45"/>
        <v>7888.9786666666669</v>
      </c>
      <c r="AC78" s="18">
        <f t="shared" si="45"/>
        <v>8103.1645526881721</v>
      </c>
      <c r="AD78" s="18">
        <f t="shared" si="45"/>
        <v>6556.4059999999999</v>
      </c>
      <c r="AE78" s="18">
        <f t="shared" si="45"/>
        <v>7315.0680473118282</v>
      </c>
      <c r="AF78" s="18">
        <f t="shared" si="45"/>
        <v>7699.6161333333339</v>
      </c>
      <c r="AG78" s="18">
        <f t="shared" si="45"/>
        <v>6861.0442838709669</v>
      </c>
      <c r="AH78" s="18">
        <f t="shared" si="45"/>
        <v>6039.2380215053772</v>
      </c>
      <c r="AI78" s="18">
        <f t="shared" si="45"/>
        <v>10462.136733333335</v>
      </c>
      <c r="AJ78" s="18">
        <f t="shared" si="45"/>
        <v>10681.368258064516</v>
      </c>
      <c r="AK78" s="18">
        <f t="shared" si="45"/>
        <v>10636.666666666666</v>
      </c>
      <c r="AL78" s="18">
        <f t="shared" si="45"/>
        <v>5688.6499913978478</v>
      </c>
      <c r="AM78" s="18">
        <f t="shared" si="45"/>
        <v>8992.9481161290332</v>
      </c>
      <c r="AN78" s="18">
        <f t="shared" si="45"/>
        <v>9528.3066666666673</v>
      </c>
      <c r="AO78" s="18">
        <f t="shared" si="45"/>
        <v>10129.021862365593</v>
      </c>
      <c r="AP78" s="18">
        <f t="shared" si="45"/>
        <v>7810.3434400000006</v>
      </c>
      <c r="AQ78" s="18">
        <f t="shared" si="45"/>
        <v>8420.3698989247314</v>
      </c>
      <c r="AR78" s="18">
        <f t="shared" si="45"/>
        <v>9506.8005333333349</v>
      </c>
      <c r="AS78" s="18">
        <f t="shared" si="45"/>
        <v>8112.9788387096769</v>
      </c>
    </row>
    <row r="79" spans="2:45" ht="6" hidden="1" customHeight="1" outlineLevel="2" x14ac:dyDescent="0.15"/>
    <row r="80" spans="2:45" hidden="1" outlineLevel="2" x14ac:dyDescent="0.15">
      <c r="C80" s="107" t="s">
        <v>192</v>
      </c>
      <c r="J80" s="17">
        <f t="shared" ref="J80:AS80" ca="1" si="46">IF(ISERROR(J70-J78),1,0)</f>
        <v>0</v>
      </c>
      <c r="K80" s="17">
        <f t="shared" ca="1" si="46"/>
        <v>0</v>
      </c>
      <c r="L80" s="17">
        <f t="shared" ca="1" si="46"/>
        <v>0</v>
      </c>
      <c r="M80" s="17">
        <f t="shared" ca="1" si="46"/>
        <v>0</v>
      </c>
      <c r="N80" s="17">
        <f t="shared" ca="1" si="46"/>
        <v>0</v>
      </c>
      <c r="O80" s="17">
        <f t="shared" ca="1" si="46"/>
        <v>0</v>
      </c>
      <c r="P80" s="17">
        <f t="shared" ca="1" si="46"/>
        <v>0</v>
      </c>
      <c r="Q80" s="17">
        <f t="shared" ca="1" si="46"/>
        <v>0</v>
      </c>
      <c r="R80" s="17">
        <f t="shared" ca="1" si="46"/>
        <v>0</v>
      </c>
      <c r="S80" s="17">
        <f t="shared" ca="1" si="46"/>
        <v>0</v>
      </c>
      <c r="T80" s="17">
        <f t="shared" ca="1" si="46"/>
        <v>0</v>
      </c>
      <c r="U80" s="17">
        <f t="shared" ca="1" si="46"/>
        <v>0</v>
      </c>
      <c r="V80" s="17">
        <f t="shared" ca="1" si="46"/>
        <v>0</v>
      </c>
      <c r="W80" s="17">
        <f t="shared" ca="1" si="46"/>
        <v>0</v>
      </c>
      <c r="X80" s="17">
        <f t="shared" ca="1" si="46"/>
        <v>0</v>
      </c>
      <c r="Y80" s="17">
        <f t="shared" ca="1" si="46"/>
        <v>0</v>
      </c>
      <c r="Z80" s="17">
        <f t="shared" ca="1" si="46"/>
        <v>0</v>
      </c>
      <c r="AA80" s="17">
        <f t="shared" ca="1" si="46"/>
        <v>0</v>
      </c>
      <c r="AB80" s="17">
        <f t="shared" ca="1" si="46"/>
        <v>0</v>
      </c>
      <c r="AC80" s="17">
        <f t="shared" ca="1" si="46"/>
        <v>0</v>
      </c>
      <c r="AD80" s="17">
        <f t="shared" ca="1" si="46"/>
        <v>0</v>
      </c>
      <c r="AE80" s="17">
        <f t="shared" ca="1" si="46"/>
        <v>0</v>
      </c>
      <c r="AF80" s="17">
        <f t="shared" ca="1" si="46"/>
        <v>0</v>
      </c>
      <c r="AG80" s="17">
        <f t="shared" ca="1" si="46"/>
        <v>0</v>
      </c>
      <c r="AH80" s="17">
        <f t="shared" ca="1" si="46"/>
        <v>0</v>
      </c>
      <c r="AI80" s="17">
        <f t="shared" ca="1" si="46"/>
        <v>0</v>
      </c>
      <c r="AJ80" s="17">
        <f t="shared" ca="1" si="46"/>
        <v>0</v>
      </c>
      <c r="AK80" s="17">
        <f t="shared" ca="1" si="46"/>
        <v>0</v>
      </c>
      <c r="AL80" s="17">
        <f t="shared" ca="1" si="46"/>
        <v>0</v>
      </c>
      <c r="AM80" s="17">
        <f t="shared" ca="1" si="46"/>
        <v>0</v>
      </c>
      <c r="AN80" s="17">
        <f t="shared" ca="1" si="46"/>
        <v>0</v>
      </c>
      <c r="AO80" s="17">
        <f t="shared" ca="1" si="46"/>
        <v>0</v>
      </c>
      <c r="AP80" s="17">
        <f t="shared" ca="1" si="46"/>
        <v>0</v>
      </c>
      <c r="AQ80" s="17">
        <f t="shared" ca="1" si="46"/>
        <v>0</v>
      </c>
      <c r="AR80" s="17">
        <f t="shared" ca="1" si="46"/>
        <v>0</v>
      </c>
      <c r="AS80" s="17">
        <f t="shared" ca="1" si="46"/>
        <v>0</v>
      </c>
    </row>
    <row r="81" spans="1:45" hidden="1" outlineLevel="2" x14ac:dyDescent="0.15">
      <c r="C81" s="107" t="s">
        <v>334</v>
      </c>
      <c r="J81" s="42">
        <f t="shared" ref="J81:AS81" ca="1" si="47">IF(J80&lt;&gt;0,0,IF(ROUND(J70-J78,5)&lt;&gt;0,1,0))</f>
        <v>0</v>
      </c>
      <c r="K81" s="42">
        <f t="shared" ca="1" si="47"/>
        <v>0</v>
      </c>
      <c r="L81" s="42">
        <f t="shared" ca="1" si="47"/>
        <v>0</v>
      </c>
      <c r="M81" s="42">
        <f t="shared" ca="1" si="47"/>
        <v>0</v>
      </c>
      <c r="N81" s="42">
        <f t="shared" ca="1" si="47"/>
        <v>0</v>
      </c>
      <c r="O81" s="42">
        <f t="shared" ca="1" si="47"/>
        <v>0</v>
      </c>
      <c r="P81" s="42">
        <f t="shared" ca="1" si="47"/>
        <v>0</v>
      </c>
      <c r="Q81" s="42">
        <f t="shared" ca="1" si="47"/>
        <v>0</v>
      </c>
      <c r="R81" s="42">
        <f t="shared" ca="1" si="47"/>
        <v>0</v>
      </c>
      <c r="S81" s="42">
        <f t="shared" ca="1" si="47"/>
        <v>0</v>
      </c>
      <c r="T81" s="42">
        <f t="shared" ca="1" si="47"/>
        <v>0</v>
      </c>
      <c r="U81" s="42">
        <f t="shared" ca="1" si="47"/>
        <v>0</v>
      </c>
      <c r="V81" s="42">
        <f t="shared" ca="1" si="47"/>
        <v>0</v>
      </c>
      <c r="W81" s="42">
        <f t="shared" ca="1" si="47"/>
        <v>0</v>
      </c>
      <c r="X81" s="42">
        <f t="shared" ca="1" si="47"/>
        <v>0</v>
      </c>
      <c r="Y81" s="42">
        <f t="shared" ca="1" si="47"/>
        <v>0</v>
      </c>
      <c r="Z81" s="42">
        <f t="shared" ca="1" si="47"/>
        <v>0</v>
      </c>
      <c r="AA81" s="42">
        <f t="shared" ca="1" si="47"/>
        <v>0</v>
      </c>
      <c r="AB81" s="42">
        <f t="shared" ca="1" si="47"/>
        <v>0</v>
      </c>
      <c r="AC81" s="42">
        <f t="shared" ca="1" si="47"/>
        <v>0</v>
      </c>
      <c r="AD81" s="42">
        <f t="shared" ca="1" si="47"/>
        <v>0</v>
      </c>
      <c r="AE81" s="42">
        <f t="shared" ca="1" si="47"/>
        <v>0</v>
      </c>
      <c r="AF81" s="42">
        <f t="shared" ca="1" si="47"/>
        <v>0</v>
      </c>
      <c r="AG81" s="42">
        <f t="shared" ca="1" si="47"/>
        <v>0</v>
      </c>
      <c r="AH81" s="42">
        <f t="shared" ca="1" si="47"/>
        <v>0</v>
      </c>
      <c r="AI81" s="42">
        <f t="shared" ca="1" si="47"/>
        <v>0</v>
      </c>
      <c r="AJ81" s="42">
        <f t="shared" ca="1" si="47"/>
        <v>0</v>
      </c>
      <c r="AK81" s="42">
        <f t="shared" ca="1" si="47"/>
        <v>0</v>
      </c>
      <c r="AL81" s="42">
        <f t="shared" ca="1" si="47"/>
        <v>0</v>
      </c>
      <c r="AM81" s="42">
        <f t="shared" ca="1" si="47"/>
        <v>0</v>
      </c>
      <c r="AN81" s="42">
        <f t="shared" ca="1" si="47"/>
        <v>0</v>
      </c>
      <c r="AO81" s="42">
        <f t="shared" ca="1" si="47"/>
        <v>0</v>
      </c>
      <c r="AP81" s="42">
        <f t="shared" ca="1" si="47"/>
        <v>0</v>
      </c>
      <c r="AQ81" s="42">
        <f t="shared" ca="1" si="47"/>
        <v>0</v>
      </c>
      <c r="AR81" s="42">
        <f t="shared" ca="1" si="47"/>
        <v>0</v>
      </c>
      <c r="AS81" s="42">
        <f t="shared" ca="1" si="47"/>
        <v>0</v>
      </c>
    </row>
    <row r="82" spans="1:45" outlineLevel="1" collapsed="1" x14ac:dyDescent="0.15">
      <c r="B82" s="107" t="s">
        <v>335</v>
      </c>
      <c r="I82" s="22">
        <f ca="1">IF(ISERROR(SUM(0,J82:AS82)),1,MIN(SUM(J82:AS82),1))</f>
        <v>0</v>
      </c>
      <c r="J82" s="17">
        <f t="shared" ref="J82:AS82" ca="1" si="48">MIN(SUM(J80:J81),1)</f>
        <v>0</v>
      </c>
      <c r="K82" s="17">
        <f t="shared" ca="1" si="48"/>
        <v>0</v>
      </c>
      <c r="L82" s="17">
        <f t="shared" ca="1" si="48"/>
        <v>0</v>
      </c>
      <c r="M82" s="17">
        <f t="shared" ca="1" si="48"/>
        <v>0</v>
      </c>
      <c r="N82" s="17">
        <f t="shared" ca="1" si="48"/>
        <v>0</v>
      </c>
      <c r="O82" s="17">
        <f t="shared" ca="1" si="48"/>
        <v>0</v>
      </c>
      <c r="P82" s="17">
        <f t="shared" ca="1" si="48"/>
        <v>0</v>
      </c>
      <c r="Q82" s="17">
        <f t="shared" ca="1" si="48"/>
        <v>0</v>
      </c>
      <c r="R82" s="17">
        <f t="shared" ca="1" si="48"/>
        <v>0</v>
      </c>
      <c r="S82" s="17">
        <f t="shared" ca="1" si="48"/>
        <v>0</v>
      </c>
      <c r="T82" s="17">
        <f t="shared" ca="1" si="48"/>
        <v>0</v>
      </c>
      <c r="U82" s="17">
        <f t="shared" ca="1" si="48"/>
        <v>0</v>
      </c>
      <c r="V82" s="17">
        <f t="shared" ca="1" si="48"/>
        <v>0</v>
      </c>
      <c r="W82" s="17">
        <f t="shared" ca="1" si="48"/>
        <v>0</v>
      </c>
      <c r="X82" s="17">
        <f t="shared" ca="1" si="48"/>
        <v>0</v>
      </c>
      <c r="Y82" s="17">
        <f t="shared" ca="1" si="48"/>
        <v>0</v>
      </c>
      <c r="Z82" s="17">
        <f t="shared" ca="1" si="48"/>
        <v>0</v>
      </c>
      <c r="AA82" s="17">
        <f t="shared" ca="1" si="48"/>
        <v>0</v>
      </c>
      <c r="AB82" s="17">
        <f t="shared" ca="1" si="48"/>
        <v>0</v>
      </c>
      <c r="AC82" s="17">
        <f t="shared" ca="1" si="48"/>
        <v>0</v>
      </c>
      <c r="AD82" s="17">
        <f t="shared" ca="1" si="48"/>
        <v>0</v>
      </c>
      <c r="AE82" s="17">
        <f t="shared" ca="1" si="48"/>
        <v>0</v>
      </c>
      <c r="AF82" s="17">
        <f t="shared" ca="1" si="48"/>
        <v>0</v>
      </c>
      <c r="AG82" s="17">
        <f t="shared" ca="1" si="48"/>
        <v>0</v>
      </c>
      <c r="AH82" s="17">
        <f t="shared" ca="1" si="48"/>
        <v>0</v>
      </c>
      <c r="AI82" s="17">
        <f t="shared" ca="1" si="48"/>
        <v>0</v>
      </c>
      <c r="AJ82" s="17">
        <f t="shared" ca="1" si="48"/>
        <v>0</v>
      </c>
      <c r="AK82" s="17">
        <f t="shared" ca="1" si="48"/>
        <v>0</v>
      </c>
      <c r="AL82" s="17">
        <f t="shared" ca="1" si="48"/>
        <v>0</v>
      </c>
      <c r="AM82" s="17">
        <f t="shared" ca="1" si="48"/>
        <v>0</v>
      </c>
      <c r="AN82" s="17">
        <f t="shared" ca="1" si="48"/>
        <v>0</v>
      </c>
      <c r="AO82" s="17">
        <f t="shared" ca="1" si="48"/>
        <v>0</v>
      </c>
      <c r="AP82" s="17">
        <f t="shared" ca="1" si="48"/>
        <v>0</v>
      </c>
      <c r="AQ82" s="17">
        <f t="shared" ca="1" si="48"/>
        <v>0</v>
      </c>
      <c r="AR82" s="17">
        <f t="shared" ca="1" si="48"/>
        <v>0</v>
      </c>
      <c r="AS82" s="17">
        <f t="shared" ca="1" si="48"/>
        <v>0</v>
      </c>
    </row>
    <row r="83" spans="1:45" outlineLevel="1" x14ac:dyDescent="0.15">
      <c r="B83" s="107" t="s">
        <v>336</v>
      </c>
      <c r="I83" s="22">
        <f ca="1">IF(ISERROR(SUM(J83:AS83)),1,MIN(SUM(J83:AS83),1))</f>
        <v>0</v>
      </c>
      <c r="J83" s="17">
        <f t="shared" ref="J83:AS83" ca="1" si="49">IF(J82=1,0,IF(MIN(J73:J77)&lt;0,1,0))</f>
        <v>0</v>
      </c>
      <c r="K83" s="17">
        <f t="shared" ca="1" si="49"/>
        <v>0</v>
      </c>
      <c r="L83" s="17">
        <f t="shared" ca="1" si="49"/>
        <v>0</v>
      </c>
      <c r="M83" s="17">
        <f t="shared" ca="1" si="49"/>
        <v>0</v>
      </c>
      <c r="N83" s="17">
        <f t="shared" ca="1" si="49"/>
        <v>0</v>
      </c>
      <c r="O83" s="17">
        <f t="shared" ca="1" si="49"/>
        <v>0</v>
      </c>
      <c r="P83" s="17">
        <f t="shared" ca="1" si="49"/>
        <v>0</v>
      </c>
      <c r="Q83" s="17">
        <f t="shared" ca="1" si="49"/>
        <v>0</v>
      </c>
      <c r="R83" s="17">
        <f t="shared" ca="1" si="49"/>
        <v>0</v>
      </c>
      <c r="S83" s="17">
        <f t="shared" ca="1" si="49"/>
        <v>0</v>
      </c>
      <c r="T83" s="17">
        <f t="shared" ca="1" si="49"/>
        <v>0</v>
      </c>
      <c r="U83" s="17">
        <f t="shared" ca="1" si="49"/>
        <v>0</v>
      </c>
      <c r="V83" s="17">
        <f t="shared" ca="1" si="49"/>
        <v>0</v>
      </c>
      <c r="W83" s="17">
        <f t="shared" ca="1" si="49"/>
        <v>0</v>
      </c>
      <c r="X83" s="17">
        <f t="shared" ca="1" si="49"/>
        <v>0</v>
      </c>
      <c r="Y83" s="17">
        <f t="shared" ca="1" si="49"/>
        <v>0</v>
      </c>
      <c r="Z83" s="17">
        <f t="shared" ca="1" si="49"/>
        <v>0</v>
      </c>
      <c r="AA83" s="17">
        <f t="shared" ca="1" si="49"/>
        <v>0</v>
      </c>
      <c r="AB83" s="17">
        <f t="shared" ca="1" si="49"/>
        <v>0</v>
      </c>
      <c r="AC83" s="17">
        <f t="shared" ca="1" si="49"/>
        <v>0</v>
      </c>
      <c r="AD83" s="17">
        <f t="shared" ca="1" si="49"/>
        <v>0</v>
      </c>
      <c r="AE83" s="17">
        <f t="shared" ca="1" si="49"/>
        <v>0</v>
      </c>
      <c r="AF83" s="17">
        <f t="shared" ca="1" si="49"/>
        <v>0</v>
      </c>
      <c r="AG83" s="17">
        <f t="shared" ca="1" si="49"/>
        <v>0</v>
      </c>
      <c r="AH83" s="17">
        <f t="shared" ca="1" si="49"/>
        <v>0</v>
      </c>
      <c r="AI83" s="17">
        <f t="shared" ca="1" si="49"/>
        <v>0</v>
      </c>
      <c r="AJ83" s="17">
        <f t="shared" ca="1" si="49"/>
        <v>0</v>
      </c>
      <c r="AK83" s="17">
        <f t="shared" ca="1" si="49"/>
        <v>0</v>
      </c>
      <c r="AL83" s="17">
        <f t="shared" ca="1" si="49"/>
        <v>0</v>
      </c>
      <c r="AM83" s="17">
        <f t="shared" ca="1" si="49"/>
        <v>0</v>
      </c>
      <c r="AN83" s="17">
        <f t="shared" ca="1" si="49"/>
        <v>0</v>
      </c>
      <c r="AO83" s="17">
        <f t="shared" ca="1" si="49"/>
        <v>0</v>
      </c>
      <c r="AP83" s="17">
        <f t="shared" ca="1" si="49"/>
        <v>0</v>
      </c>
      <c r="AQ83" s="17">
        <f t="shared" ca="1" si="49"/>
        <v>0</v>
      </c>
      <c r="AR83" s="17">
        <f t="shared" ca="1" si="49"/>
        <v>0</v>
      </c>
      <c r="AS83" s="17">
        <f t="shared" ca="1" si="49"/>
        <v>0</v>
      </c>
    </row>
    <row r="85" spans="1:45" x14ac:dyDescent="0.15">
      <c r="A85" s="74" t="s">
        <v>271</v>
      </c>
      <c r="B85" s="1" t="s">
        <v>65</v>
      </c>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row>
    <row r="86" spans="1:45" outlineLevel="1" x14ac:dyDescent="0.15"/>
    <row r="87" spans="1:45" outlineLevel="1" x14ac:dyDescent="0.15">
      <c r="B87" s="16" t="s">
        <v>65</v>
      </c>
      <c r="H87" s="155" t="s">
        <v>322</v>
      </c>
    </row>
    <row r="88" spans="1:45" outlineLevel="1" x14ac:dyDescent="0.15">
      <c r="B88" s="338" t="s">
        <v>337</v>
      </c>
      <c r="C88" s="338"/>
      <c r="D88" s="338"/>
      <c r="E88" s="338"/>
      <c r="F88" s="338"/>
      <c r="H88" s="213" t="s">
        <v>338</v>
      </c>
      <c r="J88" s="214">
        <f t="shared" ref="J88:AS88" si="50">11.95*2</f>
        <v>23.9</v>
      </c>
      <c r="K88" s="214">
        <f t="shared" si="50"/>
        <v>23.9</v>
      </c>
      <c r="L88" s="214">
        <f t="shared" si="50"/>
        <v>23.9</v>
      </c>
      <c r="M88" s="214">
        <f t="shared" si="50"/>
        <v>23.9</v>
      </c>
      <c r="N88" s="214">
        <f t="shared" si="50"/>
        <v>23.9</v>
      </c>
      <c r="O88" s="214">
        <f t="shared" si="50"/>
        <v>23.9</v>
      </c>
      <c r="P88" s="214">
        <f t="shared" si="50"/>
        <v>23.9</v>
      </c>
      <c r="Q88" s="214">
        <f t="shared" si="50"/>
        <v>23.9</v>
      </c>
      <c r="R88" s="214">
        <f t="shared" si="50"/>
        <v>23.9</v>
      </c>
      <c r="S88" s="214">
        <f t="shared" si="50"/>
        <v>23.9</v>
      </c>
      <c r="T88" s="214">
        <f t="shared" si="50"/>
        <v>23.9</v>
      </c>
      <c r="U88" s="214">
        <f t="shared" si="50"/>
        <v>23.9</v>
      </c>
      <c r="V88" s="214">
        <f t="shared" si="50"/>
        <v>23.9</v>
      </c>
      <c r="W88" s="214">
        <f t="shared" si="50"/>
        <v>23.9</v>
      </c>
      <c r="X88" s="214">
        <f t="shared" si="50"/>
        <v>23.9</v>
      </c>
      <c r="Y88" s="214">
        <f t="shared" si="50"/>
        <v>23.9</v>
      </c>
      <c r="Z88" s="214">
        <f t="shared" si="50"/>
        <v>23.9</v>
      </c>
      <c r="AA88" s="214">
        <f t="shared" si="50"/>
        <v>23.9</v>
      </c>
      <c r="AB88" s="214">
        <f t="shared" si="50"/>
        <v>23.9</v>
      </c>
      <c r="AC88" s="214">
        <f t="shared" si="50"/>
        <v>23.9</v>
      </c>
      <c r="AD88" s="214">
        <f t="shared" si="50"/>
        <v>23.9</v>
      </c>
      <c r="AE88" s="214">
        <f t="shared" si="50"/>
        <v>23.9</v>
      </c>
      <c r="AF88" s="214">
        <f t="shared" si="50"/>
        <v>23.9</v>
      </c>
      <c r="AG88" s="214">
        <f t="shared" si="50"/>
        <v>23.9</v>
      </c>
      <c r="AH88" s="214">
        <f t="shared" si="50"/>
        <v>23.9</v>
      </c>
      <c r="AI88" s="214">
        <f t="shared" si="50"/>
        <v>23.9</v>
      </c>
      <c r="AJ88" s="214">
        <f t="shared" si="50"/>
        <v>23.9</v>
      </c>
      <c r="AK88" s="214">
        <f t="shared" si="50"/>
        <v>23.9</v>
      </c>
      <c r="AL88" s="214">
        <f t="shared" si="50"/>
        <v>23.9</v>
      </c>
      <c r="AM88" s="214">
        <f t="shared" si="50"/>
        <v>23.9</v>
      </c>
      <c r="AN88" s="214">
        <f t="shared" si="50"/>
        <v>23.9</v>
      </c>
      <c r="AO88" s="214">
        <f t="shared" si="50"/>
        <v>23.9</v>
      </c>
      <c r="AP88" s="214">
        <f t="shared" si="50"/>
        <v>23.9</v>
      </c>
      <c r="AQ88" s="214">
        <f t="shared" si="50"/>
        <v>23.9</v>
      </c>
      <c r="AR88" s="214">
        <f t="shared" si="50"/>
        <v>23.9</v>
      </c>
      <c r="AS88" s="214">
        <f t="shared" si="50"/>
        <v>23.9</v>
      </c>
    </row>
    <row r="89" spans="1:45" outlineLevel="1" x14ac:dyDescent="0.15">
      <c r="H89" s="213" t="s">
        <v>339</v>
      </c>
      <c r="J89" s="165">
        <f t="shared" ref="J89:AS89" si="51">J34*J14</f>
        <v>32.199999999999996</v>
      </c>
      <c r="K89" s="165">
        <f t="shared" si="51"/>
        <v>29.400000000000002</v>
      </c>
      <c r="L89" s="165">
        <f t="shared" si="51"/>
        <v>30.800000000000004</v>
      </c>
      <c r="M89" s="165">
        <f t="shared" si="51"/>
        <v>30.800000000000004</v>
      </c>
      <c r="N89" s="165">
        <f t="shared" si="51"/>
        <v>29.400000000000002</v>
      </c>
      <c r="O89" s="165">
        <f t="shared" si="51"/>
        <v>32.199999999999996</v>
      </c>
      <c r="P89" s="165">
        <f t="shared" si="51"/>
        <v>29.400000000000002</v>
      </c>
      <c r="Q89" s="165">
        <f t="shared" si="51"/>
        <v>29.400000000000002</v>
      </c>
      <c r="R89" s="165">
        <f t="shared" si="51"/>
        <v>30.800000000000004</v>
      </c>
      <c r="S89" s="165">
        <f t="shared" si="51"/>
        <v>32.199999999999996</v>
      </c>
      <c r="T89" s="165">
        <f t="shared" si="51"/>
        <v>28</v>
      </c>
      <c r="U89" s="165">
        <f t="shared" si="51"/>
        <v>32.199999999999996</v>
      </c>
      <c r="V89" s="165">
        <f t="shared" si="51"/>
        <v>35.200000000000003</v>
      </c>
      <c r="W89" s="165">
        <f t="shared" si="51"/>
        <v>33.6</v>
      </c>
      <c r="X89" s="165">
        <f t="shared" si="51"/>
        <v>36.799999999999997</v>
      </c>
      <c r="Y89" s="165">
        <f t="shared" si="51"/>
        <v>33.6</v>
      </c>
      <c r="Z89" s="165">
        <f t="shared" si="51"/>
        <v>35.200000000000003</v>
      </c>
      <c r="AA89" s="165">
        <f t="shared" si="51"/>
        <v>36.799999999999997</v>
      </c>
      <c r="AB89" s="165">
        <f t="shared" si="51"/>
        <v>32</v>
      </c>
      <c r="AC89" s="165">
        <f t="shared" si="51"/>
        <v>37.800000000000004</v>
      </c>
      <c r="AD89" s="165">
        <f t="shared" si="51"/>
        <v>39.6</v>
      </c>
      <c r="AE89" s="165">
        <f t="shared" si="51"/>
        <v>39.6</v>
      </c>
      <c r="AF89" s="165">
        <f t="shared" si="51"/>
        <v>37.800000000000004</v>
      </c>
      <c r="AG89" s="165">
        <f t="shared" si="51"/>
        <v>41.4</v>
      </c>
      <c r="AH89" s="165">
        <f t="shared" si="51"/>
        <v>37.800000000000004</v>
      </c>
      <c r="AI89" s="165">
        <f t="shared" si="51"/>
        <v>39.6</v>
      </c>
      <c r="AJ89" s="165">
        <f t="shared" si="51"/>
        <v>41.4</v>
      </c>
      <c r="AK89" s="165">
        <f t="shared" si="51"/>
        <v>36</v>
      </c>
      <c r="AL89" s="165">
        <f t="shared" si="51"/>
        <v>41.4</v>
      </c>
      <c r="AM89" s="165">
        <f t="shared" si="51"/>
        <v>44</v>
      </c>
      <c r="AN89" s="165">
        <f t="shared" si="51"/>
        <v>40</v>
      </c>
      <c r="AO89" s="165">
        <f t="shared" si="51"/>
        <v>44</v>
      </c>
      <c r="AP89" s="165">
        <f t="shared" si="51"/>
        <v>44</v>
      </c>
      <c r="AQ89" s="165">
        <f t="shared" si="51"/>
        <v>42</v>
      </c>
      <c r="AR89" s="165">
        <f t="shared" si="51"/>
        <v>44</v>
      </c>
      <c r="AS89" s="165">
        <f t="shared" si="51"/>
        <v>46</v>
      </c>
    </row>
    <row r="90" spans="1:45" ht="3" customHeight="1" outlineLevel="1" x14ac:dyDescent="0.15"/>
    <row r="91" spans="1:45" outlineLevel="1" x14ac:dyDescent="0.15">
      <c r="B91" s="338" t="s">
        <v>340</v>
      </c>
      <c r="C91" s="338"/>
      <c r="D91" s="338"/>
      <c r="E91" s="338"/>
      <c r="F91" s="338"/>
      <c r="H91" s="213" t="s">
        <v>341</v>
      </c>
      <c r="J91" s="165">
        <f t="shared" ref="J91:AS91" si="52">J61</f>
        <v>100</v>
      </c>
      <c r="K91" s="165">
        <f t="shared" si="52"/>
        <v>103.33333333333334</v>
      </c>
      <c r="L91" s="165">
        <f t="shared" si="52"/>
        <v>106.66666666666667</v>
      </c>
      <c r="M91" s="165">
        <f t="shared" si="52"/>
        <v>110</v>
      </c>
      <c r="N91" s="165">
        <f t="shared" si="52"/>
        <v>113.33333333333334</v>
      </c>
      <c r="O91" s="165">
        <f t="shared" si="52"/>
        <v>116.66666666666667</v>
      </c>
      <c r="P91" s="165">
        <f t="shared" si="52"/>
        <v>120</v>
      </c>
      <c r="Q91" s="165">
        <f t="shared" si="52"/>
        <v>123.33333333333334</v>
      </c>
      <c r="R91" s="165">
        <f t="shared" si="52"/>
        <v>126.66666666666667</v>
      </c>
      <c r="S91" s="165">
        <f t="shared" si="52"/>
        <v>130</v>
      </c>
      <c r="T91" s="165">
        <f t="shared" si="52"/>
        <v>133.33333333333334</v>
      </c>
      <c r="U91" s="165">
        <f t="shared" si="52"/>
        <v>136.66666666666669</v>
      </c>
      <c r="V91" s="165">
        <f t="shared" si="52"/>
        <v>140</v>
      </c>
      <c r="W91" s="165">
        <f t="shared" si="52"/>
        <v>143.33333333333334</v>
      </c>
      <c r="X91" s="165">
        <f t="shared" si="52"/>
        <v>146.66666666666669</v>
      </c>
      <c r="Y91" s="165">
        <f t="shared" si="52"/>
        <v>150</v>
      </c>
      <c r="Z91" s="165">
        <f t="shared" si="52"/>
        <v>153.33333333333334</v>
      </c>
      <c r="AA91" s="165">
        <f t="shared" si="52"/>
        <v>156.66666666666669</v>
      </c>
      <c r="AB91" s="165">
        <f t="shared" si="52"/>
        <v>160</v>
      </c>
      <c r="AC91" s="165">
        <f t="shared" si="52"/>
        <v>163.33333333333334</v>
      </c>
      <c r="AD91" s="165">
        <f t="shared" si="52"/>
        <v>166.66666666666669</v>
      </c>
      <c r="AE91" s="165">
        <f t="shared" si="52"/>
        <v>170</v>
      </c>
      <c r="AF91" s="165">
        <f t="shared" si="52"/>
        <v>173.33333333333334</v>
      </c>
      <c r="AG91" s="165">
        <f t="shared" si="52"/>
        <v>176.66666666666669</v>
      </c>
      <c r="AH91" s="165">
        <f t="shared" si="52"/>
        <v>180</v>
      </c>
      <c r="AI91" s="165">
        <f t="shared" si="52"/>
        <v>183.33333333333334</v>
      </c>
      <c r="AJ91" s="165">
        <f t="shared" si="52"/>
        <v>186.66666666666669</v>
      </c>
      <c r="AK91" s="165">
        <f t="shared" si="52"/>
        <v>190</v>
      </c>
      <c r="AL91" s="165">
        <f t="shared" si="52"/>
        <v>193.33333333333334</v>
      </c>
      <c r="AM91" s="165">
        <f t="shared" si="52"/>
        <v>196.66666666666669</v>
      </c>
      <c r="AN91" s="165">
        <f t="shared" si="52"/>
        <v>200</v>
      </c>
      <c r="AO91" s="165">
        <f t="shared" si="52"/>
        <v>203.33333333333334</v>
      </c>
      <c r="AP91" s="165">
        <f t="shared" si="52"/>
        <v>206.66666666666669</v>
      </c>
      <c r="AQ91" s="165">
        <f t="shared" si="52"/>
        <v>210</v>
      </c>
      <c r="AR91" s="165">
        <f t="shared" si="52"/>
        <v>213.33333333333334</v>
      </c>
      <c r="AS91" s="165">
        <f t="shared" si="52"/>
        <v>216.66666666666669</v>
      </c>
    </row>
    <row r="92" spans="1:45" outlineLevel="1" x14ac:dyDescent="0.15">
      <c r="H92" s="213" t="s">
        <v>342</v>
      </c>
      <c r="J92" s="167">
        <v>0.5</v>
      </c>
      <c r="K92" s="167">
        <v>0.5</v>
      </c>
      <c r="L92" s="167">
        <v>0.5</v>
      </c>
      <c r="M92" s="167">
        <v>0.5</v>
      </c>
      <c r="N92" s="167">
        <v>0.5</v>
      </c>
      <c r="O92" s="167">
        <v>0.5</v>
      </c>
      <c r="P92" s="167">
        <v>0.5</v>
      </c>
      <c r="Q92" s="167">
        <v>0.5</v>
      </c>
      <c r="R92" s="167">
        <v>0.5</v>
      </c>
      <c r="S92" s="167">
        <v>0.5</v>
      </c>
      <c r="T92" s="167">
        <v>0.5</v>
      </c>
      <c r="U92" s="167">
        <v>0.5</v>
      </c>
      <c r="V92" s="167">
        <v>0.5</v>
      </c>
      <c r="W92" s="167">
        <v>0.5</v>
      </c>
      <c r="X92" s="167">
        <v>0.5</v>
      </c>
      <c r="Y92" s="167">
        <v>0.5</v>
      </c>
      <c r="Z92" s="167">
        <v>0.5</v>
      </c>
      <c r="AA92" s="167">
        <v>0.5</v>
      </c>
      <c r="AB92" s="167">
        <v>0.5</v>
      </c>
      <c r="AC92" s="167">
        <v>0.5</v>
      </c>
      <c r="AD92" s="167">
        <v>0.5</v>
      </c>
      <c r="AE92" s="167">
        <v>0.5</v>
      </c>
      <c r="AF92" s="167">
        <v>0.5</v>
      </c>
      <c r="AG92" s="167">
        <v>0.5</v>
      </c>
      <c r="AH92" s="167">
        <v>0.5</v>
      </c>
      <c r="AI92" s="167">
        <v>0.5</v>
      </c>
      <c r="AJ92" s="167">
        <v>0.5</v>
      </c>
      <c r="AK92" s="167">
        <v>0.5</v>
      </c>
      <c r="AL92" s="167">
        <v>0.5</v>
      </c>
      <c r="AM92" s="167">
        <v>0.5</v>
      </c>
      <c r="AN92" s="167">
        <v>0.5</v>
      </c>
      <c r="AO92" s="167">
        <v>0.5</v>
      </c>
      <c r="AP92" s="167">
        <v>0.5</v>
      </c>
      <c r="AQ92" s="167">
        <v>0.5</v>
      </c>
      <c r="AR92" s="167">
        <v>0.5</v>
      </c>
      <c r="AS92" s="167">
        <v>0.5</v>
      </c>
    </row>
    <row r="93" spans="1:45" ht="3" customHeight="1" outlineLevel="1" x14ac:dyDescent="0.15"/>
    <row r="94" spans="1:45" outlineLevel="1" x14ac:dyDescent="0.15">
      <c r="B94" s="338" t="s">
        <v>343</v>
      </c>
      <c r="C94" s="338"/>
      <c r="D94" s="338"/>
      <c r="E94" s="338"/>
      <c r="F94" s="338"/>
      <c r="H94" s="213" t="s">
        <v>344</v>
      </c>
      <c r="J94" s="166">
        <f t="shared" ref="J94:AS94" si="53">J66</f>
        <v>2481.0619354838709</v>
      </c>
      <c r="K94" s="166">
        <f t="shared" si="53"/>
        <v>4567.1165399999991</v>
      </c>
      <c r="L94" s="166">
        <f t="shared" si="53"/>
        <v>4753.2944516129037</v>
      </c>
      <c r="M94" s="166">
        <f t="shared" si="53"/>
        <v>5821.4309999999996</v>
      </c>
      <c r="N94" s="166">
        <f t="shared" si="53"/>
        <v>1969.8246580645155</v>
      </c>
      <c r="O94" s="166">
        <f t="shared" si="53"/>
        <v>4324.5171290322578</v>
      </c>
      <c r="P94" s="166">
        <f t="shared" si="53"/>
        <v>4722.8832000000002</v>
      </c>
      <c r="Q94" s="166">
        <f t="shared" si="53"/>
        <v>4681.505206451613</v>
      </c>
      <c r="R94" s="166">
        <f t="shared" si="53"/>
        <v>3527.4685600000003</v>
      </c>
      <c r="S94" s="166">
        <f t="shared" si="53"/>
        <v>4307.8396064516119</v>
      </c>
      <c r="T94" s="166">
        <f t="shared" si="53"/>
        <v>4220.72</v>
      </c>
      <c r="U94" s="166">
        <f t="shared" si="53"/>
        <v>3799.1097290322577</v>
      </c>
      <c r="V94" s="166">
        <f t="shared" si="53"/>
        <v>3322.465548387097</v>
      </c>
      <c r="W94" s="166">
        <f t="shared" si="53"/>
        <v>6335.03262</v>
      </c>
      <c r="X94" s="166">
        <f t="shared" si="53"/>
        <v>6832.8607741935475</v>
      </c>
      <c r="Y94" s="166">
        <f t="shared" si="53"/>
        <v>7577.4824999999992</v>
      </c>
      <c r="Z94" s="166">
        <f t="shared" si="53"/>
        <v>2791.9643612903224</v>
      </c>
      <c r="AA94" s="166">
        <f t="shared" si="53"/>
        <v>5807.2087161290319</v>
      </c>
      <c r="AB94" s="166">
        <f t="shared" si="53"/>
        <v>5997.3119999999999</v>
      </c>
      <c r="AC94" s="166">
        <f t="shared" si="53"/>
        <v>6199.831219354839</v>
      </c>
      <c r="AD94" s="166">
        <f t="shared" si="53"/>
        <v>4641.4059999999999</v>
      </c>
      <c r="AE94" s="166">
        <f t="shared" si="53"/>
        <v>5388.4013806451612</v>
      </c>
      <c r="AF94" s="166">
        <f t="shared" si="53"/>
        <v>5761.2828000000009</v>
      </c>
      <c r="AG94" s="166">
        <f t="shared" si="53"/>
        <v>4911.0442838709669</v>
      </c>
      <c r="AH94" s="166">
        <f t="shared" si="53"/>
        <v>4077.5713548387102</v>
      </c>
      <c r="AI94" s="166">
        <f t="shared" si="53"/>
        <v>8488.8034000000007</v>
      </c>
      <c r="AJ94" s="166">
        <f t="shared" si="53"/>
        <v>8696.3682580645163</v>
      </c>
      <c r="AK94" s="166">
        <f t="shared" si="53"/>
        <v>8640</v>
      </c>
      <c r="AL94" s="166">
        <f t="shared" si="53"/>
        <v>3680.3166580645147</v>
      </c>
      <c r="AM94" s="166">
        <f t="shared" si="53"/>
        <v>6972.9481161290332</v>
      </c>
      <c r="AN94" s="166">
        <f t="shared" si="53"/>
        <v>7496.6399999999994</v>
      </c>
      <c r="AO94" s="166">
        <f t="shared" si="53"/>
        <v>8085.6885290322589</v>
      </c>
      <c r="AP94" s="166">
        <f t="shared" si="53"/>
        <v>5755.3434400000006</v>
      </c>
      <c r="AQ94" s="166">
        <f t="shared" si="53"/>
        <v>6353.7032322580644</v>
      </c>
      <c r="AR94" s="166">
        <f t="shared" si="53"/>
        <v>7428.467200000001</v>
      </c>
      <c r="AS94" s="166">
        <f t="shared" si="53"/>
        <v>6022.9788387096769</v>
      </c>
    </row>
    <row r="95" spans="1:45" outlineLevel="1" x14ac:dyDescent="0.15">
      <c r="H95" s="213" t="s">
        <v>345</v>
      </c>
      <c r="J95" s="167">
        <v>1.4E-2</v>
      </c>
      <c r="K95" s="167">
        <v>1.4E-2</v>
      </c>
      <c r="L95" s="167">
        <v>1.4E-2</v>
      </c>
      <c r="M95" s="167">
        <v>1.4E-2</v>
      </c>
      <c r="N95" s="167">
        <v>1.4E-2</v>
      </c>
      <c r="O95" s="167">
        <v>1.4E-2</v>
      </c>
      <c r="P95" s="167">
        <v>1.4E-2</v>
      </c>
      <c r="Q95" s="167">
        <v>1.4E-2</v>
      </c>
      <c r="R95" s="167">
        <v>1.4E-2</v>
      </c>
      <c r="S95" s="167">
        <v>1.4E-2</v>
      </c>
      <c r="T95" s="167">
        <v>1.4E-2</v>
      </c>
      <c r="U95" s="167">
        <v>1.4E-2</v>
      </c>
      <c r="V95" s="167">
        <v>1.4E-2</v>
      </c>
      <c r="W95" s="167">
        <v>1.4E-2</v>
      </c>
      <c r="X95" s="167">
        <v>1.4E-2</v>
      </c>
      <c r="Y95" s="167">
        <v>1.4E-2</v>
      </c>
      <c r="Z95" s="167">
        <v>1.4E-2</v>
      </c>
      <c r="AA95" s="167">
        <v>1.4E-2</v>
      </c>
      <c r="AB95" s="167">
        <v>1.4E-2</v>
      </c>
      <c r="AC95" s="167">
        <v>1.4E-2</v>
      </c>
      <c r="AD95" s="167">
        <v>1.4E-2</v>
      </c>
      <c r="AE95" s="167">
        <v>1.4E-2</v>
      </c>
      <c r="AF95" s="167">
        <v>1.4E-2</v>
      </c>
      <c r="AG95" s="167">
        <v>1.4E-2</v>
      </c>
      <c r="AH95" s="167">
        <v>1.4E-2</v>
      </c>
      <c r="AI95" s="167">
        <v>1.4E-2</v>
      </c>
      <c r="AJ95" s="167">
        <v>1.4E-2</v>
      </c>
      <c r="AK95" s="167">
        <v>1.4E-2</v>
      </c>
      <c r="AL95" s="167">
        <v>1.4E-2</v>
      </c>
      <c r="AM95" s="167">
        <v>1.4E-2</v>
      </c>
      <c r="AN95" s="167">
        <v>1.4E-2</v>
      </c>
      <c r="AO95" s="167">
        <v>1.4E-2</v>
      </c>
      <c r="AP95" s="167">
        <v>1.4E-2</v>
      </c>
      <c r="AQ95" s="167">
        <v>1.4E-2</v>
      </c>
      <c r="AR95" s="167">
        <v>1.4E-2</v>
      </c>
      <c r="AS95" s="167">
        <v>1.4E-2</v>
      </c>
    </row>
    <row r="96" spans="1:45" ht="3" customHeight="1" outlineLevel="1" x14ac:dyDescent="0.15"/>
    <row r="97" spans="2:45" ht="3" customHeight="1" outlineLevel="1" x14ac:dyDescent="0.15"/>
    <row r="98" spans="2:45" outlineLevel="1" x14ac:dyDescent="0.15">
      <c r="B98" s="16" t="str">
        <f>B87</f>
        <v>Cost of Goods Sold</v>
      </c>
      <c r="H98" s="155" t="s">
        <v>247</v>
      </c>
    </row>
    <row r="99" spans="2:45" outlineLevel="1" x14ac:dyDescent="0.15">
      <c r="B99" s="107" t="str">
        <f>B88</f>
        <v>Instructor Grants</v>
      </c>
      <c r="H99" s="227">
        <f>Scenarios!I60</f>
        <v>0</v>
      </c>
      <c r="J99" s="14">
        <f t="shared" ref="J99:AS99" si="54">J88*J89/Ts_Denom_Conv_Fact+$H99</f>
        <v>769.57999999999981</v>
      </c>
      <c r="K99" s="14">
        <f t="shared" si="54"/>
        <v>702.66</v>
      </c>
      <c r="L99" s="14">
        <f t="shared" si="54"/>
        <v>736.12</v>
      </c>
      <c r="M99" s="14">
        <f t="shared" si="54"/>
        <v>736.12</v>
      </c>
      <c r="N99" s="14">
        <f t="shared" si="54"/>
        <v>702.66</v>
      </c>
      <c r="O99" s="14">
        <f t="shared" si="54"/>
        <v>769.57999999999981</v>
      </c>
      <c r="P99" s="14">
        <f t="shared" si="54"/>
        <v>702.66</v>
      </c>
      <c r="Q99" s="14">
        <f t="shared" si="54"/>
        <v>702.66</v>
      </c>
      <c r="R99" s="14">
        <f t="shared" si="54"/>
        <v>736.12</v>
      </c>
      <c r="S99" s="14">
        <f t="shared" si="54"/>
        <v>769.57999999999981</v>
      </c>
      <c r="T99" s="14">
        <f t="shared" si="54"/>
        <v>669.19999999999993</v>
      </c>
      <c r="U99" s="14">
        <f t="shared" si="54"/>
        <v>769.57999999999981</v>
      </c>
      <c r="V99" s="14">
        <f t="shared" si="54"/>
        <v>841.28</v>
      </c>
      <c r="W99" s="14">
        <f t="shared" si="54"/>
        <v>803.04</v>
      </c>
      <c r="X99" s="14">
        <f t="shared" si="54"/>
        <v>879.51999999999987</v>
      </c>
      <c r="Y99" s="14">
        <f t="shared" si="54"/>
        <v>803.04</v>
      </c>
      <c r="Z99" s="14">
        <f t="shared" si="54"/>
        <v>841.28</v>
      </c>
      <c r="AA99" s="14">
        <f t="shared" si="54"/>
        <v>879.51999999999987</v>
      </c>
      <c r="AB99" s="14">
        <f t="shared" si="54"/>
        <v>764.8</v>
      </c>
      <c r="AC99" s="14">
        <f t="shared" si="54"/>
        <v>903.42000000000007</v>
      </c>
      <c r="AD99" s="14">
        <f t="shared" si="54"/>
        <v>946.43999999999994</v>
      </c>
      <c r="AE99" s="14">
        <f t="shared" si="54"/>
        <v>946.43999999999994</v>
      </c>
      <c r="AF99" s="14">
        <f t="shared" si="54"/>
        <v>903.42000000000007</v>
      </c>
      <c r="AG99" s="14">
        <f t="shared" si="54"/>
        <v>989.45999999999992</v>
      </c>
      <c r="AH99" s="14">
        <f t="shared" si="54"/>
        <v>903.42000000000007</v>
      </c>
      <c r="AI99" s="14">
        <f t="shared" si="54"/>
        <v>946.43999999999994</v>
      </c>
      <c r="AJ99" s="14">
        <f t="shared" si="54"/>
        <v>989.45999999999992</v>
      </c>
      <c r="AK99" s="14">
        <f t="shared" si="54"/>
        <v>860.4</v>
      </c>
      <c r="AL99" s="14">
        <f t="shared" si="54"/>
        <v>989.45999999999992</v>
      </c>
      <c r="AM99" s="14">
        <f t="shared" si="54"/>
        <v>1051.5999999999999</v>
      </c>
      <c r="AN99" s="14">
        <f t="shared" si="54"/>
        <v>956</v>
      </c>
      <c r="AO99" s="14">
        <f t="shared" si="54"/>
        <v>1051.5999999999999</v>
      </c>
      <c r="AP99" s="14">
        <f t="shared" si="54"/>
        <v>1051.5999999999999</v>
      </c>
      <c r="AQ99" s="14">
        <f t="shared" si="54"/>
        <v>1003.8</v>
      </c>
      <c r="AR99" s="14">
        <f t="shared" si="54"/>
        <v>1051.5999999999999</v>
      </c>
      <c r="AS99" s="14">
        <f t="shared" si="54"/>
        <v>1099.3999999999999</v>
      </c>
    </row>
    <row r="100" spans="2:45" outlineLevel="1" x14ac:dyDescent="0.15">
      <c r="B100" s="107" t="str">
        <f>B91</f>
        <v>Merch CoGS</v>
      </c>
      <c r="H100" s="223">
        <f>Scenarios!I63</f>
        <v>0</v>
      </c>
      <c r="J100" s="14">
        <f t="shared" ref="J100:AS100" si="55">J91*(1-J92)+$H100</f>
        <v>50</v>
      </c>
      <c r="K100" s="14">
        <f t="shared" si="55"/>
        <v>51.666666666666671</v>
      </c>
      <c r="L100" s="14">
        <f t="shared" si="55"/>
        <v>53.333333333333336</v>
      </c>
      <c r="M100" s="14">
        <f t="shared" si="55"/>
        <v>55</v>
      </c>
      <c r="N100" s="14">
        <f t="shared" si="55"/>
        <v>56.666666666666671</v>
      </c>
      <c r="O100" s="14">
        <f t="shared" si="55"/>
        <v>58.333333333333336</v>
      </c>
      <c r="P100" s="14">
        <f t="shared" si="55"/>
        <v>60</v>
      </c>
      <c r="Q100" s="14">
        <f t="shared" si="55"/>
        <v>61.666666666666671</v>
      </c>
      <c r="R100" s="14">
        <f t="shared" si="55"/>
        <v>63.333333333333336</v>
      </c>
      <c r="S100" s="14">
        <f t="shared" si="55"/>
        <v>65</v>
      </c>
      <c r="T100" s="14">
        <f t="shared" si="55"/>
        <v>66.666666666666671</v>
      </c>
      <c r="U100" s="14">
        <f t="shared" si="55"/>
        <v>68.333333333333343</v>
      </c>
      <c r="V100" s="14">
        <f t="shared" si="55"/>
        <v>70</v>
      </c>
      <c r="W100" s="14">
        <f t="shared" si="55"/>
        <v>71.666666666666671</v>
      </c>
      <c r="X100" s="14">
        <f t="shared" si="55"/>
        <v>73.333333333333343</v>
      </c>
      <c r="Y100" s="14">
        <f t="shared" si="55"/>
        <v>75</v>
      </c>
      <c r="Z100" s="14">
        <f t="shared" si="55"/>
        <v>76.666666666666671</v>
      </c>
      <c r="AA100" s="14">
        <f t="shared" si="55"/>
        <v>78.333333333333343</v>
      </c>
      <c r="AB100" s="14">
        <f t="shared" si="55"/>
        <v>80</v>
      </c>
      <c r="AC100" s="14">
        <f t="shared" si="55"/>
        <v>81.666666666666671</v>
      </c>
      <c r="AD100" s="14">
        <f t="shared" si="55"/>
        <v>83.333333333333343</v>
      </c>
      <c r="AE100" s="14">
        <f t="shared" si="55"/>
        <v>85</v>
      </c>
      <c r="AF100" s="14">
        <f t="shared" si="55"/>
        <v>86.666666666666671</v>
      </c>
      <c r="AG100" s="14">
        <f t="shared" si="55"/>
        <v>88.333333333333343</v>
      </c>
      <c r="AH100" s="14">
        <f t="shared" si="55"/>
        <v>90</v>
      </c>
      <c r="AI100" s="14">
        <f t="shared" si="55"/>
        <v>91.666666666666671</v>
      </c>
      <c r="AJ100" s="14">
        <f t="shared" si="55"/>
        <v>93.333333333333343</v>
      </c>
      <c r="AK100" s="14">
        <f t="shared" si="55"/>
        <v>95</v>
      </c>
      <c r="AL100" s="14">
        <f t="shared" si="55"/>
        <v>96.666666666666671</v>
      </c>
      <c r="AM100" s="14">
        <f t="shared" si="55"/>
        <v>98.333333333333343</v>
      </c>
      <c r="AN100" s="14">
        <f t="shared" si="55"/>
        <v>100</v>
      </c>
      <c r="AO100" s="14">
        <f t="shared" si="55"/>
        <v>101.66666666666667</v>
      </c>
      <c r="AP100" s="14">
        <f t="shared" si="55"/>
        <v>103.33333333333334</v>
      </c>
      <c r="AQ100" s="14">
        <f t="shared" si="55"/>
        <v>105</v>
      </c>
      <c r="AR100" s="14">
        <f t="shared" si="55"/>
        <v>106.66666666666667</v>
      </c>
      <c r="AS100" s="14">
        <f t="shared" si="55"/>
        <v>108.33333333333334</v>
      </c>
    </row>
    <row r="101" spans="2:45" outlineLevel="1" x14ac:dyDescent="0.15">
      <c r="B101" s="107" t="str">
        <f>B94</f>
        <v>Discounts (Gift Cards)</v>
      </c>
      <c r="H101" s="212">
        <f>Scenarios!I66</f>
        <v>0</v>
      </c>
      <c r="J101" s="14">
        <f t="shared" ref="J101:AS101" si="56">J94*(J95+$H101)</f>
        <v>34.734867096774195</v>
      </c>
      <c r="K101" s="14">
        <f t="shared" si="56"/>
        <v>63.939631559999988</v>
      </c>
      <c r="L101" s="14">
        <f t="shared" si="56"/>
        <v>66.546122322580658</v>
      </c>
      <c r="M101" s="14">
        <f t="shared" si="56"/>
        <v>81.500033999999999</v>
      </c>
      <c r="N101" s="14">
        <f t="shared" si="56"/>
        <v>27.577545212903217</v>
      </c>
      <c r="O101" s="14">
        <f t="shared" si="56"/>
        <v>60.543239806451609</v>
      </c>
      <c r="P101" s="14">
        <f t="shared" si="56"/>
        <v>66.120364800000004</v>
      </c>
      <c r="Q101" s="14">
        <f t="shared" si="56"/>
        <v>65.541072890322582</v>
      </c>
      <c r="R101" s="14">
        <f t="shared" si="56"/>
        <v>49.384559840000001</v>
      </c>
      <c r="S101" s="14">
        <f t="shared" si="56"/>
        <v>60.309754490322568</v>
      </c>
      <c r="T101" s="14">
        <f t="shared" si="56"/>
        <v>59.090080000000007</v>
      </c>
      <c r="U101" s="14">
        <f t="shared" si="56"/>
        <v>53.187536206451611</v>
      </c>
      <c r="V101" s="14">
        <f t="shared" si="56"/>
        <v>46.514517677419356</v>
      </c>
      <c r="W101" s="14">
        <f t="shared" si="56"/>
        <v>88.690456679999997</v>
      </c>
      <c r="X101" s="14">
        <f t="shared" si="56"/>
        <v>95.660050838709665</v>
      </c>
      <c r="Y101" s="14">
        <f t="shared" si="56"/>
        <v>106.08475499999999</v>
      </c>
      <c r="Z101" s="14">
        <f t="shared" si="56"/>
        <v>39.087501058064511</v>
      </c>
      <c r="AA101" s="14">
        <f t="shared" si="56"/>
        <v>81.300922025806443</v>
      </c>
      <c r="AB101" s="14">
        <f t="shared" si="56"/>
        <v>83.962367999999998</v>
      </c>
      <c r="AC101" s="14">
        <f t="shared" si="56"/>
        <v>86.797637070967752</v>
      </c>
      <c r="AD101" s="14">
        <f t="shared" si="56"/>
        <v>64.979684000000006</v>
      </c>
      <c r="AE101" s="14">
        <f t="shared" si="56"/>
        <v>75.437619329032259</v>
      </c>
      <c r="AF101" s="14">
        <f t="shared" si="56"/>
        <v>80.657959200000008</v>
      </c>
      <c r="AG101" s="14">
        <f t="shared" si="56"/>
        <v>68.754619974193531</v>
      </c>
      <c r="AH101" s="14">
        <f t="shared" si="56"/>
        <v>57.085998967741943</v>
      </c>
      <c r="AI101" s="14">
        <f t="shared" si="56"/>
        <v>118.84324760000001</v>
      </c>
      <c r="AJ101" s="14">
        <f t="shared" si="56"/>
        <v>121.74915561290324</v>
      </c>
      <c r="AK101" s="14">
        <f t="shared" si="56"/>
        <v>120.96000000000001</v>
      </c>
      <c r="AL101" s="14">
        <f t="shared" si="56"/>
        <v>51.524433212903205</v>
      </c>
      <c r="AM101" s="14">
        <f t="shared" si="56"/>
        <v>97.621273625806467</v>
      </c>
      <c r="AN101" s="14">
        <f t="shared" si="56"/>
        <v>104.95295999999999</v>
      </c>
      <c r="AO101" s="14">
        <f t="shared" si="56"/>
        <v>113.19963940645162</v>
      </c>
      <c r="AP101" s="14">
        <f t="shared" si="56"/>
        <v>80.574808160000003</v>
      </c>
      <c r="AQ101" s="14">
        <f t="shared" si="56"/>
        <v>88.951845251612909</v>
      </c>
      <c r="AR101" s="14">
        <f t="shared" si="56"/>
        <v>103.99854080000001</v>
      </c>
      <c r="AS101" s="14">
        <f t="shared" si="56"/>
        <v>84.32170374193548</v>
      </c>
    </row>
    <row r="102" spans="2:45" outlineLevel="1" x14ac:dyDescent="0.15">
      <c r="B102" s="16" t="str">
        <f>"Total "&amp;B87</f>
        <v>Total Cost of Goods Sold</v>
      </c>
      <c r="J102" s="18">
        <f t="shared" ref="J102:AS102" ca="1" si="57">IF(ROWS(J$98:J$102)=2,0,SUM(OFFSET(J$98,1,0,ROWS(J$98:J$102)-2)))</f>
        <v>854.31486709677404</v>
      </c>
      <c r="K102" s="18">
        <f t="shared" ca="1" si="57"/>
        <v>818.26629822666655</v>
      </c>
      <c r="L102" s="18">
        <f t="shared" ca="1" si="57"/>
        <v>855.99945565591406</v>
      </c>
      <c r="M102" s="18">
        <f t="shared" ca="1" si="57"/>
        <v>872.62003400000003</v>
      </c>
      <c r="N102" s="18">
        <f t="shared" ca="1" si="57"/>
        <v>786.90421187956986</v>
      </c>
      <c r="O102" s="18">
        <f t="shared" ca="1" si="57"/>
        <v>888.45657313978484</v>
      </c>
      <c r="P102" s="18">
        <f t="shared" ca="1" si="57"/>
        <v>828.78036479999992</v>
      </c>
      <c r="Q102" s="18">
        <f t="shared" ca="1" si="57"/>
        <v>829.86773955698914</v>
      </c>
      <c r="R102" s="18">
        <f t="shared" ca="1" si="57"/>
        <v>848.83789317333333</v>
      </c>
      <c r="S102" s="18">
        <f t="shared" ca="1" si="57"/>
        <v>894.88975449032239</v>
      </c>
      <c r="T102" s="18">
        <f t="shared" ca="1" si="57"/>
        <v>794.95674666666662</v>
      </c>
      <c r="U102" s="18">
        <f t="shared" ca="1" si="57"/>
        <v>891.10086953978475</v>
      </c>
      <c r="V102" s="18">
        <f t="shared" ca="1" si="57"/>
        <v>957.79451767741932</v>
      </c>
      <c r="W102" s="18">
        <f t="shared" ca="1" si="57"/>
        <v>963.3971233466666</v>
      </c>
      <c r="X102" s="18">
        <f t="shared" ca="1" si="57"/>
        <v>1048.5133841720428</v>
      </c>
      <c r="Y102" s="18">
        <f t="shared" ca="1" si="57"/>
        <v>984.12475499999994</v>
      </c>
      <c r="Z102" s="18">
        <f t="shared" ca="1" si="57"/>
        <v>957.03416772473111</v>
      </c>
      <c r="AA102" s="18">
        <f t="shared" ca="1" si="57"/>
        <v>1039.1542553591396</v>
      </c>
      <c r="AB102" s="18">
        <f t="shared" ca="1" si="57"/>
        <v>928.76236799999992</v>
      </c>
      <c r="AC102" s="18">
        <f t="shared" ca="1" si="57"/>
        <v>1071.8843037376344</v>
      </c>
      <c r="AD102" s="18">
        <f t="shared" ca="1" si="57"/>
        <v>1094.7530173333332</v>
      </c>
      <c r="AE102" s="18">
        <f t="shared" ca="1" si="57"/>
        <v>1106.8776193290323</v>
      </c>
      <c r="AF102" s="18">
        <f t="shared" ca="1" si="57"/>
        <v>1070.7446258666666</v>
      </c>
      <c r="AG102" s="18">
        <f t="shared" ca="1" si="57"/>
        <v>1146.5479533075268</v>
      </c>
      <c r="AH102" s="18">
        <f t="shared" ca="1" si="57"/>
        <v>1050.505998967742</v>
      </c>
      <c r="AI102" s="18">
        <f t="shared" ca="1" si="57"/>
        <v>1156.9499142666666</v>
      </c>
      <c r="AJ102" s="18">
        <f t="shared" ca="1" si="57"/>
        <v>1204.5424889462365</v>
      </c>
      <c r="AK102" s="18">
        <f t="shared" ca="1" si="57"/>
        <v>1076.3599999999999</v>
      </c>
      <c r="AL102" s="18">
        <f t="shared" ca="1" si="57"/>
        <v>1137.6510998795698</v>
      </c>
      <c r="AM102" s="18">
        <f t="shared" ca="1" si="57"/>
        <v>1247.5546069591396</v>
      </c>
      <c r="AN102" s="18">
        <f t="shared" ca="1" si="57"/>
        <v>1160.9529600000001</v>
      </c>
      <c r="AO102" s="18">
        <f t="shared" ca="1" si="57"/>
        <v>1266.4663060731182</v>
      </c>
      <c r="AP102" s="18">
        <f t="shared" ca="1" si="57"/>
        <v>1235.5081414933331</v>
      </c>
      <c r="AQ102" s="18">
        <f t="shared" ca="1" si="57"/>
        <v>1197.7518452516128</v>
      </c>
      <c r="AR102" s="18">
        <f t="shared" ca="1" si="57"/>
        <v>1262.2652074666667</v>
      </c>
      <c r="AS102" s="18">
        <f t="shared" ca="1" si="57"/>
        <v>1292.0550370752685</v>
      </c>
    </row>
    <row r="103" spans="2:45" ht="6" customHeight="1" outlineLevel="1" x14ac:dyDescent="0.15"/>
    <row r="104" spans="2:45" hidden="1" outlineLevel="2" x14ac:dyDescent="0.15">
      <c r="B104" s="16" t="str">
        <f>B87</f>
        <v>Cost of Goods Sold</v>
      </c>
    </row>
    <row r="105" spans="2:45" hidden="1" outlineLevel="2" x14ac:dyDescent="0.15">
      <c r="B105" s="107" t="str">
        <f>B99</f>
        <v>Instructor Grants</v>
      </c>
      <c r="J105" s="14">
        <f t="shared" ref="J105:AS105" si="58">J99</f>
        <v>769.57999999999981</v>
      </c>
      <c r="K105" s="14">
        <f t="shared" si="58"/>
        <v>702.66</v>
      </c>
      <c r="L105" s="14">
        <f t="shared" si="58"/>
        <v>736.12</v>
      </c>
      <c r="M105" s="14">
        <f t="shared" si="58"/>
        <v>736.12</v>
      </c>
      <c r="N105" s="14">
        <f t="shared" si="58"/>
        <v>702.66</v>
      </c>
      <c r="O105" s="14">
        <f t="shared" si="58"/>
        <v>769.57999999999981</v>
      </c>
      <c r="P105" s="14">
        <f t="shared" si="58"/>
        <v>702.66</v>
      </c>
      <c r="Q105" s="14">
        <f t="shared" si="58"/>
        <v>702.66</v>
      </c>
      <c r="R105" s="14">
        <f t="shared" si="58"/>
        <v>736.12</v>
      </c>
      <c r="S105" s="14">
        <f t="shared" si="58"/>
        <v>769.57999999999981</v>
      </c>
      <c r="T105" s="14">
        <f t="shared" si="58"/>
        <v>669.19999999999993</v>
      </c>
      <c r="U105" s="14">
        <f t="shared" si="58"/>
        <v>769.57999999999981</v>
      </c>
      <c r="V105" s="14">
        <f t="shared" si="58"/>
        <v>841.28</v>
      </c>
      <c r="W105" s="14">
        <f t="shared" si="58"/>
        <v>803.04</v>
      </c>
      <c r="X105" s="14">
        <f t="shared" si="58"/>
        <v>879.51999999999987</v>
      </c>
      <c r="Y105" s="14">
        <f t="shared" si="58"/>
        <v>803.04</v>
      </c>
      <c r="Z105" s="14">
        <f t="shared" si="58"/>
        <v>841.28</v>
      </c>
      <c r="AA105" s="14">
        <f t="shared" si="58"/>
        <v>879.51999999999987</v>
      </c>
      <c r="AB105" s="14">
        <f t="shared" si="58"/>
        <v>764.8</v>
      </c>
      <c r="AC105" s="14">
        <f t="shared" si="58"/>
        <v>903.42000000000007</v>
      </c>
      <c r="AD105" s="14">
        <f t="shared" si="58"/>
        <v>946.43999999999994</v>
      </c>
      <c r="AE105" s="14">
        <f t="shared" si="58"/>
        <v>946.43999999999994</v>
      </c>
      <c r="AF105" s="14">
        <f t="shared" si="58"/>
        <v>903.42000000000007</v>
      </c>
      <c r="AG105" s="14">
        <f t="shared" si="58"/>
        <v>989.45999999999992</v>
      </c>
      <c r="AH105" s="14">
        <f t="shared" si="58"/>
        <v>903.42000000000007</v>
      </c>
      <c r="AI105" s="14">
        <f t="shared" si="58"/>
        <v>946.43999999999994</v>
      </c>
      <c r="AJ105" s="14">
        <f t="shared" si="58"/>
        <v>989.45999999999992</v>
      </c>
      <c r="AK105" s="14">
        <f t="shared" si="58"/>
        <v>860.4</v>
      </c>
      <c r="AL105" s="14">
        <f t="shared" si="58"/>
        <v>989.45999999999992</v>
      </c>
      <c r="AM105" s="14">
        <f t="shared" si="58"/>
        <v>1051.5999999999999</v>
      </c>
      <c r="AN105" s="14">
        <f t="shared" si="58"/>
        <v>956</v>
      </c>
      <c r="AO105" s="14">
        <f t="shared" si="58"/>
        <v>1051.5999999999999</v>
      </c>
      <c r="AP105" s="14">
        <f t="shared" si="58"/>
        <v>1051.5999999999999</v>
      </c>
      <c r="AQ105" s="14">
        <f t="shared" si="58"/>
        <v>1003.8</v>
      </c>
      <c r="AR105" s="14">
        <f t="shared" si="58"/>
        <v>1051.5999999999999</v>
      </c>
      <c r="AS105" s="14">
        <f t="shared" si="58"/>
        <v>1099.3999999999999</v>
      </c>
    </row>
    <row r="106" spans="2:45" hidden="1" outlineLevel="2" x14ac:dyDescent="0.15">
      <c r="B106" s="107" t="str">
        <f>B100</f>
        <v>Merch CoGS</v>
      </c>
      <c r="J106" s="14">
        <f t="shared" ref="J106:AS106" si="59">J100</f>
        <v>50</v>
      </c>
      <c r="K106" s="14">
        <f t="shared" si="59"/>
        <v>51.666666666666671</v>
      </c>
      <c r="L106" s="14">
        <f t="shared" si="59"/>
        <v>53.333333333333336</v>
      </c>
      <c r="M106" s="14">
        <f t="shared" si="59"/>
        <v>55</v>
      </c>
      <c r="N106" s="14">
        <f t="shared" si="59"/>
        <v>56.666666666666671</v>
      </c>
      <c r="O106" s="14">
        <f t="shared" si="59"/>
        <v>58.333333333333336</v>
      </c>
      <c r="P106" s="14">
        <f t="shared" si="59"/>
        <v>60</v>
      </c>
      <c r="Q106" s="14">
        <f t="shared" si="59"/>
        <v>61.666666666666671</v>
      </c>
      <c r="R106" s="14">
        <f t="shared" si="59"/>
        <v>63.333333333333336</v>
      </c>
      <c r="S106" s="14">
        <f t="shared" si="59"/>
        <v>65</v>
      </c>
      <c r="T106" s="14">
        <f t="shared" si="59"/>
        <v>66.666666666666671</v>
      </c>
      <c r="U106" s="14">
        <f t="shared" si="59"/>
        <v>68.333333333333343</v>
      </c>
      <c r="V106" s="14">
        <f t="shared" si="59"/>
        <v>70</v>
      </c>
      <c r="W106" s="14">
        <f t="shared" si="59"/>
        <v>71.666666666666671</v>
      </c>
      <c r="X106" s="14">
        <f t="shared" si="59"/>
        <v>73.333333333333343</v>
      </c>
      <c r="Y106" s="14">
        <f t="shared" si="59"/>
        <v>75</v>
      </c>
      <c r="Z106" s="14">
        <f t="shared" si="59"/>
        <v>76.666666666666671</v>
      </c>
      <c r="AA106" s="14">
        <f t="shared" si="59"/>
        <v>78.333333333333343</v>
      </c>
      <c r="AB106" s="14">
        <f t="shared" si="59"/>
        <v>80</v>
      </c>
      <c r="AC106" s="14">
        <f t="shared" si="59"/>
        <v>81.666666666666671</v>
      </c>
      <c r="AD106" s="14">
        <f t="shared" si="59"/>
        <v>83.333333333333343</v>
      </c>
      <c r="AE106" s="14">
        <f t="shared" si="59"/>
        <v>85</v>
      </c>
      <c r="AF106" s="14">
        <f t="shared" si="59"/>
        <v>86.666666666666671</v>
      </c>
      <c r="AG106" s="14">
        <f t="shared" si="59"/>
        <v>88.333333333333343</v>
      </c>
      <c r="AH106" s="14">
        <f t="shared" si="59"/>
        <v>90</v>
      </c>
      <c r="AI106" s="14">
        <f t="shared" si="59"/>
        <v>91.666666666666671</v>
      </c>
      <c r="AJ106" s="14">
        <f t="shared" si="59"/>
        <v>93.333333333333343</v>
      </c>
      <c r="AK106" s="14">
        <f t="shared" si="59"/>
        <v>95</v>
      </c>
      <c r="AL106" s="14">
        <f t="shared" si="59"/>
        <v>96.666666666666671</v>
      </c>
      <c r="AM106" s="14">
        <f t="shared" si="59"/>
        <v>98.333333333333343</v>
      </c>
      <c r="AN106" s="14">
        <f t="shared" si="59"/>
        <v>100</v>
      </c>
      <c r="AO106" s="14">
        <f t="shared" si="59"/>
        <v>101.66666666666667</v>
      </c>
      <c r="AP106" s="14">
        <f t="shared" si="59"/>
        <v>103.33333333333334</v>
      </c>
      <c r="AQ106" s="14">
        <f t="shared" si="59"/>
        <v>105</v>
      </c>
      <c r="AR106" s="14">
        <f t="shared" si="59"/>
        <v>106.66666666666667</v>
      </c>
      <c r="AS106" s="14">
        <f t="shared" si="59"/>
        <v>108.33333333333334</v>
      </c>
    </row>
    <row r="107" spans="2:45" hidden="1" outlineLevel="2" collapsed="1" x14ac:dyDescent="0.15">
      <c r="B107" s="107" t="str">
        <f>B101</f>
        <v>Discounts (Gift Cards)</v>
      </c>
      <c r="J107" s="14">
        <f t="shared" ref="J107:AS107" si="60">J101</f>
        <v>34.734867096774195</v>
      </c>
      <c r="K107" s="14">
        <f t="shared" si="60"/>
        <v>63.939631559999988</v>
      </c>
      <c r="L107" s="14">
        <f t="shared" si="60"/>
        <v>66.546122322580658</v>
      </c>
      <c r="M107" s="14">
        <f t="shared" si="60"/>
        <v>81.500033999999999</v>
      </c>
      <c r="N107" s="14">
        <f t="shared" si="60"/>
        <v>27.577545212903217</v>
      </c>
      <c r="O107" s="14">
        <f t="shared" si="60"/>
        <v>60.543239806451609</v>
      </c>
      <c r="P107" s="14">
        <f t="shared" si="60"/>
        <v>66.120364800000004</v>
      </c>
      <c r="Q107" s="14">
        <f t="shared" si="60"/>
        <v>65.541072890322582</v>
      </c>
      <c r="R107" s="14">
        <f t="shared" si="60"/>
        <v>49.384559840000001</v>
      </c>
      <c r="S107" s="14">
        <f t="shared" si="60"/>
        <v>60.309754490322568</v>
      </c>
      <c r="T107" s="14">
        <f t="shared" si="60"/>
        <v>59.090080000000007</v>
      </c>
      <c r="U107" s="14">
        <f t="shared" si="60"/>
        <v>53.187536206451611</v>
      </c>
      <c r="V107" s="14">
        <f t="shared" si="60"/>
        <v>46.514517677419356</v>
      </c>
      <c r="W107" s="14">
        <f t="shared" si="60"/>
        <v>88.690456679999997</v>
      </c>
      <c r="X107" s="14">
        <f t="shared" si="60"/>
        <v>95.660050838709665</v>
      </c>
      <c r="Y107" s="14">
        <f t="shared" si="60"/>
        <v>106.08475499999999</v>
      </c>
      <c r="Z107" s="14">
        <f t="shared" si="60"/>
        <v>39.087501058064511</v>
      </c>
      <c r="AA107" s="14">
        <f t="shared" si="60"/>
        <v>81.300922025806443</v>
      </c>
      <c r="AB107" s="14">
        <f t="shared" si="60"/>
        <v>83.962367999999998</v>
      </c>
      <c r="AC107" s="14">
        <f t="shared" si="60"/>
        <v>86.797637070967752</v>
      </c>
      <c r="AD107" s="14">
        <f t="shared" si="60"/>
        <v>64.979684000000006</v>
      </c>
      <c r="AE107" s="14">
        <f t="shared" si="60"/>
        <v>75.437619329032259</v>
      </c>
      <c r="AF107" s="14">
        <f t="shared" si="60"/>
        <v>80.657959200000008</v>
      </c>
      <c r="AG107" s="14">
        <f t="shared" si="60"/>
        <v>68.754619974193531</v>
      </c>
      <c r="AH107" s="14">
        <f t="shared" si="60"/>
        <v>57.085998967741943</v>
      </c>
      <c r="AI107" s="14">
        <f t="shared" si="60"/>
        <v>118.84324760000001</v>
      </c>
      <c r="AJ107" s="14">
        <f t="shared" si="60"/>
        <v>121.74915561290324</v>
      </c>
      <c r="AK107" s="14">
        <f t="shared" si="60"/>
        <v>120.96000000000001</v>
      </c>
      <c r="AL107" s="14">
        <f t="shared" si="60"/>
        <v>51.524433212903205</v>
      </c>
      <c r="AM107" s="14">
        <f t="shared" si="60"/>
        <v>97.621273625806467</v>
      </c>
      <c r="AN107" s="14">
        <f t="shared" si="60"/>
        <v>104.95295999999999</v>
      </c>
      <c r="AO107" s="14">
        <f t="shared" si="60"/>
        <v>113.19963940645162</v>
      </c>
      <c r="AP107" s="14">
        <f t="shared" si="60"/>
        <v>80.574808160000003</v>
      </c>
      <c r="AQ107" s="14">
        <f t="shared" si="60"/>
        <v>88.951845251612909</v>
      </c>
      <c r="AR107" s="14">
        <f t="shared" si="60"/>
        <v>103.99854080000001</v>
      </c>
      <c r="AS107" s="14">
        <f t="shared" si="60"/>
        <v>84.32170374193548</v>
      </c>
    </row>
    <row r="108" spans="2:45" hidden="1" outlineLevel="2" x14ac:dyDescent="0.15">
      <c r="B108" s="16" t="str">
        <f>B102</f>
        <v>Total Cost of Goods Sold</v>
      </c>
      <c r="J108" s="18">
        <f t="shared" ref="J108:AS108" si="61">SUM(J105:J107)</f>
        <v>854.31486709677404</v>
      </c>
      <c r="K108" s="18">
        <f t="shared" si="61"/>
        <v>818.26629822666655</v>
      </c>
      <c r="L108" s="18">
        <f t="shared" si="61"/>
        <v>855.99945565591406</v>
      </c>
      <c r="M108" s="18">
        <f t="shared" si="61"/>
        <v>872.62003400000003</v>
      </c>
      <c r="N108" s="18">
        <f t="shared" si="61"/>
        <v>786.90421187956986</v>
      </c>
      <c r="O108" s="18">
        <f t="shared" si="61"/>
        <v>888.45657313978484</v>
      </c>
      <c r="P108" s="18">
        <f t="shared" si="61"/>
        <v>828.78036479999992</v>
      </c>
      <c r="Q108" s="18">
        <f t="shared" si="61"/>
        <v>829.86773955698914</v>
      </c>
      <c r="R108" s="18">
        <f t="shared" si="61"/>
        <v>848.83789317333333</v>
      </c>
      <c r="S108" s="18">
        <f t="shared" si="61"/>
        <v>894.88975449032239</v>
      </c>
      <c r="T108" s="18">
        <f t="shared" si="61"/>
        <v>794.95674666666662</v>
      </c>
      <c r="U108" s="18">
        <f t="shared" si="61"/>
        <v>891.10086953978475</v>
      </c>
      <c r="V108" s="18">
        <f t="shared" si="61"/>
        <v>957.79451767741932</v>
      </c>
      <c r="W108" s="18">
        <f t="shared" si="61"/>
        <v>963.3971233466666</v>
      </c>
      <c r="X108" s="18">
        <f t="shared" si="61"/>
        <v>1048.5133841720428</v>
      </c>
      <c r="Y108" s="18">
        <f t="shared" si="61"/>
        <v>984.12475499999994</v>
      </c>
      <c r="Z108" s="18">
        <f t="shared" si="61"/>
        <v>957.03416772473111</v>
      </c>
      <c r="AA108" s="18">
        <f t="shared" si="61"/>
        <v>1039.1542553591396</v>
      </c>
      <c r="AB108" s="18">
        <f t="shared" si="61"/>
        <v>928.76236799999992</v>
      </c>
      <c r="AC108" s="18">
        <f t="shared" si="61"/>
        <v>1071.8843037376344</v>
      </c>
      <c r="AD108" s="18">
        <f t="shared" si="61"/>
        <v>1094.7530173333332</v>
      </c>
      <c r="AE108" s="18">
        <f t="shared" si="61"/>
        <v>1106.8776193290323</v>
      </c>
      <c r="AF108" s="18">
        <f t="shared" si="61"/>
        <v>1070.7446258666666</v>
      </c>
      <c r="AG108" s="18">
        <f t="shared" si="61"/>
        <v>1146.5479533075268</v>
      </c>
      <c r="AH108" s="18">
        <f t="shared" si="61"/>
        <v>1050.505998967742</v>
      </c>
      <c r="AI108" s="18">
        <f t="shared" si="61"/>
        <v>1156.9499142666666</v>
      </c>
      <c r="AJ108" s="18">
        <f t="shared" si="61"/>
        <v>1204.5424889462365</v>
      </c>
      <c r="AK108" s="18">
        <f t="shared" si="61"/>
        <v>1076.3599999999999</v>
      </c>
      <c r="AL108" s="18">
        <f t="shared" si="61"/>
        <v>1137.6510998795698</v>
      </c>
      <c r="AM108" s="18">
        <f t="shared" si="61"/>
        <v>1247.5546069591396</v>
      </c>
      <c r="AN108" s="18">
        <f t="shared" si="61"/>
        <v>1160.9529600000001</v>
      </c>
      <c r="AO108" s="18">
        <f t="shared" si="61"/>
        <v>1266.4663060731182</v>
      </c>
      <c r="AP108" s="18">
        <f t="shared" si="61"/>
        <v>1235.5081414933331</v>
      </c>
      <c r="AQ108" s="18">
        <f t="shared" si="61"/>
        <v>1197.7518452516128</v>
      </c>
      <c r="AR108" s="18">
        <f t="shared" si="61"/>
        <v>1262.2652074666667</v>
      </c>
      <c r="AS108" s="18">
        <f t="shared" si="61"/>
        <v>1292.0550370752685</v>
      </c>
    </row>
    <row r="109" spans="2:45" ht="6" hidden="1" customHeight="1" outlineLevel="2" x14ac:dyDescent="0.15"/>
    <row r="110" spans="2:45" hidden="1" outlineLevel="2" x14ac:dyDescent="0.15">
      <c r="C110" s="107" t="s">
        <v>192</v>
      </c>
      <c r="J110" s="17">
        <f t="shared" ref="J110:AS110" ca="1" si="62">IF(ISERROR(J102-J108),1,0)</f>
        <v>0</v>
      </c>
      <c r="K110" s="17">
        <f t="shared" ca="1" si="62"/>
        <v>0</v>
      </c>
      <c r="L110" s="17">
        <f t="shared" ca="1" si="62"/>
        <v>0</v>
      </c>
      <c r="M110" s="17">
        <f t="shared" ca="1" si="62"/>
        <v>0</v>
      </c>
      <c r="N110" s="17">
        <f t="shared" ca="1" si="62"/>
        <v>0</v>
      </c>
      <c r="O110" s="17">
        <f t="shared" ca="1" si="62"/>
        <v>0</v>
      </c>
      <c r="P110" s="17">
        <f t="shared" ca="1" si="62"/>
        <v>0</v>
      </c>
      <c r="Q110" s="17">
        <f t="shared" ca="1" si="62"/>
        <v>0</v>
      </c>
      <c r="R110" s="17">
        <f t="shared" ca="1" si="62"/>
        <v>0</v>
      </c>
      <c r="S110" s="17">
        <f t="shared" ca="1" si="62"/>
        <v>0</v>
      </c>
      <c r="T110" s="17">
        <f t="shared" ca="1" si="62"/>
        <v>0</v>
      </c>
      <c r="U110" s="17">
        <f t="shared" ca="1" si="62"/>
        <v>0</v>
      </c>
      <c r="V110" s="17">
        <f t="shared" ca="1" si="62"/>
        <v>0</v>
      </c>
      <c r="W110" s="17">
        <f t="shared" ca="1" si="62"/>
        <v>0</v>
      </c>
      <c r="X110" s="17">
        <f t="shared" ca="1" si="62"/>
        <v>0</v>
      </c>
      <c r="Y110" s="17">
        <f t="shared" ca="1" si="62"/>
        <v>0</v>
      </c>
      <c r="Z110" s="17">
        <f t="shared" ca="1" si="62"/>
        <v>0</v>
      </c>
      <c r="AA110" s="17">
        <f t="shared" ca="1" si="62"/>
        <v>0</v>
      </c>
      <c r="AB110" s="17">
        <f t="shared" ca="1" si="62"/>
        <v>0</v>
      </c>
      <c r="AC110" s="17">
        <f t="shared" ca="1" si="62"/>
        <v>0</v>
      </c>
      <c r="AD110" s="17">
        <f t="shared" ca="1" si="62"/>
        <v>0</v>
      </c>
      <c r="AE110" s="17">
        <f t="shared" ca="1" si="62"/>
        <v>0</v>
      </c>
      <c r="AF110" s="17">
        <f t="shared" ca="1" si="62"/>
        <v>0</v>
      </c>
      <c r="AG110" s="17">
        <f t="shared" ca="1" si="62"/>
        <v>0</v>
      </c>
      <c r="AH110" s="17">
        <f t="shared" ca="1" si="62"/>
        <v>0</v>
      </c>
      <c r="AI110" s="17">
        <f t="shared" ca="1" si="62"/>
        <v>0</v>
      </c>
      <c r="AJ110" s="17">
        <f t="shared" ca="1" si="62"/>
        <v>0</v>
      </c>
      <c r="AK110" s="17">
        <f t="shared" ca="1" si="62"/>
        <v>0</v>
      </c>
      <c r="AL110" s="17">
        <f t="shared" ca="1" si="62"/>
        <v>0</v>
      </c>
      <c r="AM110" s="17">
        <f t="shared" ca="1" si="62"/>
        <v>0</v>
      </c>
      <c r="AN110" s="17">
        <f t="shared" ca="1" si="62"/>
        <v>0</v>
      </c>
      <c r="AO110" s="17">
        <f t="shared" ca="1" si="62"/>
        <v>0</v>
      </c>
      <c r="AP110" s="17">
        <f t="shared" ca="1" si="62"/>
        <v>0</v>
      </c>
      <c r="AQ110" s="17">
        <f t="shared" ca="1" si="62"/>
        <v>0</v>
      </c>
      <c r="AR110" s="17">
        <f t="shared" ca="1" si="62"/>
        <v>0</v>
      </c>
      <c r="AS110" s="17">
        <f t="shared" ca="1" si="62"/>
        <v>0</v>
      </c>
    </row>
    <row r="111" spans="2:45" hidden="1" outlineLevel="2" x14ac:dyDescent="0.15">
      <c r="C111" s="107" t="s">
        <v>334</v>
      </c>
      <c r="J111" s="42">
        <f t="shared" ref="J111:AS111" ca="1" si="63">IF(J110&lt;&gt;0,0,IF(ROUND(J102-J108,5)&lt;&gt;0,1,0))</f>
        <v>0</v>
      </c>
      <c r="K111" s="42">
        <f t="shared" ca="1" si="63"/>
        <v>0</v>
      </c>
      <c r="L111" s="42">
        <f t="shared" ca="1" si="63"/>
        <v>0</v>
      </c>
      <c r="M111" s="42">
        <f t="shared" ca="1" si="63"/>
        <v>0</v>
      </c>
      <c r="N111" s="42">
        <f t="shared" ca="1" si="63"/>
        <v>0</v>
      </c>
      <c r="O111" s="42">
        <f t="shared" ca="1" si="63"/>
        <v>0</v>
      </c>
      <c r="P111" s="42">
        <f t="shared" ca="1" si="63"/>
        <v>0</v>
      </c>
      <c r="Q111" s="42">
        <f t="shared" ca="1" si="63"/>
        <v>0</v>
      </c>
      <c r="R111" s="42">
        <f t="shared" ca="1" si="63"/>
        <v>0</v>
      </c>
      <c r="S111" s="42">
        <f t="shared" ca="1" si="63"/>
        <v>0</v>
      </c>
      <c r="T111" s="42">
        <f t="shared" ca="1" si="63"/>
        <v>0</v>
      </c>
      <c r="U111" s="42">
        <f t="shared" ca="1" si="63"/>
        <v>0</v>
      </c>
      <c r="V111" s="42">
        <f t="shared" ca="1" si="63"/>
        <v>0</v>
      </c>
      <c r="W111" s="42">
        <f t="shared" ca="1" si="63"/>
        <v>0</v>
      </c>
      <c r="X111" s="42">
        <f t="shared" ca="1" si="63"/>
        <v>0</v>
      </c>
      <c r="Y111" s="42">
        <f t="shared" ca="1" si="63"/>
        <v>0</v>
      </c>
      <c r="Z111" s="42">
        <f t="shared" ca="1" si="63"/>
        <v>0</v>
      </c>
      <c r="AA111" s="42">
        <f t="shared" ca="1" si="63"/>
        <v>0</v>
      </c>
      <c r="AB111" s="42">
        <f t="shared" ca="1" si="63"/>
        <v>0</v>
      </c>
      <c r="AC111" s="42">
        <f t="shared" ca="1" si="63"/>
        <v>0</v>
      </c>
      <c r="AD111" s="42">
        <f t="shared" ca="1" si="63"/>
        <v>0</v>
      </c>
      <c r="AE111" s="42">
        <f t="shared" ca="1" si="63"/>
        <v>0</v>
      </c>
      <c r="AF111" s="42">
        <f t="shared" ca="1" si="63"/>
        <v>0</v>
      </c>
      <c r="AG111" s="42">
        <f t="shared" ca="1" si="63"/>
        <v>0</v>
      </c>
      <c r="AH111" s="42">
        <f t="shared" ca="1" si="63"/>
        <v>0</v>
      </c>
      <c r="AI111" s="42">
        <f t="shared" ca="1" si="63"/>
        <v>0</v>
      </c>
      <c r="AJ111" s="42">
        <f t="shared" ca="1" si="63"/>
        <v>0</v>
      </c>
      <c r="AK111" s="42">
        <f t="shared" ca="1" si="63"/>
        <v>0</v>
      </c>
      <c r="AL111" s="42">
        <f t="shared" ca="1" si="63"/>
        <v>0</v>
      </c>
      <c r="AM111" s="42">
        <f t="shared" ca="1" si="63"/>
        <v>0</v>
      </c>
      <c r="AN111" s="42">
        <f t="shared" ca="1" si="63"/>
        <v>0</v>
      </c>
      <c r="AO111" s="42">
        <f t="shared" ca="1" si="63"/>
        <v>0</v>
      </c>
      <c r="AP111" s="42">
        <f t="shared" ca="1" si="63"/>
        <v>0</v>
      </c>
      <c r="AQ111" s="42">
        <f t="shared" ca="1" si="63"/>
        <v>0</v>
      </c>
      <c r="AR111" s="42">
        <f t="shared" ca="1" si="63"/>
        <v>0</v>
      </c>
      <c r="AS111" s="42">
        <f t="shared" ca="1" si="63"/>
        <v>0</v>
      </c>
    </row>
    <row r="112" spans="2:45" outlineLevel="1" collapsed="1" x14ac:dyDescent="0.15">
      <c r="B112" s="107" t="s">
        <v>335</v>
      </c>
      <c r="I112" s="22">
        <f ca="1">IF(ISERROR(SUM(0,J112:AS112)),1,MIN(SUM(J112:AS112),1))</f>
        <v>0</v>
      </c>
      <c r="J112" s="17">
        <f t="shared" ref="J112:AS112" ca="1" si="64">MIN(SUM(J110:J111),1)</f>
        <v>0</v>
      </c>
      <c r="K112" s="17">
        <f t="shared" ca="1" si="64"/>
        <v>0</v>
      </c>
      <c r="L112" s="17">
        <f t="shared" ca="1" si="64"/>
        <v>0</v>
      </c>
      <c r="M112" s="17">
        <f t="shared" ca="1" si="64"/>
        <v>0</v>
      </c>
      <c r="N112" s="17">
        <f t="shared" ca="1" si="64"/>
        <v>0</v>
      </c>
      <c r="O112" s="17">
        <f t="shared" ca="1" si="64"/>
        <v>0</v>
      </c>
      <c r="P112" s="17">
        <f t="shared" ca="1" si="64"/>
        <v>0</v>
      </c>
      <c r="Q112" s="17">
        <f t="shared" ca="1" si="64"/>
        <v>0</v>
      </c>
      <c r="R112" s="17">
        <f t="shared" ca="1" si="64"/>
        <v>0</v>
      </c>
      <c r="S112" s="17">
        <f t="shared" ca="1" si="64"/>
        <v>0</v>
      </c>
      <c r="T112" s="17">
        <f t="shared" ca="1" si="64"/>
        <v>0</v>
      </c>
      <c r="U112" s="17">
        <f t="shared" ca="1" si="64"/>
        <v>0</v>
      </c>
      <c r="V112" s="17">
        <f t="shared" ca="1" si="64"/>
        <v>0</v>
      </c>
      <c r="W112" s="17">
        <f t="shared" ca="1" si="64"/>
        <v>0</v>
      </c>
      <c r="X112" s="17">
        <f t="shared" ca="1" si="64"/>
        <v>0</v>
      </c>
      <c r="Y112" s="17">
        <f t="shared" ca="1" si="64"/>
        <v>0</v>
      </c>
      <c r="Z112" s="17">
        <f t="shared" ca="1" si="64"/>
        <v>0</v>
      </c>
      <c r="AA112" s="17">
        <f t="shared" ca="1" si="64"/>
        <v>0</v>
      </c>
      <c r="AB112" s="17">
        <f t="shared" ca="1" si="64"/>
        <v>0</v>
      </c>
      <c r="AC112" s="17">
        <f t="shared" ca="1" si="64"/>
        <v>0</v>
      </c>
      <c r="AD112" s="17">
        <f t="shared" ca="1" si="64"/>
        <v>0</v>
      </c>
      <c r="AE112" s="17">
        <f t="shared" ca="1" si="64"/>
        <v>0</v>
      </c>
      <c r="AF112" s="17">
        <f t="shared" ca="1" si="64"/>
        <v>0</v>
      </c>
      <c r="AG112" s="17">
        <f t="shared" ca="1" si="64"/>
        <v>0</v>
      </c>
      <c r="AH112" s="17">
        <f t="shared" ca="1" si="64"/>
        <v>0</v>
      </c>
      <c r="AI112" s="17">
        <f t="shared" ca="1" si="64"/>
        <v>0</v>
      </c>
      <c r="AJ112" s="17">
        <f t="shared" ca="1" si="64"/>
        <v>0</v>
      </c>
      <c r="AK112" s="17">
        <f t="shared" ca="1" si="64"/>
        <v>0</v>
      </c>
      <c r="AL112" s="17">
        <f t="shared" ca="1" si="64"/>
        <v>0</v>
      </c>
      <c r="AM112" s="17">
        <f t="shared" ca="1" si="64"/>
        <v>0</v>
      </c>
      <c r="AN112" s="17">
        <f t="shared" ca="1" si="64"/>
        <v>0</v>
      </c>
      <c r="AO112" s="17">
        <f t="shared" ca="1" si="64"/>
        <v>0</v>
      </c>
      <c r="AP112" s="17">
        <f t="shared" ca="1" si="64"/>
        <v>0</v>
      </c>
      <c r="AQ112" s="17">
        <f t="shared" ca="1" si="64"/>
        <v>0</v>
      </c>
      <c r="AR112" s="17">
        <f t="shared" ca="1" si="64"/>
        <v>0</v>
      </c>
      <c r="AS112" s="17">
        <f t="shared" ca="1" si="64"/>
        <v>0</v>
      </c>
    </row>
    <row r="113" spans="1:45" outlineLevel="1" x14ac:dyDescent="0.15">
      <c r="B113" s="107" t="s">
        <v>346</v>
      </c>
      <c r="I113" s="22">
        <f ca="1">IF(ISERROR(SUM(J113:AS113)),1,MIN(SUM(J113:AS113),1))</f>
        <v>0</v>
      </c>
      <c r="J113" s="17">
        <f t="shared" ref="J113:AS113" ca="1" si="65">IF(J112=1,0,IF(MIN(J105:J107)&lt;0,1,0))</f>
        <v>0</v>
      </c>
      <c r="K113" s="17">
        <f t="shared" ca="1" si="65"/>
        <v>0</v>
      </c>
      <c r="L113" s="17">
        <f t="shared" ca="1" si="65"/>
        <v>0</v>
      </c>
      <c r="M113" s="17">
        <f t="shared" ca="1" si="65"/>
        <v>0</v>
      </c>
      <c r="N113" s="17">
        <f t="shared" ca="1" si="65"/>
        <v>0</v>
      </c>
      <c r="O113" s="17">
        <f t="shared" ca="1" si="65"/>
        <v>0</v>
      </c>
      <c r="P113" s="17">
        <f t="shared" ca="1" si="65"/>
        <v>0</v>
      </c>
      <c r="Q113" s="17">
        <f t="shared" ca="1" si="65"/>
        <v>0</v>
      </c>
      <c r="R113" s="17">
        <f t="shared" ca="1" si="65"/>
        <v>0</v>
      </c>
      <c r="S113" s="17">
        <f t="shared" ca="1" si="65"/>
        <v>0</v>
      </c>
      <c r="T113" s="17">
        <f t="shared" ca="1" si="65"/>
        <v>0</v>
      </c>
      <c r="U113" s="17">
        <f t="shared" ca="1" si="65"/>
        <v>0</v>
      </c>
      <c r="V113" s="17">
        <f t="shared" ca="1" si="65"/>
        <v>0</v>
      </c>
      <c r="W113" s="17">
        <f t="shared" ca="1" si="65"/>
        <v>0</v>
      </c>
      <c r="X113" s="17">
        <f t="shared" ca="1" si="65"/>
        <v>0</v>
      </c>
      <c r="Y113" s="17">
        <f t="shared" ca="1" si="65"/>
        <v>0</v>
      </c>
      <c r="Z113" s="17">
        <f t="shared" ca="1" si="65"/>
        <v>0</v>
      </c>
      <c r="AA113" s="17">
        <f t="shared" ca="1" si="65"/>
        <v>0</v>
      </c>
      <c r="AB113" s="17">
        <f t="shared" ca="1" si="65"/>
        <v>0</v>
      </c>
      <c r="AC113" s="17">
        <f t="shared" ca="1" si="65"/>
        <v>0</v>
      </c>
      <c r="AD113" s="17">
        <f t="shared" ca="1" si="65"/>
        <v>0</v>
      </c>
      <c r="AE113" s="17">
        <f t="shared" ca="1" si="65"/>
        <v>0</v>
      </c>
      <c r="AF113" s="17">
        <f t="shared" ca="1" si="65"/>
        <v>0</v>
      </c>
      <c r="AG113" s="17">
        <f t="shared" ca="1" si="65"/>
        <v>0</v>
      </c>
      <c r="AH113" s="17">
        <f t="shared" ca="1" si="65"/>
        <v>0</v>
      </c>
      <c r="AI113" s="17">
        <f t="shared" ca="1" si="65"/>
        <v>0</v>
      </c>
      <c r="AJ113" s="17">
        <f t="shared" ca="1" si="65"/>
        <v>0</v>
      </c>
      <c r="AK113" s="17">
        <f t="shared" ca="1" si="65"/>
        <v>0</v>
      </c>
      <c r="AL113" s="17">
        <f t="shared" ca="1" si="65"/>
        <v>0</v>
      </c>
      <c r="AM113" s="17">
        <f t="shared" ca="1" si="65"/>
        <v>0</v>
      </c>
      <c r="AN113" s="17">
        <f t="shared" ca="1" si="65"/>
        <v>0</v>
      </c>
      <c r="AO113" s="17">
        <f t="shared" ca="1" si="65"/>
        <v>0</v>
      </c>
      <c r="AP113" s="17">
        <f t="shared" ca="1" si="65"/>
        <v>0</v>
      </c>
      <c r="AQ113" s="17">
        <f t="shared" ca="1" si="65"/>
        <v>0</v>
      </c>
      <c r="AR113" s="17">
        <f t="shared" ca="1" si="65"/>
        <v>0</v>
      </c>
      <c r="AS113" s="17">
        <f t="shared" ca="1" si="65"/>
        <v>0</v>
      </c>
    </row>
    <row r="115" spans="1:45" x14ac:dyDescent="0.15">
      <c r="A115" s="74" t="s">
        <v>271</v>
      </c>
      <c r="B115" s="1" t="s">
        <v>68</v>
      </c>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outlineLevel="1" x14ac:dyDescent="0.15"/>
    <row r="117" spans="1:45" outlineLevel="1" x14ac:dyDescent="0.15">
      <c r="B117" s="16" t="s">
        <v>68</v>
      </c>
      <c r="H117" s="155" t="s">
        <v>322</v>
      </c>
    </row>
    <row r="118" spans="1:45" outlineLevel="1" x14ac:dyDescent="0.15">
      <c r="B118" s="338" t="s">
        <v>347</v>
      </c>
      <c r="C118" s="338"/>
      <c r="D118" s="338"/>
      <c r="E118" s="338"/>
      <c r="F118" s="338"/>
      <c r="H118" s="213" t="s">
        <v>348</v>
      </c>
      <c r="J118" s="214">
        <f>28/12</f>
        <v>2.3333333333333335</v>
      </c>
      <c r="K118" s="214">
        <f>28/12</f>
        <v>2.3333333333333335</v>
      </c>
      <c r="L118" s="214">
        <f>28/12</f>
        <v>2.3333333333333335</v>
      </c>
      <c r="M118" s="214">
        <f t="shared" ref="M118:AS118" si="66">28/12</f>
        <v>2.3333333333333335</v>
      </c>
      <c r="N118" s="214">
        <f t="shared" si="66"/>
        <v>2.3333333333333335</v>
      </c>
      <c r="O118" s="214">
        <f t="shared" si="66"/>
        <v>2.3333333333333335</v>
      </c>
      <c r="P118" s="214">
        <f t="shared" si="66"/>
        <v>2.3333333333333335</v>
      </c>
      <c r="Q118" s="214">
        <f t="shared" si="66"/>
        <v>2.3333333333333335</v>
      </c>
      <c r="R118" s="214">
        <f t="shared" si="66"/>
        <v>2.3333333333333335</v>
      </c>
      <c r="S118" s="214">
        <f t="shared" si="66"/>
        <v>2.3333333333333335</v>
      </c>
      <c r="T118" s="214">
        <f t="shared" si="66"/>
        <v>2.3333333333333335</v>
      </c>
      <c r="U118" s="214">
        <f t="shared" si="66"/>
        <v>2.3333333333333335</v>
      </c>
      <c r="V118" s="214">
        <f t="shared" si="66"/>
        <v>2.3333333333333335</v>
      </c>
      <c r="W118" s="214">
        <f t="shared" si="66"/>
        <v>2.3333333333333335</v>
      </c>
      <c r="X118" s="214">
        <f t="shared" si="66"/>
        <v>2.3333333333333335</v>
      </c>
      <c r="Y118" s="214">
        <f t="shared" si="66"/>
        <v>2.3333333333333335</v>
      </c>
      <c r="Z118" s="214">
        <f t="shared" si="66"/>
        <v>2.3333333333333335</v>
      </c>
      <c r="AA118" s="214">
        <f t="shared" si="66"/>
        <v>2.3333333333333335</v>
      </c>
      <c r="AB118" s="214">
        <f t="shared" si="66"/>
        <v>2.3333333333333335</v>
      </c>
      <c r="AC118" s="214">
        <f t="shared" si="66"/>
        <v>2.3333333333333335</v>
      </c>
      <c r="AD118" s="214">
        <f t="shared" si="66"/>
        <v>2.3333333333333335</v>
      </c>
      <c r="AE118" s="214">
        <f t="shared" si="66"/>
        <v>2.3333333333333335</v>
      </c>
      <c r="AF118" s="214">
        <f t="shared" si="66"/>
        <v>2.3333333333333335</v>
      </c>
      <c r="AG118" s="214">
        <f t="shared" si="66"/>
        <v>2.3333333333333335</v>
      </c>
      <c r="AH118" s="214">
        <f t="shared" si="66"/>
        <v>2.3333333333333335</v>
      </c>
      <c r="AI118" s="214">
        <f t="shared" si="66"/>
        <v>2.3333333333333335</v>
      </c>
      <c r="AJ118" s="214">
        <f t="shared" si="66"/>
        <v>2.3333333333333335</v>
      </c>
      <c r="AK118" s="214">
        <f t="shared" si="66"/>
        <v>2.3333333333333335</v>
      </c>
      <c r="AL118" s="214">
        <f t="shared" si="66"/>
        <v>2.3333333333333335</v>
      </c>
      <c r="AM118" s="214">
        <f t="shared" si="66"/>
        <v>2.3333333333333335</v>
      </c>
      <c r="AN118" s="214">
        <f t="shared" si="66"/>
        <v>2.3333333333333335</v>
      </c>
      <c r="AO118" s="214">
        <f t="shared" si="66"/>
        <v>2.3333333333333335</v>
      </c>
      <c r="AP118" s="214">
        <f t="shared" si="66"/>
        <v>2.3333333333333335</v>
      </c>
      <c r="AQ118" s="214">
        <f t="shared" si="66"/>
        <v>2.3333333333333335</v>
      </c>
      <c r="AR118" s="214">
        <f t="shared" si="66"/>
        <v>2.3333333333333335</v>
      </c>
      <c r="AS118" s="214">
        <f t="shared" si="66"/>
        <v>2.3333333333333335</v>
      </c>
    </row>
    <row r="119" spans="1:45" outlineLevel="1" x14ac:dyDescent="0.15">
      <c r="H119" s="213" t="s">
        <v>349</v>
      </c>
      <c r="J119" s="165">
        <v>2500</v>
      </c>
      <c r="K119" s="165">
        <v>2500</v>
      </c>
      <c r="L119" s="165">
        <v>2500</v>
      </c>
      <c r="M119" s="165">
        <v>2500</v>
      </c>
      <c r="N119" s="165">
        <v>2500</v>
      </c>
      <c r="O119" s="165">
        <v>2500</v>
      </c>
      <c r="P119" s="165">
        <v>2500</v>
      </c>
      <c r="Q119" s="165">
        <v>2500</v>
      </c>
      <c r="R119" s="165">
        <v>2500</v>
      </c>
      <c r="S119" s="165">
        <v>2500</v>
      </c>
      <c r="T119" s="165">
        <v>2500</v>
      </c>
      <c r="U119" s="165">
        <v>2500</v>
      </c>
      <c r="V119" s="165">
        <v>2500</v>
      </c>
      <c r="W119" s="165">
        <v>2500</v>
      </c>
      <c r="X119" s="165">
        <v>2500</v>
      </c>
      <c r="Y119" s="165">
        <v>2500</v>
      </c>
      <c r="Z119" s="165">
        <v>2500</v>
      </c>
      <c r="AA119" s="165">
        <v>2500</v>
      </c>
      <c r="AB119" s="165">
        <v>2500</v>
      </c>
      <c r="AC119" s="165">
        <v>2500</v>
      </c>
      <c r="AD119" s="165">
        <v>2500</v>
      </c>
      <c r="AE119" s="165">
        <v>2500</v>
      </c>
      <c r="AF119" s="165">
        <v>2500</v>
      </c>
      <c r="AG119" s="165">
        <v>2500</v>
      </c>
      <c r="AH119" s="165">
        <v>2500</v>
      </c>
      <c r="AI119" s="165">
        <v>2500</v>
      </c>
      <c r="AJ119" s="165">
        <v>2500</v>
      </c>
      <c r="AK119" s="165">
        <v>2500</v>
      </c>
      <c r="AL119" s="165">
        <v>2500</v>
      </c>
      <c r="AM119" s="165">
        <v>2500</v>
      </c>
      <c r="AN119" s="165">
        <v>2500</v>
      </c>
      <c r="AO119" s="165">
        <v>2500</v>
      </c>
      <c r="AP119" s="165">
        <v>2500</v>
      </c>
      <c r="AQ119" s="165">
        <v>2500</v>
      </c>
      <c r="AR119" s="165">
        <v>2500</v>
      </c>
      <c r="AS119" s="165">
        <v>2500</v>
      </c>
    </row>
    <row r="120" spans="1:45" ht="3" customHeight="1" outlineLevel="1" x14ac:dyDescent="0.15"/>
    <row r="121" spans="1:45" outlineLevel="1" x14ac:dyDescent="0.15">
      <c r="B121" s="338" t="s">
        <v>350</v>
      </c>
      <c r="C121" s="338"/>
      <c r="D121" s="338"/>
      <c r="E121" s="338"/>
      <c r="F121" s="338"/>
      <c r="H121" s="213" t="s">
        <v>351</v>
      </c>
      <c r="J121" s="165">
        <f t="shared" ref="J121:AS121" si="67">5.45*J119/12</f>
        <v>1135.4166666666667</v>
      </c>
      <c r="K121" s="165">
        <f t="shared" si="67"/>
        <v>1135.4166666666667</v>
      </c>
      <c r="L121" s="165">
        <f t="shared" si="67"/>
        <v>1135.4166666666667</v>
      </c>
      <c r="M121" s="165">
        <f t="shared" si="67"/>
        <v>1135.4166666666667</v>
      </c>
      <c r="N121" s="165">
        <f t="shared" si="67"/>
        <v>1135.4166666666667</v>
      </c>
      <c r="O121" s="165">
        <f t="shared" si="67"/>
        <v>1135.4166666666667</v>
      </c>
      <c r="P121" s="165">
        <f t="shared" si="67"/>
        <v>1135.4166666666667</v>
      </c>
      <c r="Q121" s="165">
        <f t="shared" si="67"/>
        <v>1135.4166666666667</v>
      </c>
      <c r="R121" s="165">
        <f t="shared" si="67"/>
        <v>1135.4166666666667</v>
      </c>
      <c r="S121" s="165">
        <f t="shared" si="67"/>
        <v>1135.4166666666667</v>
      </c>
      <c r="T121" s="165">
        <f t="shared" si="67"/>
        <v>1135.4166666666667</v>
      </c>
      <c r="U121" s="165">
        <f t="shared" si="67"/>
        <v>1135.4166666666667</v>
      </c>
      <c r="V121" s="165">
        <f t="shared" si="67"/>
        <v>1135.4166666666667</v>
      </c>
      <c r="W121" s="165">
        <f t="shared" si="67"/>
        <v>1135.4166666666667</v>
      </c>
      <c r="X121" s="165">
        <f t="shared" si="67"/>
        <v>1135.4166666666667</v>
      </c>
      <c r="Y121" s="165">
        <f t="shared" si="67"/>
        <v>1135.4166666666667</v>
      </c>
      <c r="Z121" s="165">
        <f t="shared" si="67"/>
        <v>1135.4166666666667</v>
      </c>
      <c r="AA121" s="165">
        <f t="shared" si="67"/>
        <v>1135.4166666666667</v>
      </c>
      <c r="AB121" s="165">
        <f t="shared" si="67"/>
        <v>1135.4166666666667</v>
      </c>
      <c r="AC121" s="165">
        <f t="shared" si="67"/>
        <v>1135.4166666666667</v>
      </c>
      <c r="AD121" s="165">
        <f t="shared" si="67"/>
        <v>1135.4166666666667</v>
      </c>
      <c r="AE121" s="165">
        <f t="shared" si="67"/>
        <v>1135.4166666666667</v>
      </c>
      <c r="AF121" s="165">
        <f t="shared" si="67"/>
        <v>1135.4166666666667</v>
      </c>
      <c r="AG121" s="165">
        <f t="shared" si="67"/>
        <v>1135.4166666666667</v>
      </c>
      <c r="AH121" s="165">
        <f t="shared" si="67"/>
        <v>1135.4166666666667</v>
      </c>
      <c r="AI121" s="165">
        <f t="shared" si="67"/>
        <v>1135.4166666666667</v>
      </c>
      <c r="AJ121" s="165">
        <f t="shared" si="67"/>
        <v>1135.4166666666667</v>
      </c>
      <c r="AK121" s="165">
        <f t="shared" si="67"/>
        <v>1135.4166666666667</v>
      </c>
      <c r="AL121" s="165">
        <f t="shared" si="67"/>
        <v>1135.4166666666667</v>
      </c>
      <c r="AM121" s="165">
        <f t="shared" si="67"/>
        <v>1135.4166666666667</v>
      </c>
      <c r="AN121" s="165">
        <f t="shared" si="67"/>
        <v>1135.4166666666667</v>
      </c>
      <c r="AO121" s="165">
        <f t="shared" si="67"/>
        <v>1135.4166666666667</v>
      </c>
      <c r="AP121" s="165">
        <f t="shared" si="67"/>
        <v>1135.4166666666667</v>
      </c>
      <c r="AQ121" s="165">
        <f t="shared" si="67"/>
        <v>1135.4166666666667</v>
      </c>
      <c r="AR121" s="165">
        <f t="shared" si="67"/>
        <v>1135.4166666666667</v>
      </c>
      <c r="AS121" s="165">
        <f t="shared" si="67"/>
        <v>1135.4166666666667</v>
      </c>
    </row>
    <row r="122" spans="1:45" outlineLevel="1" x14ac:dyDescent="0.15">
      <c r="H122" s="213" t="s">
        <v>352</v>
      </c>
      <c r="J122" s="167">
        <v>0.2</v>
      </c>
      <c r="K122" s="167">
        <v>0.2</v>
      </c>
      <c r="L122" s="167">
        <v>0.2</v>
      </c>
      <c r="M122" s="167">
        <v>0.2</v>
      </c>
      <c r="N122" s="167">
        <v>0.2</v>
      </c>
      <c r="O122" s="167">
        <v>0.2</v>
      </c>
      <c r="P122" s="167">
        <v>0.2</v>
      </c>
      <c r="Q122" s="167">
        <v>0.2</v>
      </c>
      <c r="R122" s="167">
        <v>0.2</v>
      </c>
      <c r="S122" s="167">
        <v>0.2</v>
      </c>
      <c r="T122" s="167">
        <v>0.2</v>
      </c>
      <c r="U122" s="167">
        <v>0.2</v>
      </c>
      <c r="V122" s="167">
        <v>0.2</v>
      </c>
      <c r="W122" s="167">
        <v>0.2</v>
      </c>
      <c r="X122" s="167">
        <v>0.2</v>
      </c>
      <c r="Y122" s="167">
        <v>0.2</v>
      </c>
      <c r="Z122" s="167">
        <v>0.2</v>
      </c>
      <c r="AA122" s="167">
        <v>0.2</v>
      </c>
      <c r="AB122" s="167">
        <v>0.2</v>
      </c>
      <c r="AC122" s="167">
        <v>0.2</v>
      </c>
      <c r="AD122" s="167">
        <v>0.2</v>
      </c>
      <c r="AE122" s="167">
        <v>0.2</v>
      </c>
      <c r="AF122" s="167">
        <v>0.2</v>
      </c>
      <c r="AG122" s="167">
        <v>0.2</v>
      </c>
      <c r="AH122" s="167">
        <v>0.2</v>
      </c>
      <c r="AI122" s="167">
        <v>0.2</v>
      </c>
      <c r="AJ122" s="167">
        <v>0.2</v>
      </c>
      <c r="AK122" s="167">
        <v>0.2</v>
      </c>
      <c r="AL122" s="167">
        <v>0.2</v>
      </c>
      <c r="AM122" s="167">
        <v>0.2</v>
      </c>
      <c r="AN122" s="167">
        <v>0.2</v>
      </c>
      <c r="AO122" s="167">
        <v>0.2</v>
      </c>
      <c r="AP122" s="167">
        <v>0.2</v>
      </c>
      <c r="AQ122" s="167">
        <v>0.2</v>
      </c>
      <c r="AR122" s="167">
        <v>0.2</v>
      </c>
      <c r="AS122" s="167">
        <v>0.2</v>
      </c>
    </row>
    <row r="123" spans="1:45" ht="3" customHeight="1" outlineLevel="1" x14ac:dyDescent="0.15"/>
    <row r="124" spans="1:45" outlineLevel="1" x14ac:dyDescent="0.15">
      <c r="B124" s="338" t="s">
        <v>808</v>
      </c>
      <c r="C124" s="338"/>
      <c r="D124" s="338"/>
      <c r="E124" s="338"/>
      <c r="F124" s="338"/>
      <c r="H124" s="213" t="s">
        <v>809</v>
      </c>
      <c r="J124" s="295"/>
      <c r="K124" s="295"/>
      <c r="L124" s="295"/>
      <c r="M124" s="295"/>
      <c r="N124" s="295"/>
      <c r="O124" s="295"/>
      <c r="P124" s="295">
        <f t="shared" ref="P124:AS124" si="68">12*1.18</f>
        <v>14.16</v>
      </c>
      <c r="Q124" s="295">
        <f t="shared" si="68"/>
        <v>14.16</v>
      </c>
      <c r="R124" s="295">
        <f t="shared" si="68"/>
        <v>14.16</v>
      </c>
      <c r="S124" s="295">
        <f t="shared" si="68"/>
        <v>14.16</v>
      </c>
      <c r="T124" s="295">
        <f t="shared" ref="T124:Z124" si="69">12*1.18</f>
        <v>14.16</v>
      </c>
      <c r="U124" s="295">
        <f t="shared" si="69"/>
        <v>14.16</v>
      </c>
      <c r="V124" s="295">
        <f t="shared" si="69"/>
        <v>14.16</v>
      </c>
      <c r="W124" s="295">
        <f t="shared" si="69"/>
        <v>14.16</v>
      </c>
      <c r="X124" s="295">
        <f t="shared" si="69"/>
        <v>14.16</v>
      </c>
      <c r="Y124" s="295">
        <f t="shared" si="69"/>
        <v>14.16</v>
      </c>
      <c r="Z124" s="295">
        <f t="shared" si="69"/>
        <v>14.16</v>
      </c>
      <c r="AA124" s="295">
        <f t="shared" si="68"/>
        <v>14.16</v>
      </c>
      <c r="AB124" s="295">
        <f t="shared" si="68"/>
        <v>14.16</v>
      </c>
      <c r="AC124" s="295">
        <f t="shared" si="68"/>
        <v>14.16</v>
      </c>
      <c r="AD124" s="295">
        <f t="shared" si="68"/>
        <v>14.16</v>
      </c>
      <c r="AE124" s="295">
        <f t="shared" si="68"/>
        <v>14.16</v>
      </c>
      <c r="AF124" s="295">
        <f t="shared" si="68"/>
        <v>14.16</v>
      </c>
      <c r="AG124" s="295">
        <f t="shared" si="68"/>
        <v>14.16</v>
      </c>
      <c r="AH124" s="295">
        <f t="shared" si="68"/>
        <v>14.16</v>
      </c>
      <c r="AI124" s="295">
        <f t="shared" si="68"/>
        <v>14.16</v>
      </c>
      <c r="AJ124" s="295">
        <f t="shared" si="68"/>
        <v>14.16</v>
      </c>
      <c r="AK124" s="295">
        <f t="shared" si="68"/>
        <v>14.16</v>
      </c>
      <c r="AL124" s="295">
        <f t="shared" si="68"/>
        <v>14.16</v>
      </c>
      <c r="AM124" s="295">
        <f t="shared" si="68"/>
        <v>14.16</v>
      </c>
      <c r="AN124" s="295">
        <f t="shared" si="68"/>
        <v>14.16</v>
      </c>
      <c r="AO124" s="295">
        <f t="shared" si="68"/>
        <v>14.16</v>
      </c>
      <c r="AP124" s="295">
        <f t="shared" si="68"/>
        <v>14.16</v>
      </c>
      <c r="AQ124" s="295">
        <f t="shared" si="68"/>
        <v>14.16</v>
      </c>
      <c r="AR124" s="295">
        <f t="shared" si="68"/>
        <v>14.16</v>
      </c>
      <c r="AS124" s="295">
        <f t="shared" si="68"/>
        <v>14.16</v>
      </c>
    </row>
    <row r="125" spans="1:45" outlineLevel="1" x14ac:dyDescent="0.15">
      <c r="H125" s="213" t="s">
        <v>810</v>
      </c>
      <c r="J125" s="165"/>
      <c r="K125" s="165"/>
      <c r="L125" s="165"/>
      <c r="M125" s="165"/>
      <c r="N125" s="165"/>
      <c r="O125" s="165"/>
      <c r="P125" s="165">
        <f t="shared" ref="P125:AS125" si="70">37.5*2.5/5</f>
        <v>18.75</v>
      </c>
      <c r="Q125" s="165">
        <f t="shared" si="70"/>
        <v>18.75</v>
      </c>
      <c r="R125" s="165">
        <f t="shared" si="70"/>
        <v>18.75</v>
      </c>
      <c r="S125" s="165">
        <f t="shared" si="70"/>
        <v>18.75</v>
      </c>
      <c r="T125" s="165">
        <f t="shared" ref="T125:Z125" si="71">37.5*2.5/5</f>
        <v>18.75</v>
      </c>
      <c r="U125" s="165">
        <f t="shared" si="71"/>
        <v>18.75</v>
      </c>
      <c r="V125" s="165">
        <f t="shared" si="71"/>
        <v>18.75</v>
      </c>
      <c r="W125" s="165">
        <f t="shared" si="71"/>
        <v>18.75</v>
      </c>
      <c r="X125" s="165">
        <f t="shared" si="71"/>
        <v>18.75</v>
      </c>
      <c r="Y125" s="165">
        <f t="shared" si="71"/>
        <v>18.75</v>
      </c>
      <c r="Z125" s="165">
        <f t="shared" si="71"/>
        <v>18.75</v>
      </c>
      <c r="AA125" s="165">
        <f t="shared" si="70"/>
        <v>18.75</v>
      </c>
      <c r="AB125" s="165">
        <f t="shared" si="70"/>
        <v>18.75</v>
      </c>
      <c r="AC125" s="165">
        <f t="shared" si="70"/>
        <v>18.75</v>
      </c>
      <c r="AD125" s="165">
        <f t="shared" si="70"/>
        <v>18.75</v>
      </c>
      <c r="AE125" s="165">
        <f t="shared" si="70"/>
        <v>18.75</v>
      </c>
      <c r="AF125" s="165">
        <f t="shared" si="70"/>
        <v>18.75</v>
      </c>
      <c r="AG125" s="165">
        <f t="shared" si="70"/>
        <v>18.75</v>
      </c>
      <c r="AH125" s="165">
        <f t="shared" si="70"/>
        <v>18.75</v>
      </c>
      <c r="AI125" s="165">
        <f t="shared" si="70"/>
        <v>18.75</v>
      </c>
      <c r="AJ125" s="165">
        <f t="shared" si="70"/>
        <v>18.75</v>
      </c>
      <c r="AK125" s="165">
        <f t="shared" si="70"/>
        <v>18.75</v>
      </c>
      <c r="AL125" s="165">
        <f t="shared" si="70"/>
        <v>18.75</v>
      </c>
      <c r="AM125" s="165">
        <f t="shared" si="70"/>
        <v>18.75</v>
      </c>
      <c r="AN125" s="165">
        <f t="shared" si="70"/>
        <v>18.75</v>
      </c>
      <c r="AO125" s="165">
        <f t="shared" si="70"/>
        <v>18.75</v>
      </c>
      <c r="AP125" s="165">
        <f t="shared" si="70"/>
        <v>18.75</v>
      </c>
      <c r="AQ125" s="165">
        <f t="shared" si="70"/>
        <v>18.75</v>
      </c>
      <c r="AR125" s="165">
        <f t="shared" si="70"/>
        <v>18.75</v>
      </c>
      <c r="AS125" s="165">
        <f t="shared" si="70"/>
        <v>18.75</v>
      </c>
    </row>
    <row r="126" spans="1:45" ht="2.75" customHeight="1" outlineLevel="1" x14ac:dyDescent="0.15"/>
    <row r="127" spans="1:45" outlineLevel="1" x14ac:dyDescent="0.15">
      <c r="B127" s="338" t="s">
        <v>353</v>
      </c>
      <c r="C127" s="338"/>
      <c r="D127" s="338"/>
      <c r="E127" s="338"/>
      <c r="F127" s="338"/>
      <c r="H127" s="80" t="s">
        <v>333</v>
      </c>
      <c r="J127" s="165">
        <v>100</v>
      </c>
      <c r="K127" s="165">
        <v>100</v>
      </c>
      <c r="L127" s="165">
        <v>100</v>
      </c>
      <c r="M127" s="165">
        <v>100</v>
      </c>
      <c r="N127" s="165">
        <v>100</v>
      </c>
      <c r="O127" s="165">
        <v>100</v>
      </c>
      <c r="P127" s="165">
        <v>100</v>
      </c>
      <c r="Q127" s="165">
        <v>100</v>
      </c>
      <c r="R127" s="165">
        <v>100</v>
      </c>
      <c r="S127" s="165">
        <v>100</v>
      </c>
      <c r="T127" s="165">
        <v>100</v>
      </c>
      <c r="U127" s="165">
        <v>100</v>
      </c>
      <c r="V127" s="165">
        <v>100</v>
      </c>
      <c r="W127" s="165">
        <v>100</v>
      </c>
      <c r="X127" s="165">
        <v>100</v>
      </c>
      <c r="Y127" s="165">
        <v>100</v>
      </c>
      <c r="Z127" s="165">
        <v>100</v>
      </c>
      <c r="AA127" s="165">
        <v>100</v>
      </c>
      <c r="AB127" s="165">
        <v>100</v>
      </c>
      <c r="AC127" s="165">
        <v>100</v>
      </c>
      <c r="AD127" s="165">
        <v>100</v>
      </c>
      <c r="AE127" s="165">
        <v>100</v>
      </c>
      <c r="AF127" s="165">
        <v>100</v>
      </c>
      <c r="AG127" s="165">
        <v>100</v>
      </c>
      <c r="AH127" s="165">
        <v>100</v>
      </c>
      <c r="AI127" s="165">
        <v>100</v>
      </c>
      <c r="AJ127" s="165">
        <v>100</v>
      </c>
      <c r="AK127" s="165">
        <v>100</v>
      </c>
      <c r="AL127" s="165">
        <v>100</v>
      </c>
      <c r="AM127" s="165">
        <v>100</v>
      </c>
      <c r="AN127" s="165">
        <v>100</v>
      </c>
      <c r="AO127" s="165">
        <v>100</v>
      </c>
      <c r="AP127" s="165">
        <v>100</v>
      </c>
      <c r="AQ127" s="165">
        <v>100</v>
      </c>
      <c r="AR127" s="165">
        <v>100</v>
      </c>
      <c r="AS127" s="165">
        <v>100</v>
      </c>
    </row>
    <row r="128" spans="1:45" ht="3" customHeight="1" outlineLevel="1" x14ac:dyDescent="0.15"/>
    <row r="129" spans="2:45" outlineLevel="1" x14ac:dyDescent="0.15">
      <c r="B129" s="338" t="s">
        <v>354</v>
      </c>
      <c r="C129" s="338"/>
      <c r="D129" s="338"/>
      <c r="E129" s="338"/>
      <c r="F129" s="338"/>
      <c r="H129" s="80" t="s">
        <v>333</v>
      </c>
      <c r="J129" s="165">
        <f t="shared" ref="J129:AS129" si="72">2000/12</f>
        <v>166.66666666666666</v>
      </c>
      <c r="K129" s="165">
        <f t="shared" si="72"/>
        <v>166.66666666666666</v>
      </c>
      <c r="L129" s="165">
        <f t="shared" si="72"/>
        <v>166.66666666666666</v>
      </c>
      <c r="M129" s="165">
        <f t="shared" si="72"/>
        <v>166.66666666666666</v>
      </c>
      <c r="N129" s="165">
        <f t="shared" si="72"/>
        <v>166.66666666666666</v>
      </c>
      <c r="O129" s="165">
        <f t="shared" si="72"/>
        <v>166.66666666666666</v>
      </c>
      <c r="P129" s="165">
        <f t="shared" si="72"/>
        <v>166.66666666666666</v>
      </c>
      <c r="Q129" s="165">
        <f t="shared" si="72"/>
        <v>166.66666666666666</v>
      </c>
      <c r="R129" s="165">
        <f t="shared" si="72"/>
        <v>166.66666666666666</v>
      </c>
      <c r="S129" s="165">
        <f t="shared" si="72"/>
        <v>166.66666666666666</v>
      </c>
      <c r="T129" s="165">
        <f t="shared" si="72"/>
        <v>166.66666666666666</v>
      </c>
      <c r="U129" s="165">
        <f t="shared" si="72"/>
        <v>166.66666666666666</v>
      </c>
      <c r="V129" s="165">
        <f t="shared" si="72"/>
        <v>166.66666666666666</v>
      </c>
      <c r="W129" s="165">
        <f t="shared" si="72"/>
        <v>166.66666666666666</v>
      </c>
      <c r="X129" s="165">
        <f t="shared" si="72"/>
        <v>166.66666666666666</v>
      </c>
      <c r="Y129" s="165">
        <f t="shared" si="72"/>
        <v>166.66666666666666</v>
      </c>
      <c r="Z129" s="165">
        <f t="shared" si="72"/>
        <v>166.66666666666666</v>
      </c>
      <c r="AA129" s="165">
        <f t="shared" si="72"/>
        <v>166.66666666666666</v>
      </c>
      <c r="AB129" s="165">
        <f t="shared" si="72"/>
        <v>166.66666666666666</v>
      </c>
      <c r="AC129" s="165">
        <f t="shared" si="72"/>
        <v>166.66666666666666</v>
      </c>
      <c r="AD129" s="165">
        <f t="shared" si="72"/>
        <v>166.66666666666666</v>
      </c>
      <c r="AE129" s="165">
        <f t="shared" si="72"/>
        <v>166.66666666666666</v>
      </c>
      <c r="AF129" s="165">
        <f t="shared" si="72"/>
        <v>166.66666666666666</v>
      </c>
      <c r="AG129" s="165">
        <f t="shared" si="72"/>
        <v>166.66666666666666</v>
      </c>
      <c r="AH129" s="165">
        <f t="shared" si="72"/>
        <v>166.66666666666666</v>
      </c>
      <c r="AI129" s="165">
        <f t="shared" si="72"/>
        <v>166.66666666666666</v>
      </c>
      <c r="AJ129" s="165">
        <f t="shared" si="72"/>
        <v>166.66666666666666</v>
      </c>
      <c r="AK129" s="165">
        <f t="shared" si="72"/>
        <v>166.66666666666666</v>
      </c>
      <c r="AL129" s="165">
        <f t="shared" si="72"/>
        <v>166.66666666666666</v>
      </c>
      <c r="AM129" s="165">
        <f t="shared" si="72"/>
        <v>166.66666666666666</v>
      </c>
      <c r="AN129" s="165">
        <f t="shared" si="72"/>
        <v>166.66666666666666</v>
      </c>
      <c r="AO129" s="165">
        <f t="shared" si="72"/>
        <v>166.66666666666666</v>
      </c>
      <c r="AP129" s="165">
        <f t="shared" si="72"/>
        <v>166.66666666666666</v>
      </c>
      <c r="AQ129" s="165">
        <f t="shared" si="72"/>
        <v>166.66666666666666</v>
      </c>
      <c r="AR129" s="165">
        <f t="shared" si="72"/>
        <v>166.66666666666666</v>
      </c>
      <c r="AS129" s="165">
        <f t="shared" si="72"/>
        <v>166.66666666666666</v>
      </c>
    </row>
    <row r="130" spans="2:45" ht="3" customHeight="1" outlineLevel="1" x14ac:dyDescent="0.15"/>
    <row r="131" spans="2:45" outlineLevel="1" x14ac:dyDescent="0.15">
      <c r="B131" s="338" t="s">
        <v>355</v>
      </c>
      <c r="C131" s="338"/>
      <c r="D131" s="338"/>
      <c r="E131" s="338"/>
      <c r="F131" s="338"/>
      <c r="H131" s="80" t="s">
        <v>333</v>
      </c>
      <c r="J131" s="165">
        <f t="shared" ref="J131:AS131" si="73">600/80*J22/12</f>
        <v>75</v>
      </c>
      <c r="K131" s="165">
        <f t="shared" si="73"/>
        <v>77.5</v>
      </c>
      <c r="L131" s="165">
        <f t="shared" si="73"/>
        <v>80</v>
      </c>
      <c r="M131" s="165">
        <f t="shared" si="73"/>
        <v>82.5</v>
      </c>
      <c r="N131" s="165">
        <f t="shared" si="73"/>
        <v>85</v>
      </c>
      <c r="O131" s="165">
        <f t="shared" si="73"/>
        <v>87.5</v>
      </c>
      <c r="P131" s="165">
        <f t="shared" si="73"/>
        <v>90</v>
      </c>
      <c r="Q131" s="165">
        <f t="shared" si="73"/>
        <v>92.5</v>
      </c>
      <c r="R131" s="165">
        <f t="shared" si="73"/>
        <v>95</v>
      </c>
      <c r="S131" s="165">
        <f t="shared" si="73"/>
        <v>97.5</v>
      </c>
      <c r="T131" s="165">
        <f t="shared" si="73"/>
        <v>100</v>
      </c>
      <c r="U131" s="165">
        <f t="shared" si="73"/>
        <v>102.5</v>
      </c>
      <c r="V131" s="165">
        <f t="shared" si="73"/>
        <v>105</v>
      </c>
      <c r="W131" s="165">
        <f t="shared" si="73"/>
        <v>107.5</v>
      </c>
      <c r="X131" s="165">
        <f t="shared" si="73"/>
        <v>110</v>
      </c>
      <c r="Y131" s="165">
        <f t="shared" si="73"/>
        <v>112.5</v>
      </c>
      <c r="Z131" s="165">
        <f t="shared" si="73"/>
        <v>115</v>
      </c>
      <c r="AA131" s="165">
        <f t="shared" si="73"/>
        <v>117.5</v>
      </c>
      <c r="AB131" s="165">
        <f t="shared" si="73"/>
        <v>120</v>
      </c>
      <c r="AC131" s="165">
        <f t="shared" si="73"/>
        <v>122.5</v>
      </c>
      <c r="AD131" s="165">
        <f t="shared" si="73"/>
        <v>125</v>
      </c>
      <c r="AE131" s="165">
        <f t="shared" si="73"/>
        <v>127.5</v>
      </c>
      <c r="AF131" s="165">
        <f t="shared" si="73"/>
        <v>130</v>
      </c>
      <c r="AG131" s="165">
        <f t="shared" si="73"/>
        <v>132.5</v>
      </c>
      <c r="AH131" s="165">
        <f t="shared" si="73"/>
        <v>135</v>
      </c>
      <c r="AI131" s="165">
        <f t="shared" si="73"/>
        <v>137.5</v>
      </c>
      <c r="AJ131" s="165">
        <f t="shared" si="73"/>
        <v>140</v>
      </c>
      <c r="AK131" s="165">
        <f t="shared" si="73"/>
        <v>142.5</v>
      </c>
      <c r="AL131" s="165">
        <f t="shared" si="73"/>
        <v>145</v>
      </c>
      <c r="AM131" s="165">
        <f t="shared" si="73"/>
        <v>147.5</v>
      </c>
      <c r="AN131" s="165">
        <f t="shared" si="73"/>
        <v>150</v>
      </c>
      <c r="AO131" s="165">
        <f t="shared" si="73"/>
        <v>152.5</v>
      </c>
      <c r="AP131" s="165">
        <f t="shared" si="73"/>
        <v>155</v>
      </c>
      <c r="AQ131" s="165">
        <f t="shared" si="73"/>
        <v>157.5</v>
      </c>
      <c r="AR131" s="165">
        <f t="shared" si="73"/>
        <v>160</v>
      </c>
      <c r="AS131" s="165">
        <f t="shared" si="73"/>
        <v>162.5</v>
      </c>
    </row>
    <row r="132" spans="2:45" ht="3" customHeight="1" outlineLevel="1" x14ac:dyDescent="0.15"/>
    <row r="133" spans="2:45" hidden="1" outlineLevel="2" x14ac:dyDescent="0.15">
      <c r="H133" s="232" t="s">
        <v>70</v>
      </c>
      <c r="J133" s="31">
        <f t="shared" ref="J133:AS133" si="74">J78</f>
        <v>3371.0619354838709</v>
      </c>
      <c r="K133" s="31">
        <f t="shared" si="74"/>
        <v>5460.4498733333321</v>
      </c>
      <c r="L133" s="31">
        <f t="shared" si="74"/>
        <v>5658.2944516129037</v>
      </c>
      <c r="M133" s="31">
        <f t="shared" si="74"/>
        <v>6738.0976666666666</v>
      </c>
      <c r="N133" s="31">
        <f t="shared" si="74"/>
        <v>2898.1579913978489</v>
      </c>
      <c r="O133" s="31">
        <f t="shared" si="74"/>
        <v>5264.5171290322578</v>
      </c>
      <c r="P133" s="31">
        <f t="shared" si="74"/>
        <v>6074.5498666666672</v>
      </c>
      <c r="Q133" s="31">
        <f t="shared" si="74"/>
        <v>6044.8385397849461</v>
      </c>
      <c r="R133" s="31">
        <f t="shared" si="74"/>
        <v>4902.4685600000003</v>
      </c>
      <c r="S133" s="31">
        <f t="shared" si="74"/>
        <v>5694.5062731182788</v>
      </c>
      <c r="T133" s="31">
        <f t="shared" si="74"/>
        <v>5619.0533333333333</v>
      </c>
      <c r="U133" s="31">
        <f t="shared" si="74"/>
        <v>5209.1097290322577</v>
      </c>
      <c r="V133" s="31">
        <f t="shared" si="74"/>
        <v>4744.1322150537635</v>
      </c>
      <c r="W133" s="31">
        <f t="shared" si="74"/>
        <v>7768.365953333333</v>
      </c>
      <c r="X133" s="31">
        <f t="shared" si="74"/>
        <v>8277.8607741935466</v>
      </c>
      <c r="Y133" s="31">
        <f t="shared" si="74"/>
        <v>9034.1491666666661</v>
      </c>
      <c r="Z133" s="31">
        <f t="shared" si="74"/>
        <v>4260.2976946236549</v>
      </c>
      <c r="AA133" s="31">
        <f t="shared" si="74"/>
        <v>7287.2087161290319</v>
      </c>
      <c r="AB133" s="31">
        <f t="shared" si="74"/>
        <v>7888.9786666666669</v>
      </c>
      <c r="AC133" s="31">
        <f t="shared" si="74"/>
        <v>8103.1645526881721</v>
      </c>
      <c r="AD133" s="31">
        <f t="shared" si="74"/>
        <v>6556.4059999999999</v>
      </c>
      <c r="AE133" s="31">
        <f t="shared" si="74"/>
        <v>7315.0680473118282</v>
      </c>
      <c r="AF133" s="31">
        <f t="shared" si="74"/>
        <v>7699.6161333333339</v>
      </c>
      <c r="AG133" s="31">
        <f t="shared" si="74"/>
        <v>6861.0442838709669</v>
      </c>
      <c r="AH133" s="31">
        <f t="shared" si="74"/>
        <v>6039.2380215053772</v>
      </c>
      <c r="AI133" s="31">
        <f t="shared" si="74"/>
        <v>10462.136733333335</v>
      </c>
      <c r="AJ133" s="31">
        <f t="shared" si="74"/>
        <v>10681.368258064516</v>
      </c>
      <c r="AK133" s="31">
        <f t="shared" si="74"/>
        <v>10636.666666666666</v>
      </c>
      <c r="AL133" s="31">
        <f t="shared" si="74"/>
        <v>5688.6499913978478</v>
      </c>
      <c r="AM133" s="31">
        <f t="shared" si="74"/>
        <v>8992.9481161290332</v>
      </c>
      <c r="AN133" s="31">
        <f t="shared" si="74"/>
        <v>9528.3066666666673</v>
      </c>
      <c r="AO133" s="31">
        <f t="shared" si="74"/>
        <v>10129.021862365593</v>
      </c>
      <c r="AP133" s="31">
        <f t="shared" si="74"/>
        <v>7810.3434400000006</v>
      </c>
      <c r="AQ133" s="31">
        <f t="shared" si="74"/>
        <v>8420.3698989247314</v>
      </c>
      <c r="AR133" s="31">
        <f t="shared" si="74"/>
        <v>9506.8005333333349</v>
      </c>
      <c r="AS133" s="31">
        <f t="shared" si="74"/>
        <v>8112.9788387096769</v>
      </c>
    </row>
    <row r="134" spans="2:45" outlineLevel="1" collapsed="1" x14ac:dyDescent="0.15">
      <c r="B134" s="338" t="s">
        <v>356</v>
      </c>
      <c r="C134" s="338"/>
      <c r="D134" s="338"/>
      <c r="E134" s="338"/>
      <c r="F134" s="338"/>
      <c r="H134" s="80" t="s">
        <v>357</v>
      </c>
      <c r="J134" s="167">
        <v>2.1999999999999999E-2</v>
      </c>
      <c r="K134" s="167">
        <v>2.1999999999999999E-2</v>
      </c>
      <c r="L134" s="167">
        <v>2.1999999999999999E-2</v>
      </c>
      <c r="M134" s="167">
        <v>2.1999999999999999E-2</v>
      </c>
      <c r="N134" s="167">
        <v>2.1999999999999999E-2</v>
      </c>
      <c r="O134" s="167">
        <v>2.1999999999999999E-2</v>
      </c>
      <c r="P134" s="167">
        <v>2.1999999999999999E-2</v>
      </c>
      <c r="Q134" s="167">
        <v>2.1999999999999999E-2</v>
      </c>
      <c r="R134" s="167">
        <v>2.1999999999999999E-2</v>
      </c>
      <c r="S134" s="167">
        <v>2.1999999999999999E-2</v>
      </c>
      <c r="T134" s="167">
        <v>2.1999999999999999E-2</v>
      </c>
      <c r="U134" s="167">
        <v>2.1999999999999999E-2</v>
      </c>
      <c r="V134" s="167">
        <v>2.1999999999999999E-2</v>
      </c>
      <c r="W134" s="167">
        <v>2.1999999999999999E-2</v>
      </c>
      <c r="X134" s="167">
        <v>2.1999999999999999E-2</v>
      </c>
      <c r="Y134" s="167">
        <v>2.1999999999999999E-2</v>
      </c>
      <c r="Z134" s="167">
        <v>2.1999999999999999E-2</v>
      </c>
      <c r="AA134" s="167">
        <v>2.1999999999999999E-2</v>
      </c>
      <c r="AB134" s="167">
        <v>2.1999999999999999E-2</v>
      </c>
      <c r="AC134" s="167">
        <v>2.1999999999999999E-2</v>
      </c>
      <c r="AD134" s="167">
        <v>2.1999999999999999E-2</v>
      </c>
      <c r="AE134" s="167">
        <v>2.1999999999999999E-2</v>
      </c>
      <c r="AF134" s="167">
        <v>2.1999999999999999E-2</v>
      </c>
      <c r="AG134" s="167">
        <v>2.1999999999999999E-2</v>
      </c>
      <c r="AH134" s="167">
        <v>2.1999999999999999E-2</v>
      </c>
      <c r="AI134" s="167">
        <v>2.1999999999999999E-2</v>
      </c>
      <c r="AJ134" s="167">
        <v>2.1999999999999999E-2</v>
      </c>
      <c r="AK134" s="167">
        <v>2.1999999999999999E-2</v>
      </c>
      <c r="AL134" s="167">
        <v>2.1999999999999999E-2</v>
      </c>
      <c r="AM134" s="167">
        <v>2.1999999999999999E-2</v>
      </c>
      <c r="AN134" s="167">
        <v>2.1999999999999999E-2</v>
      </c>
      <c r="AO134" s="167">
        <v>2.1999999999999999E-2</v>
      </c>
      <c r="AP134" s="167">
        <v>2.1999999999999999E-2</v>
      </c>
      <c r="AQ134" s="167">
        <v>2.1999999999999999E-2</v>
      </c>
      <c r="AR134" s="167">
        <v>2.1999999999999999E-2</v>
      </c>
      <c r="AS134" s="167">
        <v>2.1999999999999999E-2</v>
      </c>
    </row>
    <row r="135" spans="2:45" ht="3" customHeight="1" outlineLevel="1" x14ac:dyDescent="0.15"/>
    <row r="136" spans="2:45" outlineLevel="1" x14ac:dyDescent="0.15">
      <c r="B136" s="338" t="s">
        <v>813</v>
      </c>
      <c r="C136" s="338"/>
      <c r="D136" s="338"/>
      <c r="E136" s="338"/>
      <c r="F136" s="338"/>
      <c r="H136" s="80" t="s">
        <v>333</v>
      </c>
      <c r="J136" s="165">
        <v>200</v>
      </c>
      <c r="K136" s="165">
        <v>200</v>
      </c>
      <c r="L136" s="165">
        <v>200</v>
      </c>
      <c r="M136" s="165">
        <v>200</v>
      </c>
      <c r="N136" s="165">
        <v>200</v>
      </c>
      <c r="O136" s="165">
        <v>200</v>
      </c>
      <c r="P136" s="165">
        <v>200</v>
      </c>
      <c r="Q136" s="165">
        <v>200</v>
      </c>
      <c r="R136" s="165">
        <v>200</v>
      </c>
      <c r="S136" s="165">
        <v>200</v>
      </c>
      <c r="T136" s="165">
        <v>200</v>
      </c>
      <c r="U136" s="165">
        <v>200</v>
      </c>
      <c r="V136" s="165">
        <v>200</v>
      </c>
      <c r="W136" s="165">
        <v>200</v>
      </c>
      <c r="X136" s="165">
        <v>200</v>
      </c>
      <c r="Y136" s="165">
        <v>200</v>
      </c>
      <c r="Z136" s="165">
        <v>200</v>
      </c>
      <c r="AA136" s="165">
        <v>200</v>
      </c>
      <c r="AB136" s="165">
        <v>200</v>
      </c>
      <c r="AC136" s="165">
        <v>200</v>
      </c>
      <c r="AD136" s="165">
        <v>200</v>
      </c>
      <c r="AE136" s="165">
        <v>200</v>
      </c>
      <c r="AF136" s="165">
        <v>200</v>
      </c>
      <c r="AG136" s="165">
        <v>200</v>
      </c>
      <c r="AH136" s="165">
        <v>200</v>
      </c>
      <c r="AI136" s="165">
        <v>200</v>
      </c>
      <c r="AJ136" s="165">
        <v>200</v>
      </c>
      <c r="AK136" s="165">
        <v>200</v>
      </c>
      <c r="AL136" s="165">
        <v>200</v>
      </c>
      <c r="AM136" s="165">
        <v>200</v>
      </c>
      <c r="AN136" s="165">
        <v>200</v>
      </c>
      <c r="AO136" s="165">
        <v>200</v>
      </c>
      <c r="AP136" s="165">
        <v>200</v>
      </c>
      <c r="AQ136" s="165">
        <v>200</v>
      </c>
      <c r="AR136" s="165">
        <v>200</v>
      </c>
      <c r="AS136" s="165">
        <v>200</v>
      </c>
    </row>
    <row r="137" spans="2:45" ht="3" customHeight="1" outlineLevel="1" x14ac:dyDescent="0.15"/>
    <row r="138" spans="2:45" ht="3" customHeight="1" outlineLevel="1" x14ac:dyDescent="0.15"/>
    <row r="139" spans="2:45" outlineLevel="1" x14ac:dyDescent="0.15">
      <c r="B139" s="16" t="str">
        <f>B117</f>
        <v>Operating Expenditure</v>
      </c>
      <c r="H139" s="155" t="s">
        <v>247</v>
      </c>
    </row>
    <row r="140" spans="2:45" outlineLevel="1" x14ac:dyDescent="0.15">
      <c r="B140" s="107" t="str">
        <f>B118</f>
        <v>Rent</v>
      </c>
      <c r="H140" s="227">
        <f>Scenarios!I73</f>
        <v>0</v>
      </c>
      <c r="J140" s="14">
        <f t="shared" ref="J140:AS140" si="75">J118*J119/Ts_Denom_Conv_Fact+$H140</f>
        <v>5833.3333333333339</v>
      </c>
      <c r="K140" s="14">
        <f t="shared" si="75"/>
        <v>5833.3333333333339</v>
      </c>
      <c r="L140" s="14">
        <f t="shared" si="75"/>
        <v>5833.3333333333339</v>
      </c>
      <c r="M140" s="14">
        <f t="shared" si="75"/>
        <v>5833.3333333333339</v>
      </c>
      <c r="N140" s="14">
        <f t="shared" si="75"/>
        <v>5833.3333333333339</v>
      </c>
      <c r="O140" s="14">
        <f t="shared" si="75"/>
        <v>5833.3333333333339</v>
      </c>
      <c r="P140" s="14">
        <f t="shared" si="75"/>
        <v>5833.3333333333339</v>
      </c>
      <c r="Q140" s="14">
        <f t="shared" si="75"/>
        <v>5833.3333333333339</v>
      </c>
      <c r="R140" s="14">
        <f t="shared" si="75"/>
        <v>5833.3333333333339</v>
      </c>
      <c r="S140" s="14">
        <f t="shared" si="75"/>
        <v>5833.3333333333339</v>
      </c>
      <c r="T140" s="14">
        <f t="shared" si="75"/>
        <v>5833.3333333333339</v>
      </c>
      <c r="U140" s="14">
        <f t="shared" si="75"/>
        <v>5833.3333333333339</v>
      </c>
      <c r="V140" s="14">
        <f t="shared" si="75"/>
        <v>5833.3333333333339</v>
      </c>
      <c r="W140" s="14">
        <f t="shared" si="75"/>
        <v>5833.3333333333339</v>
      </c>
      <c r="X140" s="14">
        <f t="shared" si="75"/>
        <v>5833.3333333333339</v>
      </c>
      <c r="Y140" s="14">
        <f t="shared" si="75"/>
        <v>5833.3333333333339</v>
      </c>
      <c r="Z140" s="14">
        <f t="shared" si="75"/>
        <v>5833.3333333333339</v>
      </c>
      <c r="AA140" s="14">
        <f t="shared" si="75"/>
        <v>5833.3333333333339</v>
      </c>
      <c r="AB140" s="14">
        <f t="shared" si="75"/>
        <v>5833.3333333333339</v>
      </c>
      <c r="AC140" s="14">
        <f t="shared" si="75"/>
        <v>5833.3333333333339</v>
      </c>
      <c r="AD140" s="14">
        <f t="shared" si="75"/>
        <v>5833.3333333333339</v>
      </c>
      <c r="AE140" s="14">
        <f t="shared" si="75"/>
        <v>5833.3333333333339</v>
      </c>
      <c r="AF140" s="14">
        <f t="shared" si="75"/>
        <v>5833.3333333333339</v>
      </c>
      <c r="AG140" s="14">
        <f t="shared" si="75"/>
        <v>5833.3333333333339</v>
      </c>
      <c r="AH140" s="14">
        <f t="shared" si="75"/>
        <v>5833.3333333333339</v>
      </c>
      <c r="AI140" s="14">
        <f t="shared" si="75"/>
        <v>5833.3333333333339</v>
      </c>
      <c r="AJ140" s="14">
        <f t="shared" si="75"/>
        <v>5833.3333333333339</v>
      </c>
      <c r="AK140" s="14">
        <f t="shared" si="75"/>
        <v>5833.3333333333339</v>
      </c>
      <c r="AL140" s="14">
        <f t="shared" si="75"/>
        <v>5833.3333333333339</v>
      </c>
      <c r="AM140" s="14">
        <f t="shared" si="75"/>
        <v>5833.3333333333339</v>
      </c>
      <c r="AN140" s="14">
        <f t="shared" si="75"/>
        <v>5833.3333333333339</v>
      </c>
      <c r="AO140" s="14">
        <f t="shared" si="75"/>
        <v>5833.3333333333339</v>
      </c>
      <c r="AP140" s="14">
        <f t="shared" si="75"/>
        <v>5833.3333333333339</v>
      </c>
      <c r="AQ140" s="14">
        <f t="shared" si="75"/>
        <v>5833.3333333333339</v>
      </c>
      <c r="AR140" s="14">
        <f t="shared" si="75"/>
        <v>5833.3333333333339</v>
      </c>
      <c r="AS140" s="14">
        <f t="shared" si="75"/>
        <v>5833.3333333333339</v>
      </c>
    </row>
    <row r="141" spans="2:45" s="233" customFormat="1" outlineLevel="1" x14ac:dyDescent="0.15">
      <c r="B141" s="234" t="str">
        <f>B121</f>
        <v>Rates</v>
      </c>
      <c r="H141" s="291">
        <f>Scenarios!I76</f>
        <v>0</v>
      </c>
      <c r="J141" s="235">
        <f t="shared" ref="J141:AS141" si="76">J121*J122+$H141</f>
        <v>227.08333333333337</v>
      </c>
      <c r="K141" s="235">
        <f t="shared" si="76"/>
        <v>227.08333333333337</v>
      </c>
      <c r="L141" s="235">
        <f t="shared" si="76"/>
        <v>227.08333333333337</v>
      </c>
      <c r="M141" s="235">
        <f t="shared" si="76"/>
        <v>227.08333333333337</v>
      </c>
      <c r="N141" s="235">
        <f t="shared" si="76"/>
        <v>227.08333333333337</v>
      </c>
      <c r="O141" s="235">
        <f t="shared" si="76"/>
        <v>227.08333333333337</v>
      </c>
      <c r="P141" s="235">
        <f t="shared" si="76"/>
        <v>227.08333333333337</v>
      </c>
      <c r="Q141" s="235">
        <f t="shared" si="76"/>
        <v>227.08333333333337</v>
      </c>
      <c r="R141" s="235">
        <f t="shared" si="76"/>
        <v>227.08333333333337</v>
      </c>
      <c r="S141" s="235">
        <f t="shared" si="76"/>
        <v>227.08333333333337</v>
      </c>
      <c r="T141" s="235">
        <f t="shared" si="76"/>
        <v>227.08333333333337</v>
      </c>
      <c r="U141" s="235">
        <f t="shared" si="76"/>
        <v>227.08333333333337</v>
      </c>
      <c r="V141" s="235">
        <f t="shared" si="76"/>
        <v>227.08333333333337</v>
      </c>
      <c r="W141" s="235">
        <f t="shared" si="76"/>
        <v>227.08333333333337</v>
      </c>
      <c r="X141" s="235">
        <f t="shared" si="76"/>
        <v>227.08333333333337</v>
      </c>
      <c r="Y141" s="235">
        <f t="shared" si="76"/>
        <v>227.08333333333337</v>
      </c>
      <c r="Z141" s="235">
        <f t="shared" si="76"/>
        <v>227.08333333333337</v>
      </c>
      <c r="AA141" s="235">
        <f t="shared" si="76"/>
        <v>227.08333333333337</v>
      </c>
      <c r="AB141" s="235">
        <f t="shared" si="76"/>
        <v>227.08333333333337</v>
      </c>
      <c r="AC141" s="235">
        <f t="shared" si="76"/>
        <v>227.08333333333337</v>
      </c>
      <c r="AD141" s="235">
        <f t="shared" si="76"/>
        <v>227.08333333333337</v>
      </c>
      <c r="AE141" s="235">
        <f t="shared" si="76"/>
        <v>227.08333333333337</v>
      </c>
      <c r="AF141" s="235">
        <f t="shared" si="76"/>
        <v>227.08333333333337</v>
      </c>
      <c r="AG141" s="235">
        <f t="shared" si="76"/>
        <v>227.08333333333337</v>
      </c>
      <c r="AH141" s="235">
        <f t="shared" si="76"/>
        <v>227.08333333333337</v>
      </c>
      <c r="AI141" s="235">
        <f t="shared" si="76"/>
        <v>227.08333333333337</v>
      </c>
      <c r="AJ141" s="235">
        <f t="shared" si="76"/>
        <v>227.08333333333337</v>
      </c>
      <c r="AK141" s="235">
        <f t="shared" si="76"/>
        <v>227.08333333333337</v>
      </c>
      <c r="AL141" s="235">
        <f t="shared" si="76"/>
        <v>227.08333333333337</v>
      </c>
      <c r="AM141" s="235">
        <f t="shared" si="76"/>
        <v>227.08333333333337</v>
      </c>
      <c r="AN141" s="235">
        <f t="shared" si="76"/>
        <v>227.08333333333337</v>
      </c>
      <c r="AO141" s="235">
        <f t="shared" si="76"/>
        <v>227.08333333333337</v>
      </c>
      <c r="AP141" s="235">
        <f t="shared" si="76"/>
        <v>227.08333333333337</v>
      </c>
      <c r="AQ141" s="235">
        <f t="shared" si="76"/>
        <v>227.08333333333337</v>
      </c>
      <c r="AR141" s="235">
        <f t="shared" si="76"/>
        <v>227.08333333333337</v>
      </c>
      <c r="AS141" s="235">
        <f t="shared" si="76"/>
        <v>227.08333333333337</v>
      </c>
    </row>
    <row r="142" spans="2:45" outlineLevel="1" x14ac:dyDescent="0.15">
      <c r="B142" s="107" t="str">
        <f>B124</f>
        <v>Staff Cost</v>
      </c>
      <c r="H142" s="224">
        <f>Scenarios!I79</f>
        <v>0</v>
      </c>
      <c r="J142" s="14">
        <f t="shared" ref="J142:AS142" si="77">J124*J125*J14/Ts_Denom_Conv_Fact+$H142</f>
        <v>0</v>
      </c>
      <c r="K142" s="14">
        <f t="shared" si="77"/>
        <v>0</v>
      </c>
      <c r="L142" s="14">
        <f t="shared" si="77"/>
        <v>0</v>
      </c>
      <c r="M142" s="14">
        <f t="shared" si="77"/>
        <v>0</v>
      </c>
      <c r="N142" s="14">
        <f t="shared" si="77"/>
        <v>0</v>
      </c>
      <c r="O142" s="14">
        <f t="shared" si="77"/>
        <v>0</v>
      </c>
      <c r="P142" s="14">
        <f t="shared" si="77"/>
        <v>1115.1000000000001</v>
      </c>
      <c r="Q142" s="14">
        <f t="shared" si="77"/>
        <v>1115.1000000000001</v>
      </c>
      <c r="R142" s="14">
        <f t="shared" si="77"/>
        <v>1168.2</v>
      </c>
      <c r="S142" s="14">
        <f t="shared" si="77"/>
        <v>1221.3</v>
      </c>
      <c r="T142" s="14">
        <f t="shared" si="77"/>
        <v>1062</v>
      </c>
      <c r="U142" s="14">
        <f t="shared" si="77"/>
        <v>1221.3</v>
      </c>
      <c r="V142" s="14">
        <f t="shared" si="77"/>
        <v>1168.2</v>
      </c>
      <c r="W142" s="14">
        <f t="shared" si="77"/>
        <v>1115.1000000000001</v>
      </c>
      <c r="X142" s="14">
        <f t="shared" si="77"/>
        <v>1221.3</v>
      </c>
      <c r="Y142" s="14">
        <f t="shared" si="77"/>
        <v>1115.1000000000001</v>
      </c>
      <c r="Z142" s="14">
        <f t="shared" si="77"/>
        <v>1168.2</v>
      </c>
      <c r="AA142" s="14">
        <f t="shared" si="77"/>
        <v>1221.3</v>
      </c>
      <c r="AB142" s="14">
        <f t="shared" si="77"/>
        <v>1062</v>
      </c>
      <c r="AC142" s="14">
        <f t="shared" si="77"/>
        <v>1115.1000000000001</v>
      </c>
      <c r="AD142" s="14">
        <f t="shared" si="77"/>
        <v>1168.2</v>
      </c>
      <c r="AE142" s="14">
        <f t="shared" si="77"/>
        <v>1168.2</v>
      </c>
      <c r="AF142" s="14">
        <f t="shared" si="77"/>
        <v>1115.1000000000001</v>
      </c>
      <c r="AG142" s="14">
        <f t="shared" si="77"/>
        <v>1221.3</v>
      </c>
      <c r="AH142" s="14">
        <f t="shared" si="77"/>
        <v>1115.1000000000001</v>
      </c>
      <c r="AI142" s="14">
        <f t="shared" si="77"/>
        <v>1168.2</v>
      </c>
      <c r="AJ142" s="14">
        <f t="shared" si="77"/>
        <v>1221.3</v>
      </c>
      <c r="AK142" s="14">
        <f t="shared" si="77"/>
        <v>1062</v>
      </c>
      <c r="AL142" s="14">
        <f t="shared" si="77"/>
        <v>1221.3</v>
      </c>
      <c r="AM142" s="14">
        <f t="shared" si="77"/>
        <v>1168.2</v>
      </c>
      <c r="AN142" s="14">
        <f t="shared" si="77"/>
        <v>1062</v>
      </c>
      <c r="AO142" s="14">
        <f t="shared" si="77"/>
        <v>1168.2</v>
      </c>
      <c r="AP142" s="14">
        <f t="shared" si="77"/>
        <v>1168.2</v>
      </c>
      <c r="AQ142" s="14">
        <f t="shared" si="77"/>
        <v>1115.1000000000001</v>
      </c>
      <c r="AR142" s="14">
        <f t="shared" si="77"/>
        <v>1168.2</v>
      </c>
      <c r="AS142" s="14">
        <f t="shared" si="77"/>
        <v>1221.3</v>
      </c>
    </row>
    <row r="143" spans="2:45" outlineLevel="1" x14ac:dyDescent="0.15">
      <c r="B143" s="107" t="str">
        <f>B127</f>
        <v>Utilities</v>
      </c>
      <c r="H143" s="157">
        <f>Scenarios!I82</f>
        <v>0</v>
      </c>
      <c r="J143" s="14">
        <f t="shared" ref="J143:AS143" si="78">J127*(1+$H143)</f>
        <v>100</v>
      </c>
      <c r="K143" s="14">
        <f t="shared" si="78"/>
        <v>100</v>
      </c>
      <c r="L143" s="14">
        <f t="shared" si="78"/>
        <v>100</v>
      </c>
      <c r="M143" s="14">
        <f t="shared" si="78"/>
        <v>100</v>
      </c>
      <c r="N143" s="14">
        <f t="shared" si="78"/>
        <v>100</v>
      </c>
      <c r="O143" s="14">
        <f t="shared" si="78"/>
        <v>100</v>
      </c>
      <c r="P143" s="14">
        <f t="shared" si="78"/>
        <v>100</v>
      </c>
      <c r="Q143" s="14">
        <f t="shared" si="78"/>
        <v>100</v>
      </c>
      <c r="R143" s="14">
        <f t="shared" si="78"/>
        <v>100</v>
      </c>
      <c r="S143" s="14">
        <f t="shared" si="78"/>
        <v>100</v>
      </c>
      <c r="T143" s="14">
        <f t="shared" si="78"/>
        <v>100</v>
      </c>
      <c r="U143" s="14">
        <f t="shared" si="78"/>
        <v>100</v>
      </c>
      <c r="V143" s="14">
        <f t="shared" si="78"/>
        <v>100</v>
      </c>
      <c r="W143" s="14">
        <f t="shared" si="78"/>
        <v>100</v>
      </c>
      <c r="X143" s="14">
        <f t="shared" si="78"/>
        <v>100</v>
      </c>
      <c r="Y143" s="14">
        <f t="shared" si="78"/>
        <v>100</v>
      </c>
      <c r="Z143" s="14">
        <f t="shared" si="78"/>
        <v>100</v>
      </c>
      <c r="AA143" s="14">
        <f t="shared" si="78"/>
        <v>100</v>
      </c>
      <c r="AB143" s="14">
        <f t="shared" si="78"/>
        <v>100</v>
      </c>
      <c r="AC143" s="14">
        <f t="shared" si="78"/>
        <v>100</v>
      </c>
      <c r="AD143" s="14">
        <f t="shared" si="78"/>
        <v>100</v>
      </c>
      <c r="AE143" s="14">
        <f t="shared" si="78"/>
        <v>100</v>
      </c>
      <c r="AF143" s="14">
        <f t="shared" si="78"/>
        <v>100</v>
      </c>
      <c r="AG143" s="14">
        <f t="shared" si="78"/>
        <v>100</v>
      </c>
      <c r="AH143" s="14">
        <f t="shared" si="78"/>
        <v>100</v>
      </c>
      <c r="AI143" s="14">
        <f t="shared" si="78"/>
        <v>100</v>
      </c>
      <c r="AJ143" s="14">
        <f t="shared" si="78"/>
        <v>100</v>
      </c>
      <c r="AK143" s="14">
        <f t="shared" si="78"/>
        <v>100</v>
      </c>
      <c r="AL143" s="14">
        <f t="shared" si="78"/>
        <v>100</v>
      </c>
      <c r="AM143" s="14">
        <f t="shared" si="78"/>
        <v>100</v>
      </c>
      <c r="AN143" s="14">
        <f t="shared" si="78"/>
        <v>100</v>
      </c>
      <c r="AO143" s="14">
        <f t="shared" si="78"/>
        <v>100</v>
      </c>
      <c r="AP143" s="14">
        <f t="shared" si="78"/>
        <v>100</v>
      </c>
      <c r="AQ143" s="14">
        <f t="shared" si="78"/>
        <v>100</v>
      </c>
      <c r="AR143" s="14">
        <f t="shared" si="78"/>
        <v>100</v>
      </c>
      <c r="AS143" s="14">
        <f t="shared" si="78"/>
        <v>100</v>
      </c>
    </row>
    <row r="144" spans="2:45" outlineLevel="1" x14ac:dyDescent="0.15">
      <c r="B144" s="107" t="str">
        <f>B129</f>
        <v>Insurance</v>
      </c>
      <c r="H144" s="207">
        <f>Scenarios!I85</f>
        <v>0</v>
      </c>
      <c r="J144" s="14">
        <f t="shared" ref="J144:AS144" si="79">J129*(1+$H144)</f>
        <v>166.66666666666666</v>
      </c>
      <c r="K144" s="14">
        <f t="shared" si="79"/>
        <v>166.66666666666666</v>
      </c>
      <c r="L144" s="14">
        <f t="shared" si="79"/>
        <v>166.66666666666666</v>
      </c>
      <c r="M144" s="14">
        <f t="shared" si="79"/>
        <v>166.66666666666666</v>
      </c>
      <c r="N144" s="14">
        <f t="shared" si="79"/>
        <v>166.66666666666666</v>
      </c>
      <c r="O144" s="14">
        <f t="shared" si="79"/>
        <v>166.66666666666666</v>
      </c>
      <c r="P144" s="14">
        <f t="shared" si="79"/>
        <v>166.66666666666666</v>
      </c>
      <c r="Q144" s="14">
        <f t="shared" si="79"/>
        <v>166.66666666666666</v>
      </c>
      <c r="R144" s="14">
        <f t="shared" si="79"/>
        <v>166.66666666666666</v>
      </c>
      <c r="S144" s="14">
        <f t="shared" si="79"/>
        <v>166.66666666666666</v>
      </c>
      <c r="T144" s="14">
        <f t="shared" si="79"/>
        <v>166.66666666666666</v>
      </c>
      <c r="U144" s="14">
        <f t="shared" si="79"/>
        <v>166.66666666666666</v>
      </c>
      <c r="V144" s="14">
        <f t="shared" si="79"/>
        <v>166.66666666666666</v>
      </c>
      <c r="W144" s="14">
        <f t="shared" si="79"/>
        <v>166.66666666666666</v>
      </c>
      <c r="X144" s="14">
        <f t="shared" si="79"/>
        <v>166.66666666666666</v>
      </c>
      <c r="Y144" s="14">
        <f t="shared" si="79"/>
        <v>166.66666666666666</v>
      </c>
      <c r="Z144" s="14">
        <f t="shared" si="79"/>
        <v>166.66666666666666</v>
      </c>
      <c r="AA144" s="14">
        <f t="shared" si="79"/>
        <v>166.66666666666666</v>
      </c>
      <c r="AB144" s="14">
        <f t="shared" si="79"/>
        <v>166.66666666666666</v>
      </c>
      <c r="AC144" s="14">
        <f t="shared" si="79"/>
        <v>166.66666666666666</v>
      </c>
      <c r="AD144" s="14">
        <f t="shared" si="79"/>
        <v>166.66666666666666</v>
      </c>
      <c r="AE144" s="14">
        <f t="shared" si="79"/>
        <v>166.66666666666666</v>
      </c>
      <c r="AF144" s="14">
        <f t="shared" si="79"/>
        <v>166.66666666666666</v>
      </c>
      <c r="AG144" s="14">
        <f t="shared" si="79"/>
        <v>166.66666666666666</v>
      </c>
      <c r="AH144" s="14">
        <f t="shared" si="79"/>
        <v>166.66666666666666</v>
      </c>
      <c r="AI144" s="14">
        <f t="shared" si="79"/>
        <v>166.66666666666666</v>
      </c>
      <c r="AJ144" s="14">
        <f t="shared" si="79"/>
        <v>166.66666666666666</v>
      </c>
      <c r="AK144" s="14">
        <f t="shared" si="79"/>
        <v>166.66666666666666</v>
      </c>
      <c r="AL144" s="14">
        <f t="shared" si="79"/>
        <v>166.66666666666666</v>
      </c>
      <c r="AM144" s="14">
        <f t="shared" si="79"/>
        <v>166.66666666666666</v>
      </c>
      <c r="AN144" s="14">
        <f t="shared" si="79"/>
        <v>166.66666666666666</v>
      </c>
      <c r="AO144" s="14">
        <f t="shared" si="79"/>
        <v>166.66666666666666</v>
      </c>
      <c r="AP144" s="14">
        <f t="shared" si="79"/>
        <v>166.66666666666666</v>
      </c>
      <c r="AQ144" s="14">
        <f t="shared" si="79"/>
        <v>166.66666666666666</v>
      </c>
      <c r="AR144" s="14">
        <f t="shared" si="79"/>
        <v>166.66666666666666</v>
      </c>
      <c r="AS144" s="14">
        <f t="shared" si="79"/>
        <v>166.66666666666666</v>
      </c>
    </row>
    <row r="145" spans="2:45" outlineLevel="1" x14ac:dyDescent="0.15">
      <c r="B145" s="107" t="str">
        <f>B131</f>
        <v>HEMA Insurance</v>
      </c>
      <c r="H145" s="157">
        <f>Scenarios!I88</f>
        <v>0</v>
      </c>
      <c r="J145" s="14">
        <f t="shared" ref="J145:AS145" si="80">J131*(1+$H145)</f>
        <v>75</v>
      </c>
      <c r="K145" s="14">
        <f t="shared" si="80"/>
        <v>77.5</v>
      </c>
      <c r="L145" s="14">
        <f t="shared" si="80"/>
        <v>80</v>
      </c>
      <c r="M145" s="14">
        <f t="shared" si="80"/>
        <v>82.5</v>
      </c>
      <c r="N145" s="14">
        <f t="shared" si="80"/>
        <v>85</v>
      </c>
      <c r="O145" s="14">
        <f t="shared" si="80"/>
        <v>87.5</v>
      </c>
      <c r="P145" s="14">
        <f t="shared" si="80"/>
        <v>90</v>
      </c>
      <c r="Q145" s="14">
        <f t="shared" si="80"/>
        <v>92.5</v>
      </c>
      <c r="R145" s="14">
        <f t="shared" si="80"/>
        <v>95</v>
      </c>
      <c r="S145" s="14">
        <f t="shared" si="80"/>
        <v>97.5</v>
      </c>
      <c r="T145" s="14">
        <f t="shared" si="80"/>
        <v>100</v>
      </c>
      <c r="U145" s="14">
        <f t="shared" si="80"/>
        <v>102.5</v>
      </c>
      <c r="V145" s="14">
        <f t="shared" si="80"/>
        <v>105</v>
      </c>
      <c r="W145" s="14">
        <f t="shared" si="80"/>
        <v>107.5</v>
      </c>
      <c r="X145" s="14">
        <f t="shared" si="80"/>
        <v>110</v>
      </c>
      <c r="Y145" s="14">
        <f t="shared" si="80"/>
        <v>112.5</v>
      </c>
      <c r="Z145" s="14">
        <f t="shared" si="80"/>
        <v>115</v>
      </c>
      <c r="AA145" s="14">
        <f t="shared" si="80"/>
        <v>117.5</v>
      </c>
      <c r="AB145" s="14">
        <f t="shared" si="80"/>
        <v>120</v>
      </c>
      <c r="AC145" s="14">
        <f t="shared" si="80"/>
        <v>122.5</v>
      </c>
      <c r="AD145" s="14">
        <f t="shared" si="80"/>
        <v>125</v>
      </c>
      <c r="AE145" s="14">
        <f t="shared" si="80"/>
        <v>127.5</v>
      </c>
      <c r="AF145" s="14">
        <f t="shared" si="80"/>
        <v>130</v>
      </c>
      <c r="AG145" s="14">
        <f t="shared" si="80"/>
        <v>132.5</v>
      </c>
      <c r="AH145" s="14">
        <f t="shared" si="80"/>
        <v>135</v>
      </c>
      <c r="AI145" s="14">
        <f t="shared" si="80"/>
        <v>137.5</v>
      </c>
      <c r="AJ145" s="14">
        <f t="shared" si="80"/>
        <v>140</v>
      </c>
      <c r="AK145" s="14">
        <f t="shared" si="80"/>
        <v>142.5</v>
      </c>
      <c r="AL145" s="14">
        <f t="shared" si="80"/>
        <v>145</v>
      </c>
      <c r="AM145" s="14">
        <f t="shared" si="80"/>
        <v>147.5</v>
      </c>
      <c r="AN145" s="14">
        <f t="shared" si="80"/>
        <v>150</v>
      </c>
      <c r="AO145" s="14">
        <f t="shared" si="80"/>
        <v>152.5</v>
      </c>
      <c r="AP145" s="14">
        <f t="shared" si="80"/>
        <v>155</v>
      </c>
      <c r="AQ145" s="14">
        <f t="shared" si="80"/>
        <v>157.5</v>
      </c>
      <c r="AR145" s="14">
        <f t="shared" si="80"/>
        <v>160</v>
      </c>
      <c r="AS145" s="14">
        <f t="shared" si="80"/>
        <v>162.5</v>
      </c>
    </row>
    <row r="146" spans="2:45" outlineLevel="1" x14ac:dyDescent="0.15">
      <c r="B146" s="107" t="str">
        <f>B134</f>
        <v>Credit Card Fees</v>
      </c>
      <c r="J146" s="14">
        <f t="shared" ref="J146:AS146" si="81">J133*J134</f>
        <v>74.163362580645156</v>
      </c>
      <c r="K146" s="14">
        <f t="shared" si="81"/>
        <v>120.12989721333329</v>
      </c>
      <c r="L146" s="14">
        <f t="shared" si="81"/>
        <v>124.48247793548387</v>
      </c>
      <c r="M146" s="14">
        <f t="shared" si="81"/>
        <v>148.23814866666666</v>
      </c>
      <c r="N146" s="14">
        <f t="shared" si="81"/>
        <v>63.759475810752676</v>
      </c>
      <c r="O146" s="14">
        <f t="shared" si="81"/>
        <v>115.81937683870966</v>
      </c>
      <c r="P146" s="14">
        <f t="shared" si="81"/>
        <v>133.64009706666667</v>
      </c>
      <c r="Q146" s="14">
        <f t="shared" si="81"/>
        <v>132.98644787526879</v>
      </c>
      <c r="R146" s="14">
        <f t="shared" si="81"/>
        <v>107.85430832</v>
      </c>
      <c r="S146" s="14">
        <f t="shared" si="81"/>
        <v>125.27913800860213</v>
      </c>
      <c r="T146" s="14">
        <f t="shared" si="81"/>
        <v>123.61917333333332</v>
      </c>
      <c r="U146" s="14">
        <f t="shared" si="81"/>
        <v>114.60041403870966</v>
      </c>
      <c r="V146" s="14">
        <f t="shared" si="81"/>
        <v>104.37090873118279</v>
      </c>
      <c r="W146" s="14">
        <f t="shared" si="81"/>
        <v>170.90405097333331</v>
      </c>
      <c r="X146" s="14">
        <f t="shared" si="81"/>
        <v>182.112937032258</v>
      </c>
      <c r="Y146" s="14">
        <f t="shared" si="81"/>
        <v>198.75128166666664</v>
      </c>
      <c r="Z146" s="14">
        <f t="shared" si="81"/>
        <v>93.726549281720409</v>
      </c>
      <c r="AA146" s="14">
        <f t="shared" si="81"/>
        <v>160.31859175483871</v>
      </c>
      <c r="AB146" s="14">
        <f t="shared" si="81"/>
        <v>173.55753066666665</v>
      </c>
      <c r="AC146" s="14">
        <f t="shared" si="81"/>
        <v>178.26962015913978</v>
      </c>
      <c r="AD146" s="14">
        <f t="shared" si="81"/>
        <v>144.24093199999999</v>
      </c>
      <c r="AE146" s="14">
        <f t="shared" si="81"/>
        <v>160.93149704086022</v>
      </c>
      <c r="AF146" s="14">
        <f t="shared" si="81"/>
        <v>169.39155493333334</v>
      </c>
      <c r="AG146" s="14">
        <f t="shared" si="81"/>
        <v>150.94297424516125</v>
      </c>
      <c r="AH146" s="14">
        <f t="shared" si="81"/>
        <v>132.86323647311829</v>
      </c>
      <c r="AI146" s="14">
        <f t="shared" si="81"/>
        <v>230.16700813333335</v>
      </c>
      <c r="AJ146" s="14">
        <f t="shared" si="81"/>
        <v>234.99010167741935</v>
      </c>
      <c r="AK146" s="14">
        <f t="shared" si="81"/>
        <v>234.00666666666663</v>
      </c>
      <c r="AL146" s="14">
        <f t="shared" si="81"/>
        <v>125.15029981075264</v>
      </c>
      <c r="AM146" s="14">
        <f t="shared" si="81"/>
        <v>197.84485855483871</v>
      </c>
      <c r="AN146" s="14">
        <f t="shared" si="81"/>
        <v>209.62274666666667</v>
      </c>
      <c r="AO146" s="14">
        <f t="shared" si="81"/>
        <v>222.83848097204302</v>
      </c>
      <c r="AP146" s="14">
        <f t="shared" si="81"/>
        <v>171.82755567999999</v>
      </c>
      <c r="AQ146" s="14">
        <f t="shared" si="81"/>
        <v>185.24813777634407</v>
      </c>
      <c r="AR146" s="14">
        <f t="shared" si="81"/>
        <v>209.14961173333336</v>
      </c>
      <c r="AS146" s="14">
        <f t="shared" si="81"/>
        <v>178.48553445161289</v>
      </c>
    </row>
    <row r="147" spans="2:45" outlineLevel="1" x14ac:dyDescent="0.15">
      <c r="B147" s="107" t="str">
        <f>B136</f>
        <v>Cleaning &amp; Other</v>
      </c>
      <c r="H147" s="157">
        <f>Scenarios!I91</f>
        <v>0</v>
      </c>
      <c r="J147" s="14">
        <f t="shared" ref="J147:AS147" si="82">J136*(1+$H147)</f>
        <v>200</v>
      </c>
      <c r="K147" s="14">
        <f t="shared" si="82"/>
        <v>200</v>
      </c>
      <c r="L147" s="14">
        <f t="shared" si="82"/>
        <v>200</v>
      </c>
      <c r="M147" s="14">
        <f t="shared" si="82"/>
        <v>200</v>
      </c>
      <c r="N147" s="14">
        <f t="shared" si="82"/>
        <v>200</v>
      </c>
      <c r="O147" s="14">
        <f t="shared" si="82"/>
        <v>200</v>
      </c>
      <c r="P147" s="14">
        <f t="shared" si="82"/>
        <v>200</v>
      </c>
      <c r="Q147" s="14">
        <f t="shared" si="82"/>
        <v>200</v>
      </c>
      <c r="R147" s="14">
        <f t="shared" si="82"/>
        <v>200</v>
      </c>
      <c r="S147" s="14">
        <f t="shared" si="82"/>
        <v>200</v>
      </c>
      <c r="T147" s="14">
        <f t="shared" si="82"/>
        <v>200</v>
      </c>
      <c r="U147" s="14">
        <f t="shared" si="82"/>
        <v>200</v>
      </c>
      <c r="V147" s="14">
        <f t="shared" si="82"/>
        <v>200</v>
      </c>
      <c r="W147" s="14">
        <f t="shared" si="82"/>
        <v>200</v>
      </c>
      <c r="X147" s="14">
        <f t="shared" si="82"/>
        <v>200</v>
      </c>
      <c r="Y147" s="14">
        <f t="shared" si="82"/>
        <v>200</v>
      </c>
      <c r="Z147" s="14">
        <f t="shared" si="82"/>
        <v>200</v>
      </c>
      <c r="AA147" s="14">
        <f t="shared" si="82"/>
        <v>200</v>
      </c>
      <c r="AB147" s="14">
        <f t="shared" si="82"/>
        <v>200</v>
      </c>
      <c r="AC147" s="14">
        <f t="shared" si="82"/>
        <v>200</v>
      </c>
      <c r="AD147" s="14">
        <f t="shared" si="82"/>
        <v>200</v>
      </c>
      <c r="AE147" s="14">
        <f t="shared" si="82"/>
        <v>200</v>
      </c>
      <c r="AF147" s="14">
        <f t="shared" si="82"/>
        <v>200</v>
      </c>
      <c r="AG147" s="14">
        <f t="shared" si="82"/>
        <v>200</v>
      </c>
      <c r="AH147" s="14">
        <f t="shared" si="82"/>
        <v>200</v>
      </c>
      <c r="AI147" s="14">
        <f t="shared" si="82"/>
        <v>200</v>
      </c>
      <c r="AJ147" s="14">
        <f t="shared" si="82"/>
        <v>200</v>
      </c>
      <c r="AK147" s="14">
        <f t="shared" si="82"/>
        <v>200</v>
      </c>
      <c r="AL147" s="14">
        <f t="shared" si="82"/>
        <v>200</v>
      </c>
      <c r="AM147" s="14">
        <f t="shared" si="82"/>
        <v>200</v>
      </c>
      <c r="AN147" s="14">
        <f t="shared" si="82"/>
        <v>200</v>
      </c>
      <c r="AO147" s="14">
        <f t="shared" si="82"/>
        <v>200</v>
      </c>
      <c r="AP147" s="14">
        <f t="shared" si="82"/>
        <v>200</v>
      </c>
      <c r="AQ147" s="14">
        <f t="shared" si="82"/>
        <v>200</v>
      </c>
      <c r="AR147" s="14">
        <f t="shared" si="82"/>
        <v>200</v>
      </c>
      <c r="AS147" s="14">
        <f t="shared" si="82"/>
        <v>200</v>
      </c>
    </row>
    <row r="148" spans="2:45" outlineLevel="1" x14ac:dyDescent="0.15">
      <c r="B148" s="16" t="str">
        <f>"Total "&amp;B117</f>
        <v>Total Operating Expenditure</v>
      </c>
      <c r="J148" s="18">
        <f t="shared" ref="J148:AS148" ca="1" si="83">IF(ROWS(J$139:J$148)=2,0,SUM(OFFSET(J$139,1,0,ROWS(J$139:J$148)-2)))</f>
        <v>6676.2466959139792</v>
      </c>
      <c r="K148" s="18">
        <f t="shared" ca="1" si="83"/>
        <v>6724.7132305466675</v>
      </c>
      <c r="L148" s="18">
        <f t="shared" ca="1" si="83"/>
        <v>6731.5658112688179</v>
      </c>
      <c r="M148" s="18">
        <f t="shared" ca="1" si="83"/>
        <v>6757.8214820000003</v>
      </c>
      <c r="N148" s="18">
        <f t="shared" ca="1" si="83"/>
        <v>6675.8428091440865</v>
      </c>
      <c r="O148" s="18">
        <f t="shared" ca="1" si="83"/>
        <v>6730.402710172044</v>
      </c>
      <c r="P148" s="18">
        <f t="shared" ca="1" si="83"/>
        <v>7865.8234304000007</v>
      </c>
      <c r="Q148" s="18">
        <f t="shared" ca="1" si="83"/>
        <v>7867.6697812086031</v>
      </c>
      <c r="R148" s="18">
        <f t="shared" ca="1" si="83"/>
        <v>7898.137641653334</v>
      </c>
      <c r="S148" s="18">
        <f t="shared" ca="1" si="83"/>
        <v>7971.162471341936</v>
      </c>
      <c r="T148" s="18">
        <f t="shared" ca="1" si="83"/>
        <v>7812.7025066666674</v>
      </c>
      <c r="U148" s="18">
        <f t="shared" ca="1" si="83"/>
        <v>7965.4837473720436</v>
      </c>
      <c r="V148" s="18">
        <f t="shared" ca="1" si="83"/>
        <v>7904.6542420645164</v>
      </c>
      <c r="W148" s="18">
        <f t="shared" ca="1" si="83"/>
        <v>7920.5873843066674</v>
      </c>
      <c r="X148" s="18">
        <f t="shared" ca="1" si="83"/>
        <v>8040.496270365592</v>
      </c>
      <c r="Y148" s="18">
        <f t="shared" ca="1" si="83"/>
        <v>7953.434615000001</v>
      </c>
      <c r="Z148" s="18">
        <f t="shared" ca="1" si="83"/>
        <v>7904.0098826150543</v>
      </c>
      <c r="AA148" s="18">
        <f t="shared" ca="1" si="83"/>
        <v>8026.2019250881731</v>
      </c>
      <c r="AB148" s="18">
        <f t="shared" ca="1" si="83"/>
        <v>7882.6408640000009</v>
      </c>
      <c r="AC148" s="18">
        <f t="shared" ca="1" si="83"/>
        <v>7942.9529534924741</v>
      </c>
      <c r="AD148" s="18">
        <f t="shared" ca="1" si="83"/>
        <v>7964.5242653333335</v>
      </c>
      <c r="AE148" s="18">
        <f t="shared" ca="1" si="83"/>
        <v>7983.7148303741942</v>
      </c>
      <c r="AF148" s="18">
        <f t="shared" ca="1" si="83"/>
        <v>7941.5748882666676</v>
      </c>
      <c r="AG148" s="18">
        <f t="shared" ca="1" si="83"/>
        <v>8031.8263075784953</v>
      </c>
      <c r="AH148" s="18">
        <f t="shared" ca="1" si="83"/>
        <v>7910.0465698064527</v>
      </c>
      <c r="AI148" s="18">
        <f t="shared" ca="1" si="83"/>
        <v>8062.9503414666669</v>
      </c>
      <c r="AJ148" s="18">
        <f t="shared" ca="1" si="83"/>
        <v>8123.3734350107534</v>
      </c>
      <c r="AK148" s="18">
        <f t="shared" ca="1" si="83"/>
        <v>7965.59</v>
      </c>
      <c r="AL148" s="18">
        <f t="shared" ca="1" si="83"/>
        <v>8018.5336331440867</v>
      </c>
      <c r="AM148" s="18">
        <f t="shared" ca="1" si="83"/>
        <v>8040.6281918881723</v>
      </c>
      <c r="AN148" s="18">
        <f t="shared" ca="1" si="83"/>
        <v>7948.7060800000008</v>
      </c>
      <c r="AO148" s="18">
        <f t="shared" ca="1" si="83"/>
        <v>8070.6218143053766</v>
      </c>
      <c r="AP148" s="18">
        <f t="shared" ca="1" si="83"/>
        <v>8022.1108890133337</v>
      </c>
      <c r="AQ148" s="18">
        <f t="shared" ca="1" si="83"/>
        <v>7984.9314711096786</v>
      </c>
      <c r="AR148" s="18">
        <f t="shared" ca="1" si="83"/>
        <v>8064.4329450666673</v>
      </c>
      <c r="AS148" s="18">
        <f t="shared" ca="1" si="83"/>
        <v>8089.3688677849468</v>
      </c>
    </row>
    <row r="149" spans="2:45" ht="6" customHeight="1" outlineLevel="1" x14ac:dyDescent="0.15"/>
    <row r="150" spans="2:45" hidden="1" outlineLevel="2" x14ac:dyDescent="0.15">
      <c r="B150" s="16" t="str">
        <f>B117</f>
        <v>Operating Expenditure</v>
      </c>
    </row>
    <row r="151" spans="2:45" hidden="1" outlineLevel="2" x14ac:dyDescent="0.15">
      <c r="B151" s="107" t="str">
        <f t="shared" ref="B151:B159" si="84">B140</f>
        <v>Rent</v>
      </c>
      <c r="J151" s="14">
        <f t="shared" ref="J151:AS151" si="85">J140</f>
        <v>5833.3333333333339</v>
      </c>
      <c r="K151" s="14">
        <f t="shared" si="85"/>
        <v>5833.3333333333339</v>
      </c>
      <c r="L151" s="14">
        <f t="shared" si="85"/>
        <v>5833.3333333333339</v>
      </c>
      <c r="M151" s="14">
        <f t="shared" si="85"/>
        <v>5833.3333333333339</v>
      </c>
      <c r="N151" s="14">
        <f t="shared" si="85"/>
        <v>5833.3333333333339</v>
      </c>
      <c r="O151" s="14">
        <f t="shared" si="85"/>
        <v>5833.3333333333339</v>
      </c>
      <c r="P151" s="14">
        <f t="shared" si="85"/>
        <v>5833.3333333333339</v>
      </c>
      <c r="Q151" s="14">
        <f t="shared" si="85"/>
        <v>5833.3333333333339</v>
      </c>
      <c r="R151" s="14">
        <f t="shared" si="85"/>
        <v>5833.3333333333339</v>
      </c>
      <c r="S151" s="14">
        <f t="shared" si="85"/>
        <v>5833.3333333333339</v>
      </c>
      <c r="T151" s="14">
        <f t="shared" si="85"/>
        <v>5833.3333333333339</v>
      </c>
      <c r="U151" s="14">
        <f t="shared" si="85"/>
        <v>5833.3333333333339</v>
      </c>
      <c r="V151" s="14">
        <f t="shared" si="85"/>
        <v>5833.3333333333339</v>
      </c>
      <c r="W151" s="14">
        <f t="shared" si="85"/>
        <v>5833.3333333333339</v>
      </c>
      <c r="X151" s="14">
        <f t="shared" si="85"/>
        <v>5833.3333333333339</v>
      </c>
      <c r="Y151" s="14">
        <f t="shared" si="85"/>
        <v>5833.3333333333339</v>
      </c>
      <c r="Z151" s="14">
        <f t="shared" si="85"/>
        <v>5833.3333333333339</v>
      </c>
      <c r="AA151" s="14">
        <f t="shared" si="85"/>
        <v>5833.3333333333339</v>
      </c>
      <c r="AB151" s="14">
        <f t="shared" si="85"/>
        <v>5833.3333333333339</v>
      </c>
      <c r="AC151" s="14">
        <f t="shared" si="85"/>
        <v>5833.3333333333339</v>
      </c>
      <c r="AD151" s="14">
        <f t="shared" si="85"/>
        <v>5833.3333333333339</v>
      </c>
      <c r="AE151" s="14">
        <f t="shared" si="85"/>
        <v>5833.3333333333339</v>
      </c>
      <c r="AF151" s="14">
        <f t="shared" si="85"/>
        <v>5833.3333333333339</v>
      </c>
      <c r="AG151" s="14">
        <f t="shared" si="85"/>
        <v>5833.3333333333339</v>
      </c>
      <c r="AH151" s="14">
        <f t="shared" si="85"/>
        <v>5833.3333333333339</v>
      </c>
      <c r="AI151" s="14">
        <f t="shared" si="85"/>
        <v>5833.3333333333339</v>
      </c>
      <c r="AJ151" s="14">
        <f t="shared" si="85"/>
        <v>5833.3333333333339</v>
      </c>
      <c r="AK151" s="14">
        <f t="shared" si="85"/>
        <v>5833.3333333333339</v>
      </c>
      <c r="AL151" s="14">
        <f t="shared" si="85"/>
        <v>5833.3333333333339</v>
      </c>
      <c r="AM151" s="14">
        <f t="shared" si="85"/>
        <v>5833.3333333333339</v>
      </c>
      <c r="AN151" s="14">
        <f t="shared" si="85"/>
        <v>5833.3333333333339</v>
      </c>
      <c r="AO151" s="14">
        <f t="shared" si="85"/>
        <v>5833.3333333333339</v>
      </c>
      <c r="AP151" s="14">
        <f t="shared" si="85"/>
        <v>5833.3333333333339</v>
      </c>
      <c r="AQ151" s="14">
        <f t="shared" si="85"/>
        <v>5833.3333333333339</v>
      </c>
      <c r="AR151" s="14">
        <f t="shared" si="85"/>
        <v>5833.3333333333339</v>
      </c>
      <c r="AS151" s="14">
        <f t="shared" si="85"/>
        <v>5833.3333333333339</v>
      </c>
    </row>
    <row r="152" spans="2:45" hidden="1" outlineLevel="2" collapsed="1" x14ac:dyDescent="0.15">
      <c r="B152" s="107" t="str">
        <f t="shared" si="84"/>
        <v>Rates</v>
      </c>
      <c r="J152" s="14">
        <f t="shared" ref="J152:AS152" si="86">J141</f>
        <v>227.08333333333337</v>
      </c>
      <c r="K152" s="14">
        <f t="shared" si="86"/>
        <v>227.08333333333337</v>
      </c>
      <c r="L152" s="14">
        <f t="shared" si="86"/>
        <v>227.08333333333337</v>
      </c>
      <c r="M152" s="14">
        <f t="shared" si="86"/>
        <v>227.08333333333337</v>
      </c>
      <c r="N152" s="14">
        <f t="shared" si="86"/>
        <v>227.08333333333337</v>
      </c>
      <c r="O152" s="14">
        <f t="shared" si="86"/>
        <v>227.08333333333337</v>
      </c>
      <c r="P152" s="14">
        <f t="shared" si="86"/>
        <v>227.08333333333337</v>
      </c>
      <c r="Q152" s="14">
        <f t="shared" si="86"/>
        <v>227.08333333333337</v>
      </c>
      <c r="R152" s="14">
        <f t="shared" si="86"/>
        <v>227.08333333333337</v>
      </c>
      <c r="S152" s="14">
        <f t="shared" si="86"/>
        <v>227.08333333333337</v>
      </c>
      <c r="T152" s="14">
        <f t="shared" si="86"/>
        <v>227.08333333333337</v>
      </c>
      <c r="U152" s="14">
        <f t="shared" si="86"/>
        <v>227.08333333333337</v>
      </c>
      <c r="V152" s="14">
        <f t="shared" si="86"/>
        <v>227.08333333333337</v>
      </c>
      <c r="W152" s="14">
        <f t="shared" si="86"/>
        <v>227.08333333333337</v>
      </c>
      <c r="X152" s="14">
        <f t="shared" si="86"/>
        <v>227.08333333333337</v>
      </c>
      <c r="Y152" s="14">
        <f t="shared" si="86"/>
        <v>227.08333333333337</v>
      </c>
      <c r="Z152" s="14">
        <f t="shared" si="86"/>
        <v>227.08333333333337</v>
      </c>
      <c r="AA152" s="14">
        <f t="shared" si="86"/>
        <v>227.08333333333337</v>
      </c>
      <c r="AB152" s="14">
        <f t="shared" si="86"/>
        <v>227.08333333333337</v>
      </c>
      <c r="AC152" s="14">
        <f t="shared" si="86"/>
        <v>227.08333333333337</v>
      </c>
      <c r="AD152" s="14">
        <f t="shared" si="86"/>
        <v>227.08333333333337</v>
      </c>
      <c r="AE152" s="14">
        <f t="shared" si="86"/>
        <v>227.08333333333337</v>
      </c>
      <c r="AF152" s="14">
        <f t="shared" si="86"/>
        <v>227.08333333333337</v>
      </c>
      <c r="AG152" s="14">
        <f t="shared" si="86"/>
        <v>227.08333333333337</v>
      </c>
      <c r="AH152" s="14">
        <f t="shared" si="86"/>
        <v>227.08333333333337</v>
      </c>
      <c r="AI152" s="14">
        <f t="shared" si="86"/>
        <v>227.08333333333337</v>
      </c>
      <c r="AJ152" s="14">
        <f t="shared" si="86"/>
        <v>227.08333333333337</v>
      </c>
      <c r="AK152" s="14">
        <f t="shared" si="86"/>
        <v>227.08333333333337</v>
      </c>
      <c r="AL152" s="14">
        <f t="shared" si="86"/>
        <v>227.08333333333337</v>
      </c>
      <c r="AM152" s="14">
        <f t="shared" si="86"/>
        <v>227.08333333333337</v>
      </c>
      <c r="AN152" s="14">
        <f t="shared" si="86"/>
        <v>227.08333333333337</v>
      </c>
      <c r="AO152" s="14">
        <f t="shared" si="86"/>
        <v>227.08333333333337</v>
      </c>
      <c r="AP152" s="14">
        <f t="shared" si="86"/>
        <v>227.08333333333337</v>
      </c>
      <c r="AQ152" s="14">
        <f t="shared" si="86"/>
        <v>227.08333333333337</v>
      </c>
      <c r="AR152" s="14">
        <f t="shared" si="86"/>
        <v>227.08333333333337</v>
      </c>
      <c r="AS152" s="14">
        <f t="shared" si="86"/>
        <v>227.08333333333337</v>
      </c>
    </row>
    <row r="153" spans="2:45" hidden="1" outlineLevel="2" collapsed="1" x14ac:dyDescent="0.15">
      <c r="B153" s="107" t="str">
        <f t="shared" si="84"/>
        <v>Staff Cost</v>
      </c>
      <c r="J153" s="14">
        <f t="shared" ref="J153:AS153" si="87">J142</f>
        <v>0</v>
      </c>
      <c r="K153" s="14">
        <f t="shared" si="87"/>
        <v>0</v>
      </c>
      <c r="L153" s="14">
        <f t="shared" si="87"/>
        <v>0</v>
      </c>
      <c r="M153" s="14">
        <f t="shared" si="87"/>
        <v>0</v>
      </c>
      <c r="N153" s="14">
        <f t="shared" si="87"/>
        <v>0</v>
      </c>
      <c r="O153" s="14">
        <f t="shared" si="87"/>
        <v>0</v>
      </c>
      <c r="P153" s="14">
        <f t="shared" si="87"/>
        <v>1115.1000000000001</v>
      </c>
      <c r="Q153" s="14">
        <f t="shared" si="87"/>
        <v>1115.1000000000001</v>
      </c>
      <c r="R153" s="14">
        <f t="shared" si="87"/>
        <v>1168.2</v>
      </c>
      <c r="S153" s="14">
        <f t="shared" si="87"/>
        <v>1221.3</v>
      </c>
      <c r="T153" s="14">
        <f t="shared" si="87"/>
        <v>1062</v>
      </c>
      <c r="U153" s="14">
        <f t="shared" si="87"/>
        <v>1221.3</v>
      </c>
      <c r="V153" s="14">
        <f t="shared" si="87"/>
        <v>1168.2</v>
      </c>
      <c r="W153" s="14">
        <f t="shared" si="87"/>
        <v>1115.1000000000001</v>
      </c>
      <c r="X153" s="14">
        <f t="shared" si="87"/>
        <v>1221.3</v>
      </c>
      <c r="Y153" s="14">
        <f t="shared" si="87"/>
        <v>1115.1000000000001</v>
      </c>
      <c r="Z153" s="14">
        <f t="shared" si="87"/>
        <v>1168.2</v>
      </c>
      <c r="AA153" s="14">
        <f t="shared" si="87"/>
        <v>1221.3</v>
      </c>
      <c r="AB153" s="14">
        <f t="shared" si="87"/>
        <v>1062</v>
      </c>
      <c r="AC153" s="14">
        <f t="shared" si="87"/>
        <v>1115.1000000000001</v>
      </c>
      <c r="AD153" s="14">
        <f t="shared" si="87"/>
        <v>1168.2</v>
      </c>
      <c r="AE153" s="14">
        <f t="shared" si="87"/>
        <v>1168.2</v>
      </c>
      <c r="AF153" s="14">
        <f t="shared" si="87"/>
        <v>1115.1000000000001</v>
      </c>
      <c r="AG153" s="14">
        <f t="shared" si="87"/>
        <v>1221.3</v>
      </c>
      <c r="AH153" s="14">
        <f t="shared" si="87"/>
        <v>1115.1000000000001</v>
      </c>
      <c r="AI153" s="14">
        <f t="shared" si="87"/>
        <v>1168.2</v>
      </c>
      <c r="AJ153" s="14">
        <f t="shared" si="87"/>
        <v>1221.3</v>
      </c>
      <c r="AK153" s="14">
        <f t="shared" si="87"/>
        <v>1062</v>
      </c>
      <c r="AL153" s="14">
        <f t="shared" si="87"/>
        <v>1221.3</v>
      </c>
      <c r="AM153" s="14">
        <f t="shared" si="87"/>
        <v>1168.2</v>
      </c>
      <c r="AN153" s="14">
        <f t="shared" si="87"/>
        <v>1062</v>
      </c>
      <c r="AO153" s="14">
        <f t="shared" si="87"/>
        <v>1168.2</v>
      </c>
      <c r="AP153" s="14">
        <f t="shared" si="87"/>
        <v>1168.2</v>
      </c>
      <c r="AQ153" s="14">
        <f t="shared" si="87"/>
        <v>1115.1000000000001</v>
      </c>
      <c r="AR153" s="14">
        <f t="shared" si="87"/>
        <v>1168.2</v>
      </c>
      <c r="AS153" s="14">
        <f t="shared" si="87"/>
        <v>1221.3</v>
      </c>
    </row>
    <row r="154" spans="2:45" hidden="1" outlineLevel="2" x14ac:dyDescent="0.15">
      <c r="B154" s="107" t="str">
        <f t="shared" si="84"/>
        <v>Utilities</v>
      </c>
      <c r="J154" s="14">
        <f t="shared" ref="J154:AS154" si="88">J143</f>
        <v>100</v>
      </c>
      <c r="K154" s="14">
        <f t="shared" si="88"/>
        <v>100</v>
      </c>
      <c r="L154" s="14">
        <f t="shared" si="88"/>
        <v>100</v>
      </c>
      <c r="M154" s="14">
        <f t="shared" si="88"/>
        <v>100</v>
      </c>
      <c r="N154" s="14">
        <f t="shared" si="88"/>
        <v>100</v>
      </c>
      <c r="O154" s="14">
        <f t="shared" si="88"/>
        <v>100</v>
      </c>
      <c r="P154" s="14">
        <f t="shared" si="88"/>
        <v>100</v>
      </c>
      <c r="Q154" s="14">
        <f t="shared" si="88"/>
        <v>100</v>
      </c>
      <c r="R154" s="14">
        <f t="shared" si="88"/>
        <v>100</v>
      </c>
      <c r="S154" s="14">
        <f t="shared" si="88"/>
        <v>100</v>
      </c>
      <c r="T154" s="14">
        <f t="shared" si="88"/>
        <v>100</v>
      </c>
      <c r="U154" s="14">
        <f t="shared" si="88"/>
        <v>100</v>
      </c>
      <c r="V154" s="14">
        <f t="shared" si="88"/>
        <v>100</v>
      </c>
      <c r="W154" s="14">
        <f t="shared" si="88"/>
        <v>100</v>
      </c>
      <c r="X154" s="14">
        <f t="shared" si="88"/>
        <v>100</v>
      </c>
      <c r="Y154" s="14">
        <f t="shared" si="88"/>
        <v>100</v>
      </c>
      <c r="Z154" s="14">
        <f t="shared" si="88"/>
        <v>100</v>
      </c>
      <c r="AA154" s="14">
        <f t="shared" si="88"/>
        <v>100</v>
      </c>
      <c r="AB154" s="14">
        <f t="shared" si="88"/>
        <v>100</v>
      </c>
      <c r="AC154" s="14">
        <f t="shared" si="88"/>
        <v>100</v>
      </c>
      <c r="AD154" s="14">
        <f t="shared" si="88"/>
        <v>100</v>
      </c>
      <c r="AE154" s="14">
        <f t="shared" si="88"/>
        <v>100</v>
      </c>
      <c r="AF154" s="14">
        <f t="shared" si="88"/>
        <v>100</v>
      </c>
      <c r="AG154" s="14">
        <f t="shared" si="88"/>
        <v>100</v>
      </c>
      <c r="AH154" s="14">
        <f t="shared" si="88"/>
        <v>100</v>
      </c>
      <c r="AI154" s="14">
        <f t="shared" si="88"/>
        <v>100</v>
      </c>
      <c r="AJ154" s="14">
        <f t="shared" si="88"/>
        <v>100</v>
      </c>
      <c r="AK154" s="14">
        <f t="shared" si="88"/>
        <v>100</v>
      </c>
      <c r="AL154" s="14">
        <f t="shared" si="88"/>
        <v>100</v>
      </c>
      <c r="AM154" s="14">
        <f t="shared" si="88"/>
        <v>100</v>
      </c>
      <c r="AN154" s="14">
        <f t="shared" si="88"/>
        <v>100</v>
      </c>
      <c r="AO154" s="14">
        <f t="shared" si="88"/>
        <v>100</v>
      </c>
      <c r="AP154" s="14">
        <f t="shared" si="88"/>
        <v>100</v>
      </c>
      <c r="AQ154" s="14">
        <f t="shared" si="88"/>
        <v>100</v>
      </c>
      <c r="AR154" s="14">
        <f t="shared" si="88"/>
        <v>100</v>
      </c>
      <c r="AS154" s="14">
        <f t="shared" si="88"/>
        <v>100</v>
      </c>
    </row>
    <row r="155" spans="2:45" hidden="1" outlineLevel="2" x14ac:dyDescent="0.15">
      <c r="B155" s="107" t="str">
        <f t="shared" si="84"/>
        <v>Insurance</v>
      </c>
      <c r="J155" s="14">
        <f t="shared" ref="J155:AS155" si="89">J144</f>
        <v>166.66666666666666</v>
      </c>
      <c r="K155" s="14">
        <f t="shared" si="89"/>
        <v>166.66666666666666</v>
      </c>
      <c r="L155" s="14">
        <f t="shared" si="89"/>
        <v>166.66666666666666</v>
      </c>
      <c r="M155" s="14">
        <f t="shared" si="89"/>
        <v>166.66666666666666</v>
      </c>
      <c r="N155" s="14">
        <f t="shared" si="89"/>
        <v>166.66666666666666</v>
      </c>
      <c r="O155" s="14">
        <f t="shared" si="89"/>
        <v>166.66666666666666</v>
      </c>
      <c r="P155" s="14">
        <f t="shared" si="89"/>
        <v>166.66666666666666</v>
      </c>
      <c r="Q155" s="14">
        <f t="shared" si="89"/>
        <v>166.66666666666666</v>
      </c>
      <c r="R155" s="14">
        <f t="shared" si="89"/>
        <v>166.66666666666666</v>
      </c>
      <c r="S155" s="14">
        <f t="shared" si="89"/>
        <v>166.66666666666666</v>
      </c>
      <c r="T155" s="14">
        <f t="shared" si="89"/>
        <v>166.66666666666666</v>
      </c>
      <c r="U155" s="14">
        <f t="shared" si="89"/>
        <v>166.66666666666666</v>
      </c>
      <c r="V155" s="14">
        <f t="shared" si="89"/>
        <v>166.66666666666666</v>
      </c>
      <c r="W155" s="14">
        <f t="shared" si="89"/>
        <v>166.66666666666666</v>
      </c>
      <c r="X155" s="14">
        <f t="shared" si="89"/>
        <v>166.66666666666666</v>
      </c>
      <c r="Y155" s="14">
        <f t="shared" si="89"/>
        <v>166.66666666666666</v>
      </c>
      <c r="Z155" s="14">
        <f t="shared" si="89"/>
        <v>166.66666666666666</v>
      </c>
      <c r="AA155" s="14">
        <f t="shared" si="89"/>
        <v>166.66666666666666</v>
      </c>
      <c r="AB155" s="14">
        <f t="shared" si="89"/>
        <v>166.66666666666666</v>
      </c>
      <c r="AC155" s="14">
        <f t="shared" si="89"/>
        <v>166.66666666666666</v>
      </c>
      <c r="AD155" s="14">
        <f t="shared" si="89"/>
        <v>166.66666666666666</v>
      </c>
      <c r="AE155" s="14">
        <f t="shared" si="89"/>
        <v>166.66666666666666</v>
      </c>
      <c r="AF155" s="14">
        <f t="shared" si="89"/>
        <v>166.66666666666666</v>
      </c>
      <c r="AG155" s="14">
        <f t="shared" si="89"/>
        <v>166.66666666666666</v>
      </c>
      <c r="AH155" s="14">
        <f t="shared" si="89"/>
        <v>166.66666666666666</v>
      </c>
      <c r="AI155" s="14">
        <f t="shared" si="89"/>
        <v>166.66666666666666</v>
      </c>
      <c r="AJ155" s="14">
        <f t="shared" si="89"/>
        <v>166.66666666666666</v>
      </c>
      <c r="AK155" s="14">
        <f t="shared" si="89"/>
        <v>166.66666666666666</v>
      </c>
      <c r="AL155" s="14">
        <f t="shared" si="89"/>
        <v>166.66666666666666</v>
      </c>
      <c r="AM155" s="14">
        <f t="shared" si="89"/>
        <v>166.66666666666666</v>
      </c>
      <c r="AN155" s="14">
        <f t="shared" si="89"/>
        <v>166.66666666666666</v>
      </c>
      <c r="AO155" s="14">
        <f t="shared" si="89"/>
        <v>166.66666666666666</v>
      </c>
      <c r="AP155" s="14">
        <f t="shared" si="89"/>
        <v>166.66666666666666</v>
      </c>
      <c r="AQ155" s="14">
        <f t="shared" si="89"/>
        <v>166.66666666666666</v>
      </c>
      <c r="AR155" s="14">
        <f t="shared" si="89"/>
        <v>166.66666666666666</v>
      </c>
      <c r="AS155" s="14">
        <f t="shared" si="89"/>
        <v>166.66666666666666</v>
      </c>
    </row>
    <row r="156" spans="2:45" hidden="1" outlineLevel="2" x14ac:dyDescent="0.15">
      <c r="B156" s="107" t="str">
        <f t="shared" si="84"/>
        <v>HEMA Insurance</v>
      </c>
      <c r="J156" s="14">
        <f t="shared" ref="J156:AS156" si="90">J145</f>
        <v>75</v>
      </c>
      <c r="K156" s="14">
        <f t="shared" si="90"/>
        <v>77.5</v>
      </c>
      <c r="L156" s="14">
        <f t="shared" si="90"/>
        <v>80</v>
      </c>
      <c r="M156" s="14">
        <f t="shared" si="90"/>
        <v>82.5</v>
      </c>
      <c r="N156" s="14">
        <f t="shared" si="90"/>
        <v>85</v>
      </c>
      <c r="O156" s="14">
        <f t="shared" si="90"/>
        <v>87.5</v>
      </c>
      <c r="P156" s="14">
        <f t="shared" si="90"/>
        <v>90</v>
      </c>
      <c r="Q156" s="14">
        <f t="shared" si="90"/>
        <v>92.5</v>
      </c>
      <c r="R156" s="14">
        <f t="shared" si="90"/>
        <v>95</v>
      </c>
      <c r="S156" s="14">
        <f t="shared" si="90"/>
        <v>97.5</v>
      </c>
      <c r="T156" s="14">
        <f t="shared" si="90"/>
        <v>100</v>
      </c>
      <c r="U156" s="14">
        <f t="shared" si="90"/>
        <v>102.5</v>
      </c>
      <c r="V156" s="14">
        <f t="shared" si="90"/>
        <v>105</v>
      </c>
      <c r="W156" s="14">
        <f t="shared" si="90"/>
        <v>107.5</v>
      </c>
      <c r="X156" s="14">
        <f t="shared" si="90"/>
        <v>110</v>
      </c>
      <c r="Y156" s="14">
        <f t="shared" si="90"/>
        <v>112.5</v>
      </c>
      <c r="Z156" s="14">
        <f t="shared" si="90"/>
        <v>115</v>
      </c>
      <c r="AA156" s="14">
        <f t="shared" si="90"/>
        <v>117.5</v>
      </c>
      <c r="AB156" s="14">
        <f t="shared" si="90"/>
        <v>120</v>
      </c>
      <c r="AC156" s="14">
        <f t="shared" si="90"/>
        <v>122.5</v>
      </c>
      <c r="AD156" s="14">
        <f t="shared" si="90"/>
        <v>125</v>
      </c>
      <c r="AE156" s="14">
        <f t="shared" si="90"/>
        <v>127.5</v>
      </c>
      <c r="AF156" s="14">
        <f t="shared" si="90"/>
        <v>130</v>
      </c>
      <c r="AG156" s="14">
        <f t="shared" si="90"/>
        <v>132.5</v>
      </c>
      <c r="AH156" s="14">
        <f t="shared" si="90"/>
        <v>135</v>
      </c>
      <c r="AI156" s="14">
        <f t="shared" si="90"/>
        <v>137.5</v>
      </c>
      <c r="AJ156" s="14">
        <f t="shared" si="90"/>
        <v>140</v>
      </c>
      <c r="AK156" s="14">
        <f t="shared" si="90"/>
        <v>142.5</v>
      </c>
      <c r="AL156" s="14">
        <f t="shared" si="90"/>
        <v>145</v>
      </c>
      <c r="AM156" s="14">
        <f t="shared" si="90"/>
        <v>147.5</v>
      </c>
      <c r="AN156" s="14">
        <f t="shared" si="90"/>
        <v>150</v>
      </c>
      <c r="AO156" s="14">
        <f t="shared" si="90"/>
        <v>152.5</v>
      </c>
      <c r="AP156" s="14">
        <f t="shared" si="90"/>
        <v>155</v>
      </c>
      <c r="AQ156" s="14">
        <f t="shared" si="90"/>
        <v>157.5</v>
      </c>
      <c r="AR156" s="14">
        <f t="shared" si="90"/>
        <v>160</v>
      </c>
      <c r="AS156" s="14">
        <f t="shared" si="90"/>
        <v>162.5</v>
      </c>
    </row>
    <row r="157" spans="2:45" hidden="1" outlineLevel="2" x14ac:dyDescent="0.15">
      <c r="B157" s="107" t="str">
        <f t="shared" si="84"/>
        <v>Credit Card Fees</v>
      </c>
      <c r="J157" s="14">
        <f t="shared" ref="J157:AS157" si="91">J146</f>
        <v>74.163362580645156</v>
      </c>
      <c r="K157" s="14">
        <f t="shared" si="91"/>
        <v>120.12989721333329</v>
      </c>
      <c r="L157" s="14">
        <f t="shared" si="91"/>
        <v>124.48247793548387</v>
      </c>
      <c r="M157" s="14">
        <f t="shared" si="91"/>
        <v>148.23814866666666</v>
      </c>
      <c r="N157" s="14">
        <f t="shared" si="91"/>
        <v>63.759475810752676</v>
      </c>
      <c r="O157" s="14">
        <f t="shared" si="91"/>
        <v>115.81937683870966</v>
      </c>
      <c r="P157" s="14">
        <f t="shared" si="91"/>
        <v>133.64009706666667</v>
      </c>
      <c r="Q157" s="14">
        <f t="shared" si="91"/>
        <v>132.98644787526879</v>
      </c>
      <c r="R157" s="14">
        <f t="shared" si="91"/>
        <v>107.85430832</v>
      </c>
      <c r="S157" s="14">
        <f t="shared" si="91"/>
        <v>125.27913800860213</v>
      </c>
      <c r="T157" s="14">
        <f t="shared" si="91"/>
        <v>123.61917333333332</v>
      </c>
      <c r="U157" s="14">
        <f t="shared" si="91"/>
        <v>114.60041403870966</v>
      </c>
      <c r="V157" s="14">
        <f t="shared" si="91"/>
        <v>104.37090873118279</v>
      </c>
      <c r="W157" s="14">
        <f t="shared" si="91"/>
        <v>170.90405097333331</v>
      </c>
      <c r="X157" s="14">
        <f t="shared" si="91"/>
        <v>182.112937032258</v>
      </c>
      <c r="Y157" s="14">
        <f t="shared" si="91"/>
        <v>198.75128166666664</v>
      </c>
      <c r="Z157" s="14">
        <f t="shared" si="91"/>
        <v>93.726549281720409</v>
      </c>
      <c r="AA157" s="14">
        <f t="shared" si="91"/>
        <v>160.31859175483871</v>
      </c>
      <c r="AB157" s="14">
        <f t="shared" si="91"/>
        <v>173.55753066666665</v>
      </c>
      <c r="AC157" s="14">
        <f t="shared" si="91"/>
        <v>178.26962015913978</v>
      </c>
      <c r="AD157" s="14">
        <f t="shared" si="91"/>
        <v>144.24093199999999</v>
      </c>
      <c r="AE157" s="14">
        <f t="shared" si="91"/>
        <v>160.93149704086022</v>
      </c>
      <c r="AF157" s="14">
        <f t="shared" si="91"/>
        <v>169.39155493333334</v>
      </c>
      <c r="AG157" s="14">
        <f t="shared" si="91"/>
        <v>150.94297424516125</v>
      </c>
      <c r="AH157" s="14">
        <f t="shared" si="91"/>
        <v>132.86323647311829</v>
      </c>
      <c r="AI157" s="14">
        <f t="shared" si="91"/>
        <v>230.16700813333335</v>
      </c>
      <c r="AJ157" s="14">
        <f t="shared" si="91"/>
        <v>234.99010167741935</v>
      </c>
      <c r="AK157" s="14">
        <f t="shared" si="91"/>
        <v>234.00666666666663</v>
      </c>
      <c r="AL157" s="14">
        <f t="shared" si="91"/>
        <v>125.15029981075264</v>
      </c>
      <c r="AM157" s="14">
        <f t="shared" si="91"/>
        <v>197.84485855483871</v>
      </c>
      <c r="AN157" s="14">
        <f t="shared" si="91"/>
        <v>209.62274666666667</v>
      </c>
      <c r="AO157" s="14">
        <f t="shared" si="91"/>
        <v>222.83848097204302</v>
      </c>
      <c r="AP157" s="14">
        <f t="shared" si="91"/>
        <v>171.82755567999999</v>
      </c>
      <c r="AQ157" s="14">
        <f t="shared" si="91"/>
        <v>185.24813777634407</v>
      </c>
      <c r="AR157" s="14">
        <f t="shared" si="91"/>
        <v>209.14961173333336</v>
      </c>
      <c r="AS157" s="14">
        <f t="shared" si="91"/>
        <v>178.48553445161289</v>
      </c>
    </row>
    <row r="158" spans="2:45" hidden="1" outlineLevel="2" x14ac:dyDescent="0.15">
      <c r="B158" s="107" t="str">
        <f t="shared" si="84"/>
        <v>Cleaning &amp; Other</v>
      </c>
      <c r="J158" s="14">
        <f t="shared" ref="J158:AS158" si="92">J147</f>
        <v>200</v>
      </c>
      <c r="K158" s="14">
        <f t="shared" si="92"/>
        <v>200</v>
      </c>
      <c r="L158" s="14">
        <f t="shared" si="92"/>
        <v>200</v>
      </c>
      <c r="M158" s="14">
        <f t="shared" si="92"/>
        <v>200</v>
      </c>
      <c r="N158" s="14">
        <f t="shared" si="92"/>
        <v>200</v>
      </c>
      <c r="O158" s="14">
        <f t="shared" si="92"/>
        <v>200</v>
      </c>
      <c r="P158" s="14">
        <f t="shared" si="92"/>
        <v>200</v>
      </c>
      <c r="Q158" s="14">
        <f t="shared" si="92"/>
        <v>200</v>
      </c>
      <c r="R158" s="14">
        <f t="shared" si="92"/>
        <v>200</v>
      </c>
      <c r="S158" s="14">
        <f t="shared" si="92"/>
        <v>200</v>
      </c>
      <c r="T158" s="14">
        <f t="shared" si="92"/>
        <v>200</v>
      </c>
      <c r="U158" s="14">
        <f t="shared" si="92"/>
        <v>200</v>
      </c>
      <c r="V158" s="14">
        <f t="shared" si="92"/>
        <v>200</v>
      </c>
      <c r="W158" s="14">
        <f t="shared" si="92"/>
        <v>200</v>
      </c>
      <c r="X158" s="14">
        <f t="shared" si="92"/>
        <v>200</v>
      </c>
      <c r="Y158" s="14">
        <f t="shared" si="92"/>
        <v>200</v>
      </c>
      <c r="Z158" s="14">
        <f t="shared" si="92"/>
        <v>200</v>
      </c>
      <c r="AA158" s="14">
        <f t="shared" si="92"/>
        <v>200</v>
      </c>
      <c r="AB158" s="14">
        <f t="shared" si="92"/>
        <v>200</v>
      </c>
      <c r="AC158" s="14">
        <f t="shared" si="92"/>
        <v>200</v>
      </c>
      <c r="AD158" s="14">
        <f t="shared" si="92"/>
        <v>200</v>
      </c>
      <c r="AE158" s="14">
        <f t="shared" si="92"/>
        <v>200</v>
      </c>
      <c r="AF158" s="14">
        <f t="shared" si="92"/>
        <v>200</v>
      </c>
      <c r="AG158" s="14">
        <f t="shared" si="92"/>
        <v>200</v>
      </c>
      <c r="AH158" s="14">
        <f t="shared" si="92"/>
        <v>200</v>
      </c>
      <c r="AI158" s="14">
        <f t="shared" si="92"/>
        <v>200</v>
      </c>
      <c r="AJ158" s="14">
        <f t="shared" si="92"/>
        <v>200</v>
      </c>
      <c r="AK158" s="14">
        <f t="shared" si="92"/>
        <v>200</v>
      </c>
      <c r="AL158" s="14">
        <f t="shared" si="92"/>
        <v>200</v>
      </c>
      <c r="AM158" s="14">
        <f t="shared" si="92"/>
        <v>200</v>
      </c>
      <c r="AN158" s="14">
        <f t="shared" si="92"/>
        <v>200</v>
      </c>
      <c r="AO158" s="14">
        <f t="shared" si="92"/>
        <v>200</v>
      </c>
      <c r="AP158" s="14">
        <f t="shared" si="92"/>
        <v>200</v>
      </c>
      <c r="AQ158" s="14">
        <f t="shared" si="92"/>
        <v>200</v>
      </c>
      <c r="AR158" s="14">
        <f t="shared" si="92"/>
        <v>200</v>
      </c>
      <c r="AS158" s="14">
        <f t="shared" si="92"/>
        <v>200</v>
      </c>
    </row>
    <row r="159" spans="2:45" hidden="1" outlineLevel="2" x14ac:dyDescent="0.15">
      <c r="B159" s="16" t="str">
        <f t="shared" si="84"/>
        <v>Total Operating Expenditure</v>
      </c>
      <c r="J159" s="18">
        <f t="shared" ref="J159:AS159" si="93">SUM(J151:J158)</f>
        <v>6676.2466959139792</v>
      </c>
      <c r="K159" s="18">
        <f t="shared" si="93"/>
        <v>6724.7132305466675</v>
      </c>
      <c r="L159" s="18">
        <f t="shared" si="93"/>
        <v>6731.5658112688179</v>
      </c>
      <c r="M159" s="18">
        <f t="shared" si="93"/>
        <v>6757.8214820000003</v>
      </c>
      <c r="N159" s="18">
        <f t="shared" si="93"/>
        <v>6675.8428091440865</v>
      </c>
      <c r="O159" s="18">
        <f t="shared" si="93"/>
        <v>6730.402710172044</v>
      </c>
      <c r="P159" s="18">
        <f t="shared" si="93"/>
        <v>7865.8234304000007</v>
      </c>
      <c r="Q159" s="18">
        <f t="shared" si="93"/>
        <v>7867.6697812086031</v>
      </c>
      <c r="R159" s="18">
        <f t="shared" si="93"/>
        <v>7898.137641653334</v>
      </c>
      <c r="S159" s="18">
        <f t="shared" si="93"/>
        <v>7971.162471341936</v>
      </c>
      <c r="T159" s="18">
        <f t="shared" si="93"/>
        <v>7812.7025066666674</v>
      </c>
      <c r="U159" s="18">
        <f t="shared" si="93"/>
        <v>7965.4837473720436</v>
      </c>
      <c r="V159" s="18">
        <f t="shared" si="93"/>
        <v>7904.6542420645164</v>
      </c>
      <c r="W159" s="18">
        <f t="shared" si="93"/>
        <v>7920.5873843066674</v>
      </c>
      <c r="X159" s="18">
        <f t="shared" si="93"/>
        <v>8040.496270365592</v>
      </c>
      <c r="Y159" s="18">
        <f t="shared" si="93"/>
        <v>7953.434615000001</v>
      </c>
      <c r="Z159" s="18">
        <f t="shared" si="93"/>
        <v>7904.0098826150543</v>
      </c>
      <c r="AA159" s="18">
        <f t="shared" si="93"/>
        <v>8026.2019250881731</v>
      </c>
      <c r="AB159" s="18">
        <f t="shared" si="93"/>
        <v>7882.6408640000009</v>
      </c>
      <c r="AC159" s="18">
        <f t="shared" si="93"/>
        <v>7942.9529534924741</v>
      </c>
      <c r="AD159" s="18">
        <f t="shared" si="93"/>
        <v>7964.5242653333335</v>
      </c>
      <c r="AE159" s="18">
        <f t="shared" si="93"/>
        <v>7983.7148303741942</v>
      </c>
      <c r="AF159" s="18">
        <f t="shared" si="93"/>
        <v>7941.5748882666676</v>
      </c>
      <c r="AG159" s="18">
        <f t="shared" si="93"/>
        <v>8031.8263075784953</v>
      </c>
      <c r="AH159" s="18">
        <f t="shared" si="93"/>
        <v>7910.0465698064527</v>
      </c>
      <c r="AI159" s="18">
        <f t="shared" si="93"/>
        <v>8062.9503414666669</v>
      </c>
      <c r="AJ159" s="18">
        <f t="shared" si="93"/>
        <v>8123.3734350107534</v>
      </c>
      <c r="AK159" s="18">
        <f t="shared" si="93"/>
        <v>7965.59</v>
      </c>
      <c r="AL159" s="18">
        <f t="shared" si="93"/>
        <v>8018.5336331440867</v>
      </c>
      <c r="AM159" s="18">
        <f t="shared" si="93"/>
        <v>8040.6281918881723</v>
      </c>
      <c r="AN159" s="18">
        <f t="shared" si="93"/>
        <v>7948.7060800000008</v>
      </c>
      <c r="AO159" s="18">
        <f t="shared" si="93"/>
        <v>8070.6218143053766</v>
      </c>
      <c r="AP159" s="18">
        <f t="shared" si="93"/>
        <v>8022.1108890133337</v>
      </c>
      <c r="AQ159" s="18">
        <f t="shared" si="93"/>
        <v>7984.9314711096786</v>
      </c>
      <c r="AR159" s="18">
        <f t="shared" si="93"/>
        <v>8064.4329450666673</v>
      </c>
      <c r="AS159" s="18">
        <f t="shared" si="93"/>
        <v>8089.3688677849468</v>
      </c>
    </row>
    <row r="160" spans="2:45" ht="6" hidden="1" customHeight="1" outlineLevel="2" x14ac:dyDescent="0.15"/>
    <row r="161" spans="1:45" hidden="1" outlineLevel="2" x14ac:dyDescent="0.15">
      <c r="C161" s="107" t="s">
        <v>192</v>
      </c>
      <c r="J161" s="17">
        <f t="shared" ref="J161:AS161" ca="1" si="94">IF(ISERROR(J148-J159),1,0)</f>
        <v>0</v>
      </c>
      <c r="K161" s="17">
        <f t="shared" ca="1" si="94"/>
        <v>0</v>
      </c>
      <c r="L161" s="17">
        <f t="shared" ca="1" si="94"/>
        <v>0</v>
      </c>
      <c r="M161" s="17">
        <f t="shared" ca="1" si="94"/>
        <v>0</v>
      </c>
      <c r="N161" s="17">
        <f t="shared" ca="1" si="94"/>
        <v>0</v>
      </c>
      <c r="O161" s="17">
        <f t="shared" ca="1" si="94"/>
        <v>0</v>
      </c>
      <c r="P161" s="17">
        <f t="shared" ca="1" si="94"/>
        <v>0</v>
      </c>
      <c r="Q161" s="17">
        <f t="shared" ca="1" si="94"/>
        <v>0</v>
      </c>
      <c r="R161" s="17">
        <f t="shared" ca="1" si="94"/>
        <v>0</v>
      </c>
      <c r="S161" s="17">
        <f t="shared" ca="1" si="94"/>
        <v>0</v>
      </c>
      <c r="T161" s="17">
        <f t="shared" ca="1" si="94"/>
        <v>0</v>
      </c>
      <c r="U161" s="17">
        <f t="shared" ca="1" si="94"/>
        <v>0</v>
      </c>
      <c r="V161" s="17">
        <f t="shared" ca="1" si="94"/>
        <v>0</v>
      </c>
      <c r="W161" s="17">
        <f t="shared" ca="1" si="94"/>
        <v>0</v>
      </c>
      <c r="X161" s="17">
        <f t="shared" ca="1" si="94"/>
        <v>0</v>
      </c>
      <c r="Y161" s="17">
        <f t="shared" ca="1" si="94"/>
        <v>0</v>
      </c>
      <c r="Z161" s="17">
        <f t="shared" ca="1" si="94"/>
        <v>0</v>
      </c>
      <c r="AA161" s="17">
        <f t="shared" ca="1" si="94"/>
        <v>0</v>
      </c>
      <c r="AB161" s="17">
        <f t="shared" ca="1" si="94"/>
        <v>0</v>
      </c>
      <c r="AC161" s="17">
        <f t="shared" ca="1" si="94"/>
        <v>0</v>
      </c>
      <c r="AD161" s="17">
        <f t="shared" ca="1" si="94"/>
        <v>0</v>
      </c>
      <c r="AE161" s="17">
        <f t="shared" ca="1" si="94"/>
        <v>0</v>
      </c>
      <c r="AF161" s="17">
        <f t="shared" ca="1" si="94"/>
        <v>0</v>
      </c>
      <c r="AG161" s="17">
        <f t="shared" ca="1" si="94"/>
        <v>0</v>
      </c>
      <c r="AH161" s="17">
        <f t="shared" ca="1" si="94"/>
        <v>0</v>
      </c>
      <c r="AI161" s="17">
        <f t="shared" ca="1" si="94"/>
        <v>0</v>
      </c>
      <c r="AJ161" s="17">
        <f t="shared" ca="1" si="94"/>
        <v>0</v>
      </c>
      <c r="AK161" s="17">
        <f t="shared" ca="1" si="94"/>
        <v>0</v>
      </c>
      <c r="AL161" s="17">
        <f t="shared" ca="1" si="94"/>
        <v>0</v>
      </c>
      <c r="AM161" s="17">
        <f t="shared" ca="1" si="94"/>
        <v>0</v>
      </c>
      <c r="AN161" s="17">
        <f t="shared" ca="1" si="94"/>
        <v>0</v>
      </c>
      <c r="AO161" s="17">
        <f t="shared" ca="1" si="94"/>
        <v>0</v>
      </c>
      <c r="AP161" s="17">
        <f t="shared" ca="1" si="94"/>
        <v>0</v>
      </c>
      <c r="AQ161" s="17">
        <f t="shared" ca="1" si="94"/>
        <v>0</v>
      </c>
      <c r="AR161" s="17">
        <f t="shared" ca="1" si="94"/>
        <v>0</v>
      </c>
      <c r="AS161" s="17">
        <f t="shared" ca="1" si="94"/>
        <v>0</v>
      </c>
    </row>
    <row r="162" spans="1:45" hidden="1" outlineLevel="2" x14ac:dyDescent="0.15">
      <c r="C162" s="107" t="s">
        <v>334</v>
      </c>
      <c r="J162" s="42">
        <f t="shared" ref="J162:AS162" ca="1" si="95">IF(J161&lt;&gt;0,0,IF(ROUND(J148-J159,5)&lt;&gt;0,1,0))</f>
        <v>0</v>
      </c>
      <c r="K162" s="42">
        <f t="shared" ca="1" si="95"/>
        <v>0</v>
      </c>
      <c r="L162" s="42">
        <f t="shared" ca="1" si="95"/>
        <v>0</v>
      </c>
      <c r="M162" s="42">
        <f t="shared" ca="1" si="95"/>
        <v>0</v>
      </c>
      <c r="N162" s="42">
        <f t="shared" ca="1" si="95"/>
        <v>0</v>
      </c>
      <c r="O162" s="42">
        <f t="shared" ca="1" si="95"/>
        <v>0</v>
      </c>
      <c r="P162" s="42">
        <f t="shared" ca="1" si="95"/>
        <v>0</v>
      </c>
      <c r="Q162" s="42">
        <f t="shared" ca="1" si="95"/>
        <v>0</v>
      </c>
      <c r="R162" s="42">
        <f t="shared" ca="1" si="95"/>
        <v>0</v>
      </c>
      <c r="S162" s="42">
        <f t="shared" ca="1" si="95"/>
        <v>0</v>
      </c>
      <c r="T162" s="42">
        <f t="shared" ca="1" si="95"/>
        <v>0</v>
      </c>
      <c r="U162" s="42">
        <f t="shared" ca="1" si="95"/>
        <v>0</v>
      </c>
      <c r="V162" s="42">
        <f t="shared" ca="1" si="95"/>
        <v>0</v>
      </c>
      <c r="W162" s="42">
        <f t="shared" ca="1" si="95"/>
        <v>0</v>
      </c>
      <c r="X162" s="42">
        <f t="shared" ca="1" si="95"/>
        <v>0</v>
      </c>
      <c r="Y162" s="42">
        <f t="shared" ca="1" si="95"/>
        <v>0</v>
      </c>
      <c r="Z162" s="42">
        <f t="shared" ca="1" si="95"/>
        <v>0</v>
      </c>
      <c r="AA162" s="42">
        <f t="shared" ca="1" si="95"/>
        <v>0</v>
      </c>
      <c r="AB162" s="42">
        <f t="shared" ca="1" si="95"/>
        <v>0</v>
      </c>
      <c r="AC162" s="42">
        <f t="shared" ca="1" si="95"/>
        <v>0</v>
      </c>
      <c r="AD162" s="42">
        <f t="shared" ca="1" si="95"/>
        <v>0</v>
      </c>
      <c r="AE162" s="42">
        <f t="shared" ca="1" si="95"/>
        <v>0</v>
      </c>
      <c r="AF162" s="42">
        <f t="shared" ca="1" si="95"/>
        <v>0</v>
      </c>
      <c r="AG162" s="42">
        <f t="shared" ca="1" si="95"/>
        <v>0</v>
      </c>
      <c r="AH162" s="42">
        <f t="shared" ca="1" si="95"/>
        <v>0</v>
      </c>
      <c r="AI162" s="42">
        <f t="shared" ca="1" si="95"/>
        <v>0</v>
      </c>
      <c r="AJ162" s="42">
        <f t="shared" ca="1" si="95"/>
        <v>0</v>
      </c>
      <c r="AK162" s="42">
        <f t="shared" ca="1" si="95"/>
        <v>0</v>
      </c>
      <c r="AL162" s="42">
        <f t="shared" ca="1" si="95"/>
        <v>0</v>
      </c>
      <c r="AM162" s="42">
        <f t="shared" ca="1" si="95"/>
        <v>0</v>
      </c>
      <c r="AN162" s="42">
        <f t="shared" ca="1" si="95"/>
        <v>0</v>
      </c>
      <c r="AO162" s="42">
        <f t="shared" ca="1" si="95"/>
        <v>0</v>
      </c>
      <c r="AP162" s="42">
        <f t="shared" ca="1" si="95"/>
        <v>0</v>
      </c>
      <c r="AQ162" s="42">
        <f t="shared" ca="1" si="95"/>
        <v>0</v>
      </c>
      <c r="AR162" s="42">
        <f t="shared" ca="1" si="95"/>
        <v>0</v>
      </c>
      <c r="AS162" s="42">
        <f t="shared" ca="1" si="95"/>
        <v>0</v>
      </c>
    </row>
    <row r="163" spans="1:45" outlineLevel="1" collapsed="1" x14ac:dyDescent="0.15">
      <c r="B163" s="107" t="s">
        <v>335</v>
      </c>
      <c r="I163" s="22">
        <f ca="1">IF(ISERROR(SUM(0,J163:AS163)),1,MIN(SUM(J163:AS163),1))</f>
        <v>0</v>
      </c>
      <c r="J163" s="17">
        <f t="shared" ref="J163:AS163" ca="1" si="96">MIN(SUM(J161:J162),1)</f>
        <v>0</v>
      </c>
      <c r="K163" s="17">
        <f t="shared" ca="1" si="96"/>
        <v>0</v>
      </c>
      <c r="L163" s="17">
        <f t="shared" ca="1" si="96"/>
        <v>0</v>
      </c>
      <c r="M163" s="17">
        <f t="shared" ca="1" si="96"/>
        <v>0</v>
      </c>
      <c r="N163" s="17">
        <f t="shared" ca="1" si="96"/>
        <v>0</v>
      </c>
      <c r="O163" s="17">
        <f t="shared" ca="1" si="96"/>
        <v>0</v>
      </c>
      <c r="P163" s="17">
        <f t="shared" ca="1" si="96"/>
        <v>0</v>
      </c>
      <c r="Q163" s="17">
        <f t="shared" ca="1" si="96"/>
        <v>0</v>
      </c>
      <c r="R163" s="17">
        <f t="shared" ca="1" si="96"/>
        <v>0</v>
      </c>
      <c r="S163" s="17">
        <f t="shared" ca="1" si="96"/>
        <v>0</v>
      </c>
      <c r="T163" s="17">
        <f t="shared" ca="1" si="96"/>
        <v>0</v>
      </c>
      <c r="U163" s="17">
        <f t="shared" ca="1" si="96"/>
        <v>0</v>
      </c>
      <c r="V163" s="17">
        <f t="shared" ca="1" si="96"/>
        <v>0</v>
      </c>
      <c r="W163" s="17">
        <f t="shared" ca="1" si="96"/>
        <v>0</v>
      </c>
      <c r="X163" s="17">
        <f t="shared" ca="1" si="96"/>
        <v>0</v>
      </c>
      <c r="Y163" s="17">
        <f t="shared" ca="1" si="96"/>
        <v>0</v>
      </c>
      <c r="Z163" s="17">
        <f t="shared" ca="1" si="96"/>
        <v>0</v>
      </c>
      <c r="AA163" s="17">
        <f t="shared" ca="1" si="96"/>
        <v>0</v>
      </c>
      <c r="AB163" s="17">
        <f t="shared" ca="1" si="96"/>
        <v>0</v>
      </c>
      <c r="AC163" s="17">
        <f t="shared" ca="1" si="96"/>
        <v>0</v>
      </c>
      <c r="AD163" s="17">
        <f t="shared" ca="1" si="96"/>
        <v>0</v>
      </c>
      <c r="AE163" s="17">
        <f t="shared" ca="1" si="96"/>
        <v>0</v>
      </c>
      <c r="AF163" s="17">
        <f t="shared" ca="1" si="96"/>
        <v>0</v>
      </c>
      <c r="AG163" s="17">
        <f t="shared" ca="1" si="96"/>
        <v>0</v>
      </c>
      <c r="AH163" s="17">
        <f t="shared" ca="1" si="96"/>
        <v>0</v>
      </c>
      <c r="AI163" s="17">
        <f t="shared" ca="1" si="96"/>
        <v>0</v>
      </c>
      <c r="AJ163" s="17">
        <f t="shared" ca="1" si="96"/>
        <v>0</v>
      </c>
      <c r="AK163" s="17">
        <f t="shared" ca="1" si="96"/>
        <v>0</v>
      </c>
      <c r="AL163" s="17">
        <f t="shared" ca="1" si="96"/>
        <v>0</v>
      </c>
      <c r="AM163" s="17">
        <f t="shared" ca="1" si="96"/>
        <v>0</v>
      </c>
      <c r="AN163" s="17">
        <f t="shared" ca="1" si="96"/>
        <v>0</v>
      </c>
      <c r="AO163" s="17">
        <f t="shared" ca="1" si="96"/>
        <v>0</v>
      </c>
      <c r="AP163" s="17">
        <f t="shared" ca="1" si="96"/>
        <v>0</v>
      </c>
      <c r="AQ163" s="17">
        <f t="shared" ca="1" si="96"/>
        <v>0</v>
      </c>
      <c r="AR163" s="17">
        <f t="shared" ca="1" si="96"/>
        <v>0</v>
      </c>
      <c r="AS163" s="17">
        <f t="shared" ca="1" si="96"/>
        <v>0</v>
      </c>
    </row>
    <row r="164" spans="1:45" outlineLevel="1" x14ac:dyDescent="0.15">
      <c r="B164" s="107" t="s">
        <v>358</v>
      </c>
      <c r="I164" s="22">
        <f ca="1">IF(ISERROR(SUM(J164:AS164)),1,MIN(SUM(J164:AS164),1))</f>
        <v>0</v>
      </c>
      <c r="J164" s="17">
        <f t="shared" ref="J164:AS164" ca="1" si="97">IF(J163=1,0,IF(MIN(J151:J158)&lt;0,1,0))</f>
        <v>0</v>
      </c>
      <c r="K164" s="17">
        <f t="shared" ca="1" si="97"/>
        <v>0</v>
      </c>
      <c r="L164" s="17">
        <f t="shared" ca="1" si="97"/>
        <v>0</v>
      </c>
      <c r="M164" s="17">
        <f t="shared" ca="1" si="97"/>
        <v>0</v>
      </c>
      <c r="N164" s="17">
        <f t="shared" ca="1" si="97"/>
        <v>0</v>
      </c>
      <c r="O164" s="17">
        <f t="shared" ca="1" si="97"/>
        <v>0</v>
      </c>
      <c r="P164" s="17">
        <f t="shared" ca="1" si="97"/>
        <v>0</v>
      </c>
      <c r="Q164" s="17">
        <f t="shared" ca="1" si="97"/>
        <v>0</v>
      </c>
      <c r="R164" s="17">
        <f t="shared" ca="1" si="97"/>
        <v>0</v>
      </c>
      <c r="S164" s="17">
        <f t="shared" ca="1" si="97"/>
        <v>0</v>
      </c>
      <c r="T164" s="17">
        <f t="shared" ca="1" si="97"/>
        <v>0</v>
      </c>
      <c r="U164" s="17">
        <f t="shared" ca="1" si="97"/>
        <v>0</v>
      </c>
      <c r="V164" s="17">
        <f t="shared" ca="1" si="97"/>
        <v>0</v>
      </c>
      <c r="W164" s="17">
        <f t="shared" ca="1" si="97"/>
        <v>0</v>
      </c>
      <c r="X164" s="17">
        <f t="shared" ca="1" si="97"/>
        <v>0</v>
      </c>
      <c r="Y164" s="17">
        <f t="shared" ca="1" si="97"/>
        <v>0</v>
      </c>
      <c r="Z164" s="17">
        <f t="shared" ca="1" si="97"/>
        <v>0</v>
      </c>
      <c r="AA164" s="17">
        <f t="shared" ca="1" si="97"/>
        <v>0</v>
      </c>
      <c r="AB164" s="17">
        <f t="shared" ca="1" si="97"/>
        <v>0</v>
      </c>
      <c r="AC164" s="17">
        <f t="shared" ca="1" si="97"/>
        <v>0</v>
      </c>
      <c r="AD164" s="17">
        <f t="shared" ca="1" si="97"/>
        <v>0</v>
      </c>
      <c r="AE164" s="17">
        <f t="shared" ca="1" si="97"/>
        <v>0</v>
      </c>
      <c r="AF164" s="17">
        <f t="shared" ca="1" si="97"/>
        <v>0</v>
      </c>
      <c r="AG164" s="17">
        <f t="shared" ca="1" si="97"/>
        <v>0</v>
      </c>
      <c r="AH164" s="17">
        <f t="shared" ca="1" si="97"/>
        <v>0</v>
      </c>
      <c r="AI164" s="17">
        <f t="shared" ca="1" si="97"/>
        <v>0</v>
      </c>
      <c r="AJ164" s="17">
        <f t="shared" ca="1" si="97"/>
        <v>0</v>
      </c>
      <c r="AK164" s="17">
        <f t="shared" ca="1" si="97"/>
        <v>0</v>
      </c>
      <c r="AL164" s="17">
        <f t="shared" ca="1" si="97"/>
        <v>0</v>
      </c>
      <c r="AM164" s="17">
        <f t="shared" ca="1" si="97"/>
        <v>0</v>
      </c>
      <c r="AN164" s="17">
        <f t="shared" ca="1" si="97"/>
        <v>0</v>
      </c>
      <c r="AO164" s="17">
        <f t="shared" ca="1" si="97"/>
        <v>0</v>
      </c>
      <c r="AP164" s="17">
        <f t="shared" ca="1" si="97"/>
        <v>0</v>
      </c>
      <c r="AQ164" s="17">
        <f t="shared" ca="1" si="97"/>
        <v>0</v>
      </c>
      <c r="AR164" s="17">
        <f t="shared" ca="1" si="97"/>
        <v>0</v>
      </c>
      <c r="AS164" s="17">
        <f t="shared" ca="1" si="97"/>
        <v>0</v>
      </c>
    </row>
    <row r="166" spans="1:45" x14ac:dyDescent="0.15">
      <c r="A166" s="74" t="s">
        <v>271</v>
      </c>
      <c r="B166" s="1" t="s">
        <v>269</v>
      </c>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outlineLevel="1" x14ac:dyDescent="0.15"/>
    <row r="168" spans="1:45" outlineLevel="1" x14ac:dyDescent="0.15">
      <c r="B168" s="16" t="s">
        <v>269</v>
      </c>
      <c r="H168" s="155" t="s">
        <v>322</v>
      </c>
    </row>
    <row r="169" spans="1:45" outlineLevel="1" x14ac:dyDescent="0.15">
      <c r="B169" s="338" t="s">
        <v>359</v>
      </c>
      <c r="C169" s="338"/>
      <c r="D169" s="338"/>
      <c r="E169" s="338"/>
      <c r="F169" s="338"/>
      <c r="H169" s="80" t="s">
        <v>333</v>
      </c>
      <c r="J169" s="165">
        <v>0</v>
      </c>
      <c r="K169" s="165">
        <v>0</v>
      </c>
      <c r="L169" s="165">
        <v>0</v>
      </c>
      <c r="M169" s="165">
        <v>0</v>
      </c>
      <c r="N169" s="165">
        <v>0</v>
      </c>
      <c r="O169" s="165">
        <v>0</v>
      </c>
      <c r="P169" s="165">
        <v>0</v>
      </c>
      <c r="Q169" s="165">
        <v>0</v>
      </c>
      <c r="R169" s="165">
        <v>0</v>
      </c>
      <c r="S169" s="165">
        <v>0</v>
      </c>
      <c r="T169" s="165">
        <v>0</v>
      </c>
      <c r="U169" s="165">
        <v>0</v>
      </c>
      <c r="V169" s="165">
        <v>0</v>
      </c>
      <c r="W169" s="165">
        <v>0</v>
      </c>
      <c r="X169" s="165">
        <v>0</v>
      </c>
      <c r="Y169" s="165">
        <v>0</v>
      </c>
      <c r="Z169" s="165">
        <v>0</v>
      </c>
      <c r="AA169" s="165">
        <v>0</v>
      </c>
      <c r="AB169" s="165">
        <v>0</v>
      </c>
      <c r="AC169" s="165">
        <v>0</v>
      </c>
      <c r="AD169" s="165">
        <v>0</v>
      </c>
      <c r="AE169" s="165">
        <v>0</v>
      </c>
      <c r="AF169" s="165">
        <v>0</v>
      </c>
      <c r="AG169" s="165">
        <v>0</v>
      </c>
      <c r="AH169" s="165">
        <v>0</v>
      </c>
      <c r="AI169" s="165">
        <v>0</v>
      </c>
      <c r="AJ169" s="165">
        <v>0</v>
      </c>
      <c r="AK169" s="165">
        <v>0</v>
      </c>
      <c r="AL169" s="165">
        <v>0</v>
      </c>
      <c r="AM169" s="165">
        <v>0</v>
      </c>
      <c r="AN169" s="165">
        <v>0</v>
      </c>
      <c r="AO169" s="165">
        <v>0</v>
      </c>
      <c r="AP169" s="165">
        <v>0</v>
      </c>
      <c r="AQ169" s="165">
        <v>0</v>
      </c>
      <c r="AR169" s="165">
        <v>0</v>
      </c>
      <c r="AS169" s="165">
        <v>0</v>
      </c>
    </row>
    <row r="170" spans="1:45" ht="3" customHeight="1" outlineLevel="1" x14ac:dyDescent="0.15"/>
    <row r="171" spans="1:45" outlineLevel="1" x14ac:dyDescent="0.15">
      <c r="B171" s="338" t="s">
        <v>360</v>
      </c>
      <c r="C171" s="338"/>
      <c r="D171" s="338"/>
      <c r="E171" s="338"/>
      <c r="F171" s="338"/>
      <c r="H171" s="80" t="s">
        <v>333</v>
      </c>
      <c r="J171" s="165">
        <v>0</v>
      </c>
      <c r="K171" s="165">
        <v>0</v>
      </c>
      <c r="L171" s="165">
        <v>0</v>
      </c>
      <c r="M171" s="165">
        <v>0</v>
      </c>
      <c r="N171" s="165">
        <v>0</v>
      </c>
      <c r="O171" s="165">
        <v>0</v>
      </c>
      <c r="P171" s="165">
        <v>0</v>
      </c>
      <c r="Q171" s="165">
        <v>0</v>
      </c>
      <c r="R171" s="165">
        <v>0</v>
      </c>
      <c r="S171" s="165">
        <v>0</v>
      </c>
      <c r="T171" s="165">
        <v>0</v>
      </c>
      <c r="U171" s="165">
        <v>0</v>
      </c>
      <c r="V171" s="165">
        <v>0</v>
      </c>
      <c r="W171" s="165">
        <v>0</v>
      </c>
      <c r="X171" s="165">
        <v>0</v>
      </c>
      <c r="Y171" s="165">
        <v>0</v>
      </c>
      <c r="Z171" s="165">
        <v>0</v>
      </c>
      <c r="AA171" s="165">
        <v>0</v>
      </c>
      <c r="AB171" s="165">
        <v>0</v>
      </c>
      <c r="AC171" s="165">
        <v>0</v>
      </c>
      <c r="AD171" s="165">
        <v>0</v>
      </c>
      <c r="AE171" s="165">
        <v>0</v>
      </c>
      <c r="AF171" s="165">
        <v>0</v>
      </c>
      <c r="AG171" s="165">
        <v>0</v>
      </c>
      <c r="AH171" s="165">
        <v>0</v>
      </c>
      <c r="AI171" s="165">
        <v>0</v>
      </c>
      <c r="AJ171" s="165">
        <v>0</v>
      </c>
      <c r="AK171" s="165">
        <v>0</v>
      </c>
      <c r="AL171" s="165">
        <v>0</v>
      </c>
      <c r="AM171" s="165">
        <v>0</v>
      </c>
      <c r="AN171" s="165">
        <v>0</v>
      </c>
      <c r="AO171" s="165">
        <v>0</v>
      </c>
      <c r="AP171" s="165">
        <v>0</v>
      </c>
      <c r="AQ171" s="165">
        <v>0</v>
      </c>
      <c r="AR171" s="165">
        <v>0</v>
      </c>
      <c r="AS171" s="165">
        <v>0</v>
      </c>
    </row>
    <row r="172" spans="1:45" ht="3" customHeight="1" outlineLevel="1" x14ac:dyDescent="0.15"/>
    <row r="173" spans="1:45" ht="3" customHeight="1" outlineLevel="1" x14ac:dyDescent="0.15"/>
    <row r="174" spans="1:45" outlineLevel="1" x14ac:dyDescent="0.15">
      <c r="B174" s="16" t="str">
        <f>B168</f>
        <v>Other Revenue</v>
      </c>
      <c r="H174" s="155" t="s">
        <v>247</v>
      </c>
    </row>
    <row r="175" spans="1:45" outlineLevel="1" x14ac:dyDescent="0.15">
      <c r="B175" s="107" t="str">
        <f>B169</f>
        <v>Grant Income A</v>
      </c>
      <c r="H175" s="223">
        <f>Scenarios!I98</f>
        <v>0</v>
      </c>
      <c r="J175" s="14">
        <f t="shared" ref="J175:AS175" si="98">J169+$H175</f>
        <v>0</v>
      </c>
      <c r="K175" s="14">
        <f t="shared" si="98"/>
        <v>0</v>
      </c>
      <c r="L175" s="14">
        <f t="shared" si="98"/>
        <v>0</v>
      </c>
      <c r="M175" s="14">
        <f t="shared" si="98"/>
        <v>0</v>
      </c>
      <c r="N175" s="14">
        <f t="shared" si="98"/>
        <v>0</v>
      </c>
      <c r="O175" s="14">
        <f t="shared" si="98"/>
        <v>0</v>
      </c>
      <c r="P175" s="14">
        <f t="shared" si="98"/>
        <v>0</v>
      </c>
      <c r="Q175" s="14">
        <f t="shared" si="98"/>
        <v>0</v>
      </c>
      <c r="R175" s="14">
        <f t="shared" si="98"/>
        <v>0</v>
      </c>
      <c r="S175" s="14">
        <f t="shared" si="98"/>
        <v>0</v>
      </c>
      <c r="T175" s="14">
        <f t="shared" si="98"/>
        <v>0</v>
      </c>
      <c r="U175" s="14">
        <f t="shared" si="98"/>
        <v>0</v>
      </c>
      <c r="V175" s="14">
        <f t="shared" si="98"/>
        <v>0</v>
      </c>
      <c r="W175" s="14">
        <f t="shared" si="98"/>
        <v>0</v>
      </c>
      <c r="X175" s="14">
        <f t="shared" si="98"/>
        <v>0</v>
      </c>
      <c r="Y175" s="14">
        <f t="shared" si="98"/>
        <v>0</v>
      </c>
      <c r="Z175" s="14">
        <f t="shared" si="98"/>
        <v>0</v>
      </c>
      <c r="AA175" s="14">
        <f t="shared" si="98"/>
        <v>0</v>
      </c>
      <c r="AB175" s="14">
        <f t="shared" si="98"/>
        <v>0</v>
      </c>
      <c r="AC175" s="14">
        <f t="shared" si="98"/>
        <v>0</v>
      </c>
      <c r="AD175" s="14">
        <f t="shared" si="98"/>
        <v>0</v>
      </c>
      <c r="AE175" s="14">
        <f t="shared" si="98"/>
        <v>0</v>
      </c>
      <c r="AF175" s="14">
        <f t="shared" si="98"/>
        <v>0</v>
      </c>
      <c r="AG175" s="14">
        <f t="shared" si="98"/>
        <v>0</v>
      </c>
      <c r="AH175" s="14">
        <f t="shared" si="98"/>
        <v>0</v>
      </c>
      <c r="AI175" s="14">
        <f t="shared" si="98"/>
        <v>0</v>
      </c>
      <c r="AJ175" s="14">
        <f t="shared" si="98"/>
        <v>0</v>
      </c>
      <c r="AK175" s="14">
        <f t="shared" si="98"/>
        <v>0</v>
      </c>
      <c r="AL175" s="14">
        <f t="shared" si="98"/>
        <v>0</v>
      </c>
      <c r="AM175" s="14">
        <f t="shared" si="98"/>
        <v>0</v>
      </c>
      <c r="AN175" s="14">
        <f t="shared" si="98"/>
        <v>0</v>
      </c>
      <c r="AO175" s="14">
        <f t="shared" si="98"/>
        <v>0</v>
      </c>
      <c r="AP175" s="14">
        <f t="shared" si="98"/>
        <v>0</v>
      </c>
      <c r="AQ175" s="14">
        <f t="shared" si="98"/>
        <v>0</v>
      </c>
      <c r="AR175" s="14">
        <f t="shared" si="98"/>
        <v>0</v>
      </c>
      <c r="AS175" s="14">
        <f t="shared" si="98"/>
        <v>0</v>
      </c>
    </row>
    <row r="176" spans="1:45" outlineLevel="1" x14ac:dyDescent="0.15">
      <c r="B176" s="107" t="str">
        <f>B171</f>
        <v>Grant Income B</v>
      </c>
      <c r="H176" s="226">
        <f>Scenarios!I101</f>
        <v>0</v>
      </c>
      <c r="J176" s="14">
        <f t="shared" ref="J176:AS176" si="99">J171+$H176</f>
        <v>0</v>
      </c>
      <c r="K176" s="14">
        <f t="shared" si="99"/>
        <v>0</v>
      </c>
      <c r="L176" s="14">
        <f t="shared" si="99"/>
        <v>0</v>
      </c>
      <c r="M176" s="14">
        <f t="shared" si="99"/>
        <v>0</v>
      </c>
      <c r="N176" s="14">
        <f t="shared" si="99"/>
        <v>0</v>
      </c>
      <c r="O176" s="14">
        <f t="shared" si="99"/>
        <v>0</v>
      </c>
      <c r="P176" s="14">
        <f t="shared" si="99"/>
        <v>0</v>
      </c>
      <c r="Q176" s="14">
        <f t="shared" si="99"/>
        <v>0</v>
      </c>
      <c r="R176" s="14">
        <f t="shared" si="99"/>
        <v>0</v>
      </c>
      <c r="S176" s="14">
        <f t="shared" si="99"/>
        <v>0</v>
      </c>
      <c r="T176" s="14">
        <f t="shared" si="99"/>
        <v>0</v>
      </c>
      <c r="U176" s="14">
        <f t="shared" si="99"/>
        <v>0</v>
      </c>
      <c r="V176" s="14">
        <f t="shared" si="99"/>
        <v>0</v>
      </c>
      <c r="W176" s="14">
        <f t="shared" si="99"/>
        <v>0</v>
      </c>
      <c r="X176" s="14">
        <f t="shared" si="99"/>
        <v>0</v>
      </c>
      <c r="Y176" s="14">
        <f t="shared" si="99"/>
        <v>0</v>
      </c>
      <c r="Z176" s="14">
        <f t="shared" si="99"/>
        <v>0</v>
      </c>
      <c r="AA176" s="14">
        <f t="shared" si="99"/>
        <v>0</v>
      </c>
      <c r="AB176" s="14">
        <f t="shared" si="99"/>
        <v>0</v>
      </c>
      <c r="AC176" s="14">
        <f t="shared" si="99"/>
        <v>0</v>
      </c>
      <c r="AD176" s="14">
        <f t="shared" si="99"/>
        <v>0</v>
      </c>
      <c r="AE176" s="14">
        <f t="shared" si="99"/>
        <v>0</v>
      </c>
      <c r="AF176" s="14">
        <f t="shared" si="99"/>
        <v>0</v>
      </c>
      <c r="AG176" s="14">
        <f t="shared" si="99"/>
        <v>0</v>
      </c>
      <c r="AH176" s="14">
        <f t="shared" si="99"/>
        <v>0</v>
      </c>
      <c r="AI176" s="14">
        <f t="shared" si="99"/>
        <v>0</v>
      </c>
      <c r="AJ176" s="14">
        <f t="shared" si="99"/>
        <v>0</v>
      </c>
      <c r="AK176" s="14">
        <f t="shared" si="99"/>
        <v>0</v>
      </c>
      <c r="AL176" s="14">
        <f t="shared" si="99"/>
        <v>0</v>
      </c>
      <c r="AM176" s="14">
        <f t="shared" si="99"/>
        <v>0</v>
      </c>
      <c r="AN176" s="14">
        <f t="shared" si="99"/>
        <v>0</v>
      </c>
      <c r="AO176" s="14">
        <f t="shared" si="99"/>
        <v>0</v>
      </c>
      <c r="AP176" s="14">
        <f t="shared" si="99"/>
        <v>0</v>
      </c>
      <c r="AQ176" s="14">
        <f t="shared" si="99"/>
        <v>0</v>
      </c>
      <c r="AR176" s="14">
        <f t="shared" si="99"/>
        <v>0</v>
      </c>
      <c r="AS176" s="14">
        <f t="shared" si="99"/>
        <v>0</v>
      </c>
    </row>
    <row r="177" spans="2:45" outlineLevel="1" x14ac:dyDescent="0.15">
      <c r="B177" s="16" t="str">
        <f>"Total "&amp;B168</f>
        <v>Total Other Revenue</v>
      </c>
      <c r="J177" s="18">
        <f t="shared" ref="J177:AS177" ca="1" si="100">IF(ROWS(J$174:J$177)=2,0,SUM(OFFSET(J$174,1,0,ROWS(J$174:J$177)-2)))</f>
        <v>0</v>
      </c>
      <c r="K177" s="18">
        <f t="shared" ca="1" si="100"/>
        <v>0</v>
      </c>
      <c r="L177" s="18">
        <f t="shared" ca="1" si="100"/>
        <v>0</v>
      </c>
      <c r="M177" s="18">
        <f t="shared" ca="1" si="100"/>
        <v>0</v>
      </c>
      <c r="N177" s="18">
        <f t="shared" ca="1" si="100"/>
        <v>0</v>
      </c>
      <c r="O177" s="18">
        <f t="shared" ca="1" si="100"/>
        <v>0</v>
      </c>
      <c r="P177" s="18">
        <f t="shared" ca="1" si="100"/>
        <v>0</v>
      </c>
      <c r="Q177" s="18">
        <f t="shared" ca="1" si="100"/>
        <v>0</v>
      </c>
      <c r="R177" s="18">
        <f t="shared" ca="1" si="100"/>
        <v>0</v>
      </c>
      <c r="S177" s="18">
        <f t="shared" ca="1" si="100"/>
        <v>0</v>
      </c>
      <c r="T177" s="18">
        <f t="shared" ca="1" si="100"/>
        <v>0</v>
      </c>
      <c r="U177" s="18">
        <f t="shared" ca="1" si="100"/>
        <v>0</v>
      </c>
      <c r="V177" s="18">
        <f t="shared" ca="1" si="100"/>
        <v>0</v>
      </c>
      <c r="W177" s="18">
        <f t="shared" ca="1" si="100"/>
        <v>0</v>
      </c>
      <c r="X177" s="18">
        <f t="shared" ca="1" si="100"/>
        <v>0</v>
      </c>
      <c r="Y177" s="18">
        <f t="shared" ca="1" si="100"/>
        <v>0</v>
      </c>
      <c r="Z177" s="18">
        <f t="shared" ca="1" si="100"/>
        <v>0</v>
      </c>
      <c r="AA177" s="18">
        <f t="shared" ca="1" si="100"/>
        <v>0</v>
      </c>
      <c r="AB177" s="18">
        <f t="shared" ca="1" si="100"/>
        <v>0</v>
      </c>
      <c r="AC177" s="18">
        <f t="shared" ca="1" si="100"/>
        <v>0</v>
      </c>
      <c r="AD177" s="18">
        <f t="shared" ca="1" si="100"/>
        <v>0</v>
      </c>
      <c r="AE177" s="18">
        <f t="shared" ca="1" si="100"/>
        <v>0</v>
      </c>
      <c r="AF177" s="18">
        <f t="shared" ca="1" si="100"/>
        <v>0</v>
      </c>
      <c r="AG177" s="18">
        <f t="shared" ca="1" si="100"/>
        <v>0</v>
      </c>
      <c r="AH177" s="18">
        <f t="shared" ca="1" si="100"/>
        <v>0</v>
      </c>
      <c r="AI177" s="18">
        <f t="shared" ca="1" si="100"/>
        <v>0</v>
      </c>
      <c r="AJ177" s="18">
        <f t="shared" ca="1" si="100"/>
        <v>0</v>
      </c>
      <c r="AK177" s="18">
        <f t="shared" ca="1" si="100"/>
        <v>0</v>
      </c>
      <c r="AL177" s="18">
        <f t="shared" ca="1" si="100"/>
        <v>0</v>
      </c>
      <c r="AM177" s="18">
        <f t="shared" ca="1" si="100"/>
        <v>0</v>
      </c>
      <c r="AN177" s="18">
        <f t="shared" ca="1" si="100"/>
        <v>0</v>
      </c>
      <c r="AO177" s="18">
        <f t="shared" ca="1" si="100"/>
        <v>0</v>
      </c>
      <c r="AP177" s="18">
        <f t="shared" ca="1" si="100"/>
        <v>0</v>
      </c>
      <c r="AQ177" s="18">
        <f t="shared" ca="1" si="100"/>
        <v>0</v>
      </c>
      <c r="AR177" s="18">
        <f t="shared" ca="1" si="100"/>
        <v>0</v>
      </c>
      <c r="AS177" s="18">
        <f t="shared" ca="1" si="100"/>
        <v>0</v>
      </c>
    </row>
    <row r="178" spans="2:45" ht="6" customHeight="1" outlineLevel="1" x14ac:dyDescent="0.15"/>
    <row r="179" spans="2:45" hidden="1" outlineLevel="2" x14ac:dyDescent="0.15">
      <c r="B179" s="16" t="str">
        <f>B168</f>
        <v>Other Revenue</v>
      </c>
    </row>
    <row r="180" spans="2:45" hidden="1" outlineLevel="2" x14ac:dyDescent="0.15">
      <c r="B180" s="107" t="str">
        <f>B175</f>
        <v>Grant Income A</v>
      </c>
      <c r="J180" s="14">
        <f t="shared" ref="J180:AS180" si="101">J175</f>
        <v>0</v>
      </c>
      <c r="K180" s="14">
        <f t="shared" si="101"/>
        <v>0</v>
      </c>
      <c r="L180" s="14">
        <f t="shared" si="101"/>
        <v>0</v>
      </c>
      <c r="M180" s="14">
        <f t="shared" si="101"/>
        <v>0</v>
      </c>
      <c r="N180" s="14">
        <f t="shared" si="101"/>
        <v>0</v>
      </c>
      <c r="O180" s="14">
        <f t="shared" si="101"/>
        <v>0</v>
      </c>
      <c r="P180" s="14">
        <f t="shared" si="101"/>
        <v>0</v>
      </c>
      <c r="Q180" s="14">
        <f t="shared" si="101"/>
        <v>0</v>
      </c>
      <c r="R180" s="14">
        <f t="shared" si="101"/>
        <v>0</v>
      </c>
      <c r="S180" s="14">
        <f t="shared" si="101"/>
        <v>0</v>
      </c>
      <c r="T180" s="14">
        <f t="shared" si="101"/>
        <v>0</v>
      </c>
      <c r="U180" s="14">
        <f t="shared" si="101"/>
        <v>0</v>
      </c>
      <c r="V180" s="14">
        <f t="shared" si="101"/>
        <v>0</v>
      </c>
      <c r="W180" s="14">
        <f t="shared" si="101"/>
        <v>0</v>
      </c>
      <c r="X180" s="14">
        <f t="shared" si="101"/>
        <v>0</v>
      </c>
      <c r="Y180" s="14">
        <f t="shared" si="101"/>
        <v>0</v>
      </c>
      <c r="Z180" s="14">
        <f t="shared" si="101"/>
        <v>0</v>
      </c>
      <c r="AA180" s="14">
        <f t="shared" si="101"/>
        <v>0</v>
      </c>
      <c r="AB180" s="14">
        <f t="shared" si="101"/>
        <v>0</v>
      </c>
      <c r="AC180" s="14">
        <f t="shared" si="101"/>
        <v>0</v>
      </c>
      <c r="AD180" s="14">
        <f t="shared" si="101"/>
        <v>0</v>
      </c>
      <c r="AE180" s="14">
        <f t="shared" si="101"/>
        <v>0</v>
      </c>
      <c r="AF180" s="14">
        <f t="shared" si="101"/>
        <v>0</v>
      </c>
      <c r="AG180" s="14">
        <f t="shared" si="101"/>
        <v>0</v>
      </c>
      <c r="AH180" s="14">
        <f t="shared" si="101"/>
        <v>0</v>
      </c>
      <c r="AI180" s="14">
        <f t="shared" si="101"/>
        <v>0</v>
      </c>
      <c r="AJ180" s="14">
        <f t="shared" si="101"/>
        <v>0</v>
      </c>
      <c r="AK180" s="14">
        <f t="shared" si="101"/>
        <v>0</v>
      </c>
      <c r="AL180" s="14">
        <f t="shared" si="101"/>
        <v>0</v>
      </c>
      <c r="AM180" s="14">
        <f t="shared" si="101"/>
        <v>0</v>
      </c>
      <c r="AN180" s="14">
        <f t="shared" si="101"/>
        <v>0</v>
      </c>
      <c r="AO180" s="14">
        <f t="shared" si="101"/>
        <v>0</v>
      </c>
      <c r="AP180" s="14">
        <f t="shared" si="101"/>
        <v>0</v>
      </c>
      <c r="AQ180" s="14">
        <f t="shared" si="101"/>
        <v>0</v>
      </c>
      <c r="AR180" s="14">
        <f t="shared" si="101"/>
        <v>0</v>
      </c>
      <c r="AS180" s="14">
        <f t="shared" si="101"/>
        <v>0</v>
      </c>
    </row>
    <row r="181" spans="2:45" hidden="1" outlineLevel="2" collapsed="1" x14ac:dyDescent="0.15">
      <c r="B181" s="107" t="str">
        <f>B176</f>
        <v>Grant Income B</v>
      </c>
      <c r="J181" s="14">
        <f t="shared" ref="J181:AS181" si="102">J176</f>
        <v>0</v>
      </c>
      <c r="K181" s="14">
        <f t="shared" si="102"/>
        <v>0</v>
      </c>
      <c r="L181" s="14">
        <f t="shared" si="102"/>
        <v>0</v>
      </c>
      <c r="M181" s="14">
        <f t="shared" si="102"/>
        <v>0</v>
      </c>
      <c r="N181" s="14">
        <f t="shared" si="102"/>
        <v>0</v>
      </c>
      <c r="O181" s="14">
        <f t="shared" si="102"/>
        <v>0</v>
      </c>
      <c r="P181" s="14">
        <f t="shared" si="102"/>
        <v>0</v>
      </c>
      <c r="Q181" s="14">
        <f t="shared" si="102"/>
        <v>0</v>
      </c>
      <c r="R181" s="14">
        <f t="shared" si="102"/>
        <v>0</v>
      </c>
      <c r="S181" s="14">
        <f t="shared" si="102"/>
        <v>0</v>
      </c>
      <c r="T181" s="14">
        <f t="shared" si="102"/>
        <v>0</v>
      </c>
      <c r="U181" s="14">
        <f t="shared" si="102"/>
        <v>0</v>
      </c>
      <c r="V181" s="14">
        <f t="shared" si="102"/>
        <v>0</v>
      </c>
      <c r="W181" s="14">
        <f t="shared" si="102"/>
        <v>0</v>
      </c>
      <c r="X181" s="14">
        <f t="shared" si="102"/>
        <v>0</v>
      </c>
      <c r="Y181" s="14">
        <f t="shared" si="102"/>
        <v>0</v>
      </c>
      <c r="Z181" s="14">
        <f t="shared" si="102"/>
        <v>0</v>
      </c>
      <c r="AA181" s="14">
        <f t="shared" si="102"/>
        <v>0</v>
      </c>
      <c r="AB181" s="14">
        <f t="shared" si="102"/>
        <v>0</v>
      </c>
      <c r="AC181" s="14">
        <f t="shared" si="102"/>
        <v>0</v>
      </c>
      <c r="AD181" s="14">
        <f t="shared" si="102"/>
        <v>0</v>
      </c>
      <c r="AE181" s="14">
        <f t="shared" si="102"/>
        <v>0</v>
      </c>
      <c r="AF181" s="14">
        <f t="shared" si="102"/>
        <v>0</v>
      </c>
      <c r="AG181" s="14">
        <f t="shared" si="102"/>
        <v>0</v>
      </c>
      <c r="AH181" s="14">
        <f t="shared" si="102"/>
        <v>0</v>
      </c>
      <c r="AI181" s="14">
        <f t="shared" si="102"/>
        <v>0</v>
      </c>
      <c r="AJ181" s="14">
        <f t="shared" si="102"/>
        <v>0</v>
      </c>
      <c r="AK181" s="14">
        <f t="shared" si="102"/>
        <v>0</v>
      </c>
      <c r="AL181" s="14">
        <f t="shared" si="102"/>
        <v>0</v>
      </c>
      <c r="AM181" s="14">
        <f t="shared" si="102"/>
        <v>0</v>
      </c>
      <c r="AN181" s="14">
        <f t="shared" si="102"/>
        <v>0</v>
      </c>
      <c r="AO181" s="14">
        <f t="shared" si="102"/>
        <v>0</v>
      </c>
      <c r="AP181" s="14">
        <f t="shared" si="102"/>
        <v>0</v>
      </c>
      <c r="AQ181" s="14">
        <f t="shared" si="102"/>
        <v>0</v>
      </c>
      <c r="AR181" s="14">
        <f t="shared" si="102"/>
        <v>0</v>
      </c>
      <c r="AS181" s="14">
        <f t="shared" si="102"/>
        <v>0</v>
      </c>
    </row>
    <row r="182" spans="2:45" hidden="1" outlineLevel="2" x14ac:dyDescent="0.15">
      <c r="B182" s="16" t="str">
        <f>B177</f>
        <v>Total Other Revenue</v>
      </c>
      <c r="J182" s="18">
        <f t="shared" ref="J182:AS182" si="103">SUM(J180:J181)</f>
        <v>0</v>
      </c>
      <c r="K182" s="18">
        <f t="shared" si="103"/>
        <v>0</v>
      </c>
      <c r="L182" s="18">
        <f t="shared" si="103"/>
        <v>0</v>
      </c>
      <c r="M182" s="18">
        <f t="shared" si="103"/>
        <v>0</v>
      </c>
      <c r="N182" s="18">
        <f t="shared" si="103"/>
        <v>0</v>
      </c>
      <c r="O182" s="18">
        <f t="shared" si="103"/>
        <v>0</v>
      </c>
      <c r="P182" s="18">
        <f t="shared" si="103"/>
        <v>0</v>
      </c>
      <c r="Q182" s="18">
        <f t="shared" si="103"/>
        <v>0</v>
      </c>
      <c r="R182" s="18">
        <f t="shared" si="103"/>
        <v>0</v>
      </c>
      <c r="S182" s="18">
        <f t="shared" si="103"/>
        <v>0</v>
      </c>
      <c r="T182" s="18">
        <f t="shared" si="103"/>
        <v>0</v>
      </c>
      <c r="U182" s="18">
        <f t="shared" si="103"/>
        <v>0</v>
      </c>
      <c r="V182" s="18">
        <f t="shared" si="103"/>
        <v>0</v>
      </c>
      <c r="W182" s="18">
        <f t="shared" si="103"/>
        <v>0</v>
      </c>
      <c r="X182" s="18">
        <f t="shared" si="103"/>
        <v>0</v>
      </c>
      <c r="Y182" s="18">
        <f t="shared" si="103"/>
        <v>0</v>
      </c>
      <c r="Z182" s="18">
        <f t="shared" si="103"/>
        <v>0</v>
      </c>
      <c r="AA182" s="18">
        <f t="shared" si="103"/>
        <v>0</v>
      </c>
      <c r="AB182" s="18">
        <f t="shared" si="103"/>
        <v>0</v>
      </c>
      <c r="AC182" s="18">
        <f t="shared" si="103"/>
        <v>0</v>
      </c>
      <c r="AD182" s="18">
        <f t="shared" si="103"/>
        <v>0</v>
      </c>
      <c r="AE182" s="18">
        <f t="shared" si="103"/>
        <v>0</v>
      </c>
      <c r="AF182" s="18">
        <f t="shared" si="103"/>
        <v>0</v>
      </c>
      <c r="AG182" s="18">
        <f t="shared" si="103"/>
        <v>0</v>
      </c>
      <c r="AH182" s="18">
        <f t="shared" si="103"/>
        <v>0</v>
      </c>
      <c r="AI182" s="18">
        <f t="shared" si="103"/>
        <v>0</v>
      </c>
      <c r="AJ182" s="18">
        <f t="shared" si="103"/>
        <v>0</v>
      </c>
      <c r="AK182" s="18">
        <f t="shared" si="103"/>
        <v>0</v>
      </c>
      <c r="AL182" s="18">
        <f t="shared" si="103"/>
        <v>0</v>
      </c>
      <c r="AM182" s="18">
        <f t="shared" si="103"/>
        <v>0</v>
      </c>
      <c r="AN182" s="18">
        <f t="shared" si="103"/>
        <v>0</v>
      </c>
      <c r="AO182" s="18">
        <f t="shared" si="103"/>
        <v>0</v>
      </c>
      <c r="AP182" s="18">
        <f t="shared" si="103"/>
        <v>0</v>
      </c>
      <c r="AQ182" s="18">
        <f t="shared" si="103"/>
        <v>0</v>
      </c>
      <c r="AR182" s="18">
        <f t="shared" si="103"/>
        <v>0</v>
      </c>
      <c r="AS182" s="18">
        <f t="shared" si="103"/>
        <v>0</v>
      </c>
    </row>
    <row r="183" spans="2:45" ht="6" hidden="1" customHeight="1" outlineLevel="2" x14ac:dyDescent="0.15"/>
    <row r="184" spans="2:45" hidden="1" outlineLevel="2" x14ac:dyDescent="0.15">
      <c r="C184" s="107" t="s">
        <v>192</v>
      </c>
      <c r="J184" s="17">
        <f t="shared" ref="J184:AS184" ca="1" si="104">IF(ISERROR(J177-J182),1,0)</f>
        <v>0</v>
      </c>
      <c r="K184" s="17">
        <f t="shared" ca="1" si="104"/>
        <v>0</v>
      </c>
      <c r="L184" s="17">
        <f t="shared" ca="1" si="104"/>
        <v>0</v>
      </c>
      <c r="M184" s="17">
        <f t="shared" ca="1" si="104"/>
        <v>0</v>
      </c>
      <c r="N184" s="17">
        <f t="shared" ca="1" si="104"/>
        <v>0</v>
      </c>
      <c r="O184" s="17">
        <f t="shared" ca="1" si="104"/>
        <v>0</v>
      </c>
      <c r="P184" s="17">
        <f t="shared" ca="1" si="104"/>
        <v>0</v>
      </c>
      <c r="Q184" s="17">
        <f t="shared" ca="1" si="104"/>
        <v>0</v>
      </c>
      <c r="R184" s="17">
        <f t="shared" ca="1" si="104"/>
        <v>0</v>
      </c>
      <c r="S184" s="17">
        <f t="shared" ca="1" si="104"/>
        <v>0</v>
      </c>
      <c r="T184" s="17">
        <f t="shared" ca="1" si="104"/>
        <v>0</v>
      </c>
      <c r="U184" s="17">
        <f t="shared" ca="1" si="104"/>
        <v>0</v>
      </c>
      <c r="V184" s="17">
        <f t="shared" ca="1" si="104"/>
        <v>0</v>
      </c>
      <c r="W184" s="17">
        <f t="shared" ca="1" si="104"/>
        <v>0</v>
      </c>
      <c r="X184" s="17">
        <f t="shared" ca="1" si="104"/>
        <v>0</v>
      </c>
      <c r="Y184" s="17">
        <f t="shared" ca="1" si="104"/>
        <v>0</v>
      </c>
      <c r="Z184" s="17">
        <f t="shared" ca="1" si="104"/>
        <v>0</v>
      </c>
      <c r="AA184" s="17">
        <f t="shared" ca="1" si="104"/>
        <v>0</v>
      </c>
      <c r="AB184" s="17">
        <f t="shared" ca="1" si="104"/>
        <v>0</v>
      </c>
      <c r="AC184" s="17">
        <f t="shared" ca="1" si="104"/>
        <v>0</v>
      </c>
      <c r="AD184" s="17">
        <f t="shared" ca="1" si="104"/>
        <v>0</v>
      </c>
      <c r="AE184" s="17">
        <f t="shared" ca="1" si="104"/>
        <v>0</v>
      </c>
      <c r="AF184" s="17">
        <f t="shared" ca="1" si="104"/>
        <v>0</v>
      </c>
      <c r="AG184" s="17">
        <f t="shared" ca="1" si="104"/>
        <v>0</v>
      </c>
      <c r="AH184" s="17">
        <f t="shared" ca="1" si="104"/>
        <v>0</v>
      </c>
      <c r="AI184" s="17">
        <f t="shared" ca="1" si="104"/>
        <v>0</v>
      </c>
      <c r="AJ184" s="17">
        <f t="shared" ca="1" si="104"/>
        <v>0</v>
      </c>
      <c r="AK184" s="17">
        <f t="shared" ca="1" si="104"/>
        <v>0</v>
      </c>
      <c r="AL184" s="17">
        <f t="shared" ca="1" si="104"/>
        <v>0</v>
      </c>
      <c r="AM184" s="17">
        <f t="shared" ca="1" si="104"/>
        <v>0</v>
      </c>
      <c r="AN184" s="17">
        <f t="shared" ca="1" si="104"/>
        <v>0</v>
      </c>
      <c r="AO184" s="17">
        <f t="shared" ca="1" si="104"/>
        <v>0</v>
      </c>
      <c r="AP184" s="17">
        <f t="shared" ca="1" si="104"/>
        <v>0</v>
      </c>
      <c r="AQ184" s="17">
        <f t="shared" ca="1" si="104"/>
        <v>0</v>
      </c>
      <c r="AR184" s="17">
        <f t="shared" ca="1" si="104"/>
        <v>0</v>
      </c>
      <c r="AS184" s="17">
        <f t="shared" ca="1" si="104"/>
        <v>0</v>
      </c>
    </row>
    <row r="185" spans="2:45" hidden="1" outlineLevel="2" x14ac:dyDescent="0.15">
      <c r="C185" s="107" t="s">
        <v>334</v>
      </c>
      <c r="J185" s="42">
        <f t="shared" ref="J185:AS185" ca="1" si="105">IF(J184&lt;&gt;0,0,IF(ROUND(J177-J182,5)&lt;&gt;0,1,0))</f>
        <v>0</v>
      </c>
      <c r="K185" s="42">
        <f t="shared" ca="1" si="105"/>
        <v>0</v>
      </c>
      <c r="L185" s="42">
        <f t="shared" ca="1" si="105"/>
        <v>0</v>
      </c>
      <c r="M185" s="42">
        <f t="shared" ca="1" si="105"/>
        <v>0</v>
      </c>
      <c r="N185" s="42">
        <f t="shared" ca="1" si="105"/>
        <v>0</v>
      </c>
      <c r="O185" s="42">
        <f t="shared" ca="1" si="105"/>
        <v>0</v>
      </c>
      <c r="P185" s="42">
        <f t="shared" ca="1" si="105"/>
        <v>0</v>
      </c>
      <c r="Q185" s="42">
        <f t="shared" ca="1" si="105"/>
        <v>0</v>
      </c>
      <c r="R185" s="42">
        <f t="shared" ca="1" si="105"/>
        <v>0</v>
      </c>
      <c r="S185" s="42">
        <f t="shared" ca="1" si="105"/>
        <v>0</v>
      </c>
      <c r="T185" s="42">
        <f t="shared" ca="1" si="105"/>
        <v>0</v>
      </c>
      <c r="U185" s="42">
        <f t="shared" ca="1" si="105"/>
        <v>0</v>
      </c>
      <c r="V185" s="42">
        <f t="shared" ca="1" si="105"/>
        <v>0</v>
      </c>
      <c r="W185" s="42">
        <f t="shared" ca="1" si="105"/>
        <v>0</v>
      </c>
      <c r="X185" s="42">
        <f t="shared" ca="1" si="105"/>
        <v>0</v>
      </c>
      <c r="Y185" s="42">
        <f t="shared" ca="1" si="105"/>
        <v>0</v>
      </c>
      <c r="Z185" s="42">
        <f t="shared" ca="1" si="105"/>
        <v>0</v>
      </c>
      <c r="AA185" s="42">
        <f t="shared" ca="1" si="105"/>
        <v>0</v>
      </c>
      <c r="AB185" s="42">
        <f t="shared" ca="1" si="105"/>
        <v>0</v>
      </c>
      <c r="AC185" s="42">
        <f t="shared" ca="1" si="105"/>
        <v>0</v>
      </c>
      <c r="AD185" s="42">
        <f t="shared" ca="1" si="105"/>
        <v>0</v>
      </c>
      <c r="AE185" s="42">
        <f t="shared" ca="1" si="105"/>
        <v>0</v>
      </c>
      <c r="AF185" s="42">
        <f t="shared" ca="1" si="105"/>
        <v>0</v>
      </c>
      <c r="AG185" s="42">
        <f t="shared" ca="1" si="105"/>
        <v>0</v>
      </c>
      <c r="AH185" s="42">
        <f t="shared" ca="1" si="105"/>
        <v>0</v>
      </c>
      <c r="AI185" s="42">
        <f t="shared" ca="1" si="105"/>
        <v>0</v>
      </c>
      <c r="AJ185" s="42">
        <f t="shared" ca="1" si="105"/>
        <v>0</v>
      </c>
      <c r="AK185" s="42">
        <f t="shared" ca="1" si="105"/>
        <v>0</v>
      </c>
      <c r="AL185" s="42">
        <f t="shared" ca="1" si="105"/>
        <v>0</v>
      </c>
      <c r="AM185" s="42">
        <f t="shared" ca="1" si="105"/>
        <v>0</v>
      </c>
      <c r="AN185" s="42">
        <f t="shared" ca="1" si="105"/>
        <v>0</v>
      </c>
      <c r="AO185" s="42">
        <f t="shared" ca="1" si="105"/>
        <v>0</v>
      </c>
      <c r="AP185" s="42">
        <f t="shared" ca="1" si="105"/>
        <v>0</v>
      </c>
      <c r="AQ185" s="42">
        <f t="shared" ca="1" si="105"/>
        <v>0</v>
      </c>
      <c r="AR185" s="42">
        <f t="shared" ca="1" si="105"/>
        <v>0</v>
      </c>
      <c r="AS185" s="42">
        <f t="shared" ca="1" si="105"/>
        <v>0</v>
      </c>
    </row>
    <row r="186" spans="2:45" outlineLevel="1" collapsed="1" x14ac:dyDescent="0.15">
      <c r="B186" s="107" t="s">
        <v>335</v>
      </c>
      <c r="I186" s="22">
        <f ca="1">IF(ISERROR(SUM(0,J186:AS186)),1,MIN(SUM(J186:AS186),1))</f>
        <v>0</v>
      </c>
      <c r="J186" s="17">
        <f t="shared" ref="J186:AS186" ca="1" si="106">MIN(SUM(J184:J185),1)</f>
        <v>0</v>
      </c>
      <c r="K186" s="17">
        <f t="shared" ca="1" si="106"/>
        <v>0</v>
      </c>
      <c r="L186" s="17">
        <f t="shared" ca="1" si="106"/>
        <v>0</v>
      </c>
      <c r="M186" s="17">
        <f t="shared" ca="1" si="106"/>
        <v>0</v>
      </c>
      <c r="N186" s="17">
        <f t="shared" ca="1" si="106"/>
        <v>0</v>
      </c>
      <c r="O186" s="17">
        <f t="shared" ca="1" si="106"/>
        <v>0</v>
      </c>
      <c r="P186" s="17">
        <f t="shared" ca="1" si="106"/>
        <v>0</v>
      </c>
      <c r="Q186" s="17">
        <f t="shared" ca="1" si="106"/>
        <v>0</v>
      </c>
      <c r="R186" s="17">
        <f t="shared" ca="1" si="106"/>
        <v>0</v>
      </c>
      <c r="S186" s="17">
        <f t="shared" ca="1" si="106"/>
        <v>0</v>
      </c>
      <c r="T186" s="17">
        <f t="shared" ca="1" si="106"/>
        <v>0</v>
      </c>
      <c r="U186" s="17">
        <f t="shared" ca="1" si="106"/>
        <v>0</v>
      </c>
      <c r="V186" s="17">
        <f t="shared" ca="1" si="106"/>
        <v>0</v>
      </c>
      <c r="W186" s="17">
        <f t="shared" ca="1" si="106"/>
        <v>0</v>
      </c>
      <c r="X186" s="17">
        <f t="shared" ca="1" si="106"/>
        <v>0</v>
      </c>
      <c r="Y186" s="17">
        <f t="shared" ca="1" si="106"/>
        <v>0</v>
      </c>
      <c r="Z186" s="17">
        <f t="shared" ca="1" si="106"/>
        <v>0</v>
      </c>
      <c r="AA186" s="17">
        <f t="shared" ca="1" si="106"/>
        <v>0</v>
      </c>
      <c r="AB186" s="17">
        <f t="shared" ca="1" si="106"/>
        <v>0</v>
      </c>
      <c r="AC186" s="17">
        <f t="shared" ca="1" si="106"/>
        <v>0</v>
      </c>
      <c r="AD186" s="17">
        <f t="shared" ca="1" si="106"/>
        <v>0</v>
      </c>
      <c r="AE186" s="17">
        <f t="shared" ca="1" si="106"/>
        <v>0</v>
      </c>
      <c r="AF186" s="17">
        <f t="shared" ca="1" si="106"/>
        <v>0</v>
      </c>
      <c r="AG186" s="17">
        <f t="shared" ca="1" si="106"/>
        <v>0</v>
      </c>
      <c r="AH186" s="17">
        <f t="shared" ca="1" si="106"/>
        <v>0</v>
      </c>
      <c r="AI186" s="17">
        <f t="shared" ca="1" si="106"/>
        <v>0</v>
      </c>
      <c r="AJ186" s="17">
        <f t="shared" ca="1" si="106"/>
        <v>0</v>
      </c>
      <c r="AK186" s="17">
        <f t="shared" ca="1" si="106"/>
        <v>0</v>
      </c>
      <c r="AL186" s="17">
        <f t="shared" ca="1" si="106"/>
        <v>0</v>
      </c>
      <c r="AM186" s="17">
        <f t="shared" ca="1" si="106"/>
        <v>0</v>
      </c>
      <c r="AN186" s="17">
        <f t="shared" ca="1" si="106"/>
        <v>0</v>
      </c>
      <c r="AO186" s="17">
        <f t="shared" ca="1" si="106"/>
        <v>0</v>
      </c>
      <c r="AP186" s="17">
        <f t="shared" ca="1" si="106"/>
        <v>0</v>
      </c>
      <c r="AQ186" s="17">
        <f t="shared" ca="1" si="106"/>
        <v>0</v>
      </c>
      <c r="AR186" s="17">
        <f t="shared" ca="1" si="106"/>
        <v>0</v>
      </c>
      <c r="AS186" s="17">
        <f t="shared" ca="1" si="106"/>
        <v>0</v>
      </c>
    </row>
    <row r="187" spans="2:45" outlineLevel="1" x14ac:dyDescent="0.15">
      <c r="B187" s="107" t="s">
        <v>361</v>
      </c>
      <c r="I187" s="22">
        <f ca="1">IF(ISERROR(SUM(J187:AS187)),1,MIN(SUM(J187:AS187),1))</f>
        <v>0</v>
      </c>
      <c r="J187" s="17">
        <f t="shared" ref="J187:AS187" ca="1" si="107">IF(J186=1,0,IF(MIN(J180:J181)&lt;0,1,0))</f>
        <v>0</v>
      </c>
      <c r="K187" s="17">
        <f t="shared" ca="1" si="107"/>
        <v>0</v>
      </c>
      <c r="L187" s="17">
        <f t="shared" ca="1" si="107"/>
        <v>0</v>
      </c>
      <c r="M187" s="17">
        <f t="shared" ca="1" si="107"/>
        <v>0</v>
      </c>
      <c r="N187" s="17">
        <f t="shared" ca="1" si="107"/>
        <v>0</v>
      </c>
      <c r="O187" s="17">
        <f t="shared" ca="1" si="107"/>
        <v>0</v>
      </c>
      <c r="P187" s="17">
        <f t="shared" ca="1" si="107"/>
        <v>0</v>
      </c>
      <c r="Q187" s="17">
        <f t="shared" ca="1" si="107"/>
        <v>0</v>
      </c>
      <c r="R187" s="17">
        <f t="shared" ca="1" si="107"/>
        <v>0</v>
      </c>
      <c r="S187" s="17">
        <f t="shared" ca="1" si="107"/>
        <v>0</v>
      </c>
      <c r="T187" s="17">
        <f t="shared" ca="1" si="107"/>
        <v>0</v>
      </c>
      <c r="U187" s="17">
        <f t="shared" ca="1" si="107"/>
        <v>0</v>
      </c>
      <c r="V187" s="17">
        <f t="shared" ca="1" si="107"/>
        <v>0</v>
      </c>
      <c r="W187" s="17">
        <f t="shared" ca="1" si="107"/>
        <v>0</v>
      </c>
      <c r="X187" s="17">
        <f t="shared" ca="1" si="107"/>
        <v>0</v>
      </c>
      <c r="Y187" s="17">
        <f t="shared" ca="1" si="107"/>
        <v>0</v>
      </c>
      <c r="Z187" s="17">
        <f t="shared" ca="1" si="107"/>
        <v>0</v>
      </c>
      <c r="AA187" s="17">
        <f t="shared" ca="1" si="107"/>
        <v>0</v>
      </c>
      <c r="AB187" s="17">
        <f t="shared" ca="1" si="107"/>
        <v>0</v>
      </c>
      <c r="AC187" s="17">
        <f t="shared" ca="1" si="107"/>
        <v>0</v>
      </c>
      <c r="AD187" s="17">
        <f t="shared" ca="1" si="107"/>
        <v>0</v>
      </c>
      <c r="AE187" s="17">
        <f t="shared" ca="1" si="107"/>
        <v>0</v>
      </c>
      <c r="AF187" s="17">
        <f t="shared" ca="1" si="107"/>
        <v>0</v>
      </c>
      <c r="AG187" s="17">
        <f t="shared" ca="1" si="107"/>
        <v>0</v>
      </c>
      <c r="AH187" s="17">
        <f t="shared" ca="1" si="107"/>
        <v>0</v>
      </c>
      <c r="AI187" s="17">
        <f t="shared" ca="1" si="107"/>
        <v>0</v>
      </c>
      <c r="AJ187" s="17">
        <f t="shared" ca="1" si="107"/>
        <v>0</v>
      </c>
      <c r="AK187" s="17">
        <f t="shared" ca="1" si="107"/>
        <v>0</v>
      </c>
      <c r="AL187" s="17">
        <f t="shared" ca="1" si="107"/>
        <v>0</v>
      </c>
      <c r="AM187" s="17">
        <f t="shared" ca="1" si="107"/>
        <v>0</v>
      </c>
      <c r="AN187" s="17">
        <f t="shared" ca="1" si="107"/>
        <v>0</v>
      </c>
      <c r="AO187" s="17">
        <f t="shared" ca="1" si="107"/>
        <v>0</v>
      </c>
      <c r="AP187" s="17">
        <f t="shared" ca="1" si="107"/>
        <v>0</v>
      </c>
      <c r="AQ187" s="17">
        <f t="shared" ca="1" si="107"/>
        <v>0</v>
      </c>
      <c r="AR187" s="17">
        <f t="shared" ca="1" si="107"/>
        <v>0</v>
      </c>
      <c r="AS187" s="17">
        <f t="shared" ca="1" si="107"/>
        <v>0</v>
      </c>
    </row>
    <row r="189" spans="2:45" x14ac:dyDescent="0.15">
      <c r="B189" s="1" t="s">
        <v>362</v>
      </c>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2:45" outlineLevel="1" x14ac:dyDescent="0.15"/>
    <row r="191" spans="2:45" outlineLevel="1" x14ac:dyDescent="0.15">
      <c r="B191" s="16" t="s">
        <v>362</v>
      </c>
      <c r="H191" s="155" t="s">
        <v>322</v>
      </c>
    </row>
    <row r="192" spans="2:45" outlineLevel="1" x14ac:dyDescent="0.15">
      <c r="B192" s="338" t="s">
        <v>363</v>
      </c>
      <c r="C192" s="338"/>
      <c r="D192" s="338"/>
      <c r="E192" s="338"/>
      <c r="F192" s="338"/>
      <c r="H192" s="80" t="s">
        <v>333</v>
      </c>
      <c r="J192" s="165">
        <v>0</v>
      </c>
      <c r="K192" s="165">
        <v>0</v>
      </c>
      <c r="L192" s="165">
        <v>0</v>
      </c>
      <c r="M192" s="165">
        <v>0</v>
      </c>
      <c r="N192" s="165">
        <v>0</v>
      </c>
      <c r="O192" s="165">
        <v>0</v>
      </c>
      <c r="P192" s="165">
        <v>0</v>
      </c>
      <c r="Q192" s="165">
        <v>0</v>
      </c>
      <c r="R192" s="165">
        <v>0</v>
      </c>
      <c r="S192" s="165">
        <v>0</v>
      </c>
      <c r="T192" s="165">
        <v>0</v>
      </c>
      <c r="U192" s="165">
        <v>0</v>
      </c>
      <c r="V192" s="165">
        <v>0</v>
      </c>
      <c r="W192" s="165">
        <v>0</v>
      </c>
      <c r="X192" s="165">
        <v>0</v>
      </c>
      <c r="Y192" s="165">
        <v>0</v>
      </c>
      <c r="Z192" s="165">
        <v>0</v>
      </c>
      <c r="AA192" s="165">
        <v>0</v>
      </c>
      <c r="AB192" s="165">
        <v>0</v>
      </c>
      <c r="AC192" s="165">
        <v>0</v>
      </c>
      <c r="AD192" s="165">
        <v>0</v>
      </c>
      <c r="AE192" s="165">
        <v>0</v>
      </c>
      <c r="AF192" s="165">
        <v>0</v>
      </c>
      <c r="AG192" s="165">
        <v>0</v>
      </c>
      <c r="AH192" s="165">
        <v>0</v>
      </c>
      <c r="AI192" s="165">
        <v>0</v>
      </c>
      <c r="AJ192" s="165">
        <v>0</v>
      </c>
      <c r="AK192" s="165">
        <v>0</v>
      </c>
      <c r="AL192" s="165">
        <v>0</v>
      </c>
      <c r="AM192" s="165">
        <v>0</v>
      </c>
      <c r="AN192" s="165">
        <v>0</v>
      </c>
      <c r="AO192" s="165">
        <v>0</v>
      </c>
      <c r="AP192" s="165">
        <v>0</v>
      </c>
      <c r="AQ192" s="165">
        <v>0</v>
      </c>
      <c r="AR192" s="165">
        <v>0</v>
      </c>
      <c r="AS192" s="165">
        <v>0</v>
      </c>
    </row>
    <row r="193" spans="2:45" ht="3" customHeight="1" outlineLevel="1" x14ac:dyDescent="0.15"/>
    <row r="194" spans="2:45" ht="3" customHeight="1" outlineLevel="1" x14ac:dyDescent="0.15"/>
    <row r="195" spans="2:45" outlineLevel="1" x14ac:dyDescent="0.15">
      <c r="B195" s="16" t="str">
        <f>B191</f>
        <v>Other Expenses</v>
      </c>
    </row>
    <row r="196" spans="2:45" outlineLevel="1" x14ac:dyDescent="0.15">
      <c r="B196" s="107" t="str">
        <f>B192</f>
        <v>Other Expenses Category</v>
      </c>
      <c r="J196" s="14">
        <f t="shared" ref="J196:AS196" si="108">J192</f>
        <v>0</v>
      </c>
      <c r="K196" s="14">
        <f t="shared" si="108"/>
        <v>0</v>
      </c>
      <c r="L196" s="14">
        <f t="shared" si="108"/>
        <v>0</v>
      </c>
      <c r="M196" s="14">
        <f t="shared" si="108"/>
        <v>0</v>
      </c>
      <c r="N196" s="14">
        <f t="shared" si="108"/>
        <v>0</v>
      </c>
      <c r="O196" s="14">
        <f t="shared" si="108"/>
        <v>0</v>
      </c>
      <c r="P196" s="14">
        <f t="shared" si="108"/>
        <v>0</v>
      </c>
      <c r="Q196" s="14">
        <f t="shared" si="108"/>
        <v>0</v>
      </c>
      <c r="R196" s="14">
        <f t="shared" si="108"/>
        <v>0</v>
      </c>
      <c r="S196" s="14">
        <f t="shared" si="108"/>
        <v>0</v>
      </c>
      <c r="T196" s="14">
        <f t="shared" si="108"/>
        <v>0</v>
      </c>
      <c r="U196" s="14">
        <f t="shared" si="108"/>
        <v>0</v>
      </c>
      <c r="V196" s="14">
        <f t="shared" si="108"/>
        <v>0</v>
      </c>
      <c r="W196" s="14">
        <f t="shared" si="108"/>
        <v>0</v>
      </c>
      <c r="X196" s="14">
        <f t="shared" si="108"/>
        <v>0</v>
      </c>
      <c r="Y196" s="14">
        <f t="shared" si="108"/>
        <v>0</v>
      </c>
      <c r="Z196" s="14">
        <f t="shared" si="108"/>
        <v>0</v>
      </c>
      <c r="AA196" s="14">
        <f t="shared" si="108"/>
        <v>0</v>
      </c>
      <c r="AB196" s="14">
        <f t="shared" si="108"/>
        <v>0</v>
      </c>
      <c r="AC196" s="14">
        <f t="shared" si="108"/>
        <v>0</v>
      </c>
      <c r="AD196" s="14">
        <f t="shared" si="108"/>
        <v>0</v>
      </c>
      <c r="AE196" s="14">
        <f t="shared" si="108"/>
        <v>0</v>
      </c>
      <c r="AF196" s="14">
        <f t="shared" si="108"/>
        <v>0</v>
      </c>
      <c r="AG196" s="14">
        <f t="shared" si="108"/>
        <v>0</v>
      </c>
      <c r="AH196" s="14">
        <f t="shared" si="108"/>
        <v>0</v>
      </c>
      <c r="AI196" s="14">
        <f t="shared" si="108"/>
        <v>0</v>
      </c>
      <c r="AJ196" s="14">
        <f t="shared" si="108"/>
        <v>0</v>
      </c>
      <c r="AK196" s="14">
        <f t="shared" si="108"/>
        <v>0</v>
      </c>
      <c r="AL196" s="14">
        <f t="shared" si="108"/>
        <v>0</v>
      </c>
      <c r="AM196" s="14">
        <f t="shared" si="108"/>
        <v>0</v>
      </c>
      <c r="AN196" s="14">
        <f t="shared" si="108"/>
        <v>0</v>
      </c>
      <c r="AO196" s="14">
        <f t="shared" si="108"/>
        <v>0</v>
      </c>
      <c r="AP196" s="14">
        <f t="shared" si="108"/>
        <v>0</v>
      </c>
      <c r="AQ196" s="14">
        <f t="shared" si="108"/>
        <v>0</v>
      </c>
      <c r="AR196" s="14">
        <f t="shared" si="108"/>
        <v>0</v>
      </c>
      <c r="AS196" s="14">
        <f t="shared" si="108"/>
        <v>0</v>
      </c>
    </row>
    <row r="197" spans="2:45" outlineLevel="1" x14ac:dyDescent="0.15">
      <c r="B197" s="16" t="str">
        <f>"Total "&amp;B191</f>
        <v>Total Other Expenses</v>
      </c>
      <c r="J197" s="18">
        <f t="shared" ref="J197:AS197" ca="1" si="109">IF(ROWS(J$195:J$197)=2,0,SUM(OFFSET(J$195,1,0,ROWS(J$195:J$197)-2)))</f>
        <v>0</v>
      </c>
      <c r="K197" s="18">
        <f t="shared" ca="1" si="109"/>
        <v>0</v>
      </c>
      <c r="L197" s="18">
        <f t="shared" ca="1" si="109"/>
        <v>0</v>
      </c>
      <c r="M197" s="18">
        <f t="shared" ca="1" si="109"/>
        <v>0</v>
      </c>
      <c r="N197" s="18">
        <f t="shared" ca="1" si="109"/>
        <v>0</v>
      </c>
      <c r="O197" s="18">
        <f t="shared" ca="1" si="109"/>
        <v>0</v>
      </c>
      <c r="P197" s="18">
        <f t="shared" ca="1" si="109"/>
        <v>0</v>
      </c>
      <c r="Q197" s="18">
        <f t="shared" ca="1" si="109"/>
        <v>0</v>
      </c>
      <c r="R197" s="18">
        <f t="shared" ca="1" si="109"/>
        <v>0</v>
      </c>
      <c r="S197" s="18">
        <f t="shared" ca="1" si="109"/>
        <v>0</v>
      </c>
      <c r="T197" s="18">
        <f t="shared" ca="1" si="109"/>
        <v>0</v>
      </c>
      <c r="U197" s="18">
        <f t="shared" ca="1" si="109"/>
        <v>0</v>
      </c>
      <c r="V197" s="18">
        <f t="shared" ca="1" si="109"/>
        <v>0</v>
      </c>
      <c r="W197" s="18">
        <f t="shared" ca="1" si="109"/>
        <v>0</v>
      </c>
      <c r="X197" s="18">
        <f t="shared" ca="1" si="109"/>
        <v>0</v>
      </c>
      <c r="Y197" s="18">
        <f t="shared" ca="1" si="109"/>
        <v>0</v>
      </c>
      <c r="Z197" s="18">
        <f t="shared" ca="1" si="109"/>
        <v>0</v>
      </c>
      <c r="AA197" s="18">
        <f t="shared" ca="1" si="109"/>
        <v>0</v>
      </c>
      <c r="AB197" s="18">
        <f t="shared" ca="1" si="109"/>
        <v>0</v>
      </c>
      <c r="AC197" s="18">
        <f t="shared" ca="1" si="109"/>
        <v>0</v>
      </c>
      <c r="AD197" s="18">
        <f t="shared" ca="1" si="109"/>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09"/>
        <v>0</v>
      </c>
      <c r="AP197" s="18">
        <f t="shared" ca="1" si="109"/>
        <v>0</v>
      </c>
      <c r="AQ197" s="18">
        <f t="shared" ca="1" si="109"/>
        <v>0</v>
      </c>
      <c r="AR197" s="18">
        <f t="shared" ca="1" si="109"/>
        <v>0</v>
      </c>
      <c r="AS197" s="18">
        <f t="shared" ca="1" si="109"/>
        <v>0</v>
      </c>
    </row>
    <row r="198" spans="2:45" ht="6" customHeight="1" outlineLevel="1" x14ac:dyDescent="0.15"/>
    <row r="199" spans="2:45" hidden="1" outlineLevel="2" x14ac:dyDescent="0.15">
      <c r="B199" s="16" t="str">
        <f>B191</f>
        <v>Other Expenses</v>
      </c>
    </row>
    <row r="200" spans="2:45" hidden="1" outlineLevel="2" x14ac:dyDescent="0.15">
      <c r="B200" s="107" t="str">
        <f>B196</f>
        <v>Other Expenses Category</v>
      </c>
      <c r="J200" s="14">
        <f t="shared" ref="J200:AS200" si="110">J196</f>
        <v>0</v>
      </c>
      <c r="K200" s="14">
        <f t="shared" si="110"/>
        <v>0</v>
      </c>
      <c r="L200" s="14">
        <f t="shared" si="110"/>
        <v>0</v>
      </c>
      <c r="M200" s="14">
        <f t="shared" si="110"/>
        <v>0</v>
      </c>
      <c r="N200" s="14">
        <f t="shared" si="110"/>
        <v>0</v>
      </c>
      <c r="O200" s="14">
        <f t="shared" si="110"/>
        <v>0</v>
      </c>
      <c r="P200" s="14">
        <f t="shared" si="110"/>
        <v>0</v>
      </c>
      <c r="Q200" s="14">
        <f t="shared" si="110"/>
        <v>0</v>
      </c>
      <c r="R200" s="14">
        <f t="shared" si="110"/>
        <v>0</v>
      </c>
      <c r="S200" s="14">
        <f t="shared" si="110"/>
        <v>0</v>
      </c>
      <c r="T200" s="14">
        <f t="shared" si="110"/>
        <v>0</v>
      </c>
      <c r="U200" s="14">
        <f t="shared" si="110"/>
        <v>0</v>
      </c>
      <c r="V200" s="14">
        <f t="shared" si="110"/>
        <v>0</v>
      </c>
      <c r="W200" s="14">
        <f t="shared" si="110"/>
        <v>0</v>
      </c>
      <c r="X200" s="14">
        <f t="shared" si="110"/>
        <v>0</v>
      </c>
      <c r="Y200" s="14">
        <f t="shared" si="110"/>
        <v>0</v>
      </c>
      <c r="Z200" s="14">
        <f t="shared" si="110"/>
        <v>0</v>
      </c>
      <c r="AA200" s="14">
        <f t="shared" si="110"/>
        <v>0</v>
      </c>
      <c r="AB200" s="14">
        <f t="shared" si="110"/>
        <v>0</v>
      </c>
      <c r="AC200" s="14">
        <f t="shared" si="110"/>
        <v>0</v>
      </c>
      <c r="AD200" s="14">
        <f t="shared" si="110"/>
        <v>0</v>
      </c>
      <c r="AE200" s="14">
        <f t="shared" si="110"/>
        <v>0</v>
      </c>
      <c r="AF200" s="14">
        <f t="shared" si="110"/>
        <v>0</v>
      </c>
      <c r="AG200" s="14">
        <f t="shared" si="110"/>
        <v>0</v>
      </c>
      <c r="AH200" s="14">
        <f t="shared" si="110"/>
        <v>0</v>
      </c>
      <c r="AI200" s="14">
        <f t="shared" si="110"/>
        <v>0</v>
      </c>
      <c r="AJ200" s="14">
        <f t="shared" si="110"/>
        <v>0</v>
      </c>
      <c r="AK200" s="14">
        <f t="shared" si="110"/>
        <v>0</v>
      </c>
      <c r="AL200" s="14">
        <f t="shared" si="110"/>
        <v>0</v>
      </c>
      <c r="AM200" s="14">
        <f t="shared" si="110"/>
        <v>0</v>
      </c>
      <c r="AN200" s="14">
        <f t="shared" si="110"/>
        <v>0</v>
      </c>
      <c r="AO200" s="14">
        <f t="shared" si="110"/>
        <v>0</v>
      </c>
      <c r="AP200" s="14">
        <f t="shared" si="110"/>
        <v>0</v>
      </c>
      <c r="AQ200" s="14">
        <f t="shared" si="110"/>
        <v>0</v>
      </c>
      <c r="AR200" s="14">
        <f t="shared" si="110"/>
        <v>0</v>
      </c>
      <c r="AS200" s="14">
        <f t="shared" si="110"/>
        <v>0</v>
      </c>
    </row>
    <row r="201" spans="2:45" hidden="1" outlineLevel="2" x14ac:dyDescent="0.15">
      <c r="B201" s="16" t="str">
        <f>B197</f>
        <v>Total Other Expenses</v>
      </c>
      <c r="J201" s="18">
        <f t="shared" ref="J201:AS201" si="111">SUM(J200:J200)</f>
        <v>0</v>
      </c>
      <c r="K201" s="18">
        <f t="shared" si="111"/>
        <v>0</v>
      </c>
      <c r="L201" s="18">
        <f t="shared" si="111"/>
        <v>0</v>
      </c>
      <c r="M201" s="18">
        <f t="shared" si="111"/>
        <v>0</v>
      </c>
      <c r="N201" s="18">
        <f t="shared" si="111"/>
        <v>0</v>
      </c>
      <c r="O201" s="18">
        <f t="shared" si="111"/>
        <v>0</v>
      </c>
      <c r="P201" s="18">
        <f t="shared" si="111"/>
        <v>0</v>
      </c>
      <c r="Q201" s="18">
        <f t="shared" si="111"/>
        <v>0</v>
      </c>
      <c r="R201" s="18">
        <f t="shared" si="111"/>
        <v>0</v>
      </c>
      <c r="S201" s="18">
        <f t="shared" si="111"/>
        <v>0</v>
      </c>
      <c r="T201" s="18">
        <f t="shared" si="111"/>
        <v>0</v>
      </c>
      <c r="U201" s="18">
        <f t="shared" si="111"/>
        <v>0</v>
      </c>
      <c r="V201" s="18">
        <f t="shared" si="111"/>
        <v>0</v>
      </c>
      <c r="W201" s="18">
        <f t="shared" si="111"/>
        <v>0</v>
      </c>
      <c r="X201" s="18">
        <f t="shared" si="111"/>
        <v>0</v>
      </c>
      <c r="Y201" s="18">
        <f t="shared" si="111"/>
        <v>0</v>
      </c>
      <c r="Z201" s="18">
        <f t="shared" si="111"/>
        <v>0</v>
      </c>
      <c r="AA201" s="18">
        <f t="shared" si="111"/>
        <v>0</v>
      </c>
      <c r="AB201" s="18">
        <f t="shared" si="111"/>
        <v>0</v>
      </c>
      <c r="AC201" s="18">
        <f t="shared" si="111"/>
        <v>0</v>
      </c>
      <c r="AD201" s="18">
        <f t="shared" si="111"/>
        <v>0</v>
      </c>
      <c r="AE201" s="18">
        <f t="shared" si="111"/>
        <v>0</v>
      </c>
      <c r="AF201" s="18">
        <f t="shared" si="111"/>
        <v>0</v>
      </c>
      <c r="AG201" s="18">
        <f t="shared" si="111"/>
        <v>0</v>
      </c>
      <c r="AH201" s="18">
        <f t="shared" si="111"/>
        <v>0</v>
      </c>
      <c r="AI201" s="18">
        <f t="shared" si="111"/>
        <v>0</v>
      </c>
      <c r="AJ201" s="18">
        <f t="shared" si="111"/>
        <v>0</v>
      </c>
      <c r="AK201" s="18">
        <f t="shared" si="111"/>
        <v>0</v>
      </c>
      <c r="AL201" s="18">
        <f t="shared" si="111"/>
        <v>0</v>
      </c>
      <c r="AM201" s="18">
        <f t="shared" si="111"/>
        <v>0</v>
      </c>
      <c r="AN201" s="18">
        <f t="shared" si="111"/>
        <v>0</v>
      </c>
      <c r="AO201" s="18">
        <f t="shared" si="111"/>
        <v>0</v>
      </c>
      <c r="AP201" s="18">
        <f t="shared" si="111"/>
        <v>0</v>
      </c>
      <c r="AQ201" s="18">
        <f t="shared" si="111"/>
        <v>0</v>
      </c>
      <c r="AR201" s="18">
        <f t="shared" si="111"/>
        <v>0</v>
      </c>
      <c r="AS201" s="18">
        <f t="shared" si="111"/>
        <v>0</v>
      </c>
    </row>
    <row r="202" spans="2:45" ht="6" hidden="1" customHeight="1" outlineLevel="2" x14ac:dyDescent="0.15"/>
    <row r="203" spans="2:45" hidden="1" outlineLevel="2" x14ac:dyDescent="0.15">
      <c r="B203" s="107" t="str">
        <f>B191&amp;" - Cash Payments"</f>
        <v>Other Expenses - Cash Payments</v>
      </c>
      <c r="J203" s="14">
        <f t="shared" ref="J203:AS203" si="112">-J201</f>
        <v>0</v>
      </c>
      <c r="K203" s="14">
        <f t="shared" si="112"/>
        <v>0</v>
      </c>
      <c r="L203" s="14">
        <f t="shared" si="112"/>
        <v>0</v>
      </c>
      <c r="M203" s="14">
        <f t="shared" si="112"/>
        <v>0</v>
      </c>
      <c r="N203" s="14">
        <f t="shared" si="112"/>
        <v>0</v>
      </c>
      <c r="O203" s="14">
        <f t="shared" si="112"/>
        <v>0</v>
      </c>
      <c r="P203" s="14">
        <f t="shared" si="112"/>
        <v>0</v>
      </c>
      <c r="Q203" s="14">
        <f t="shared" si="112"/>
        <v>0</v>
      </c>
      <c r="R203" s="14">
        <f t="shared" si="112"/>
        <v>0</v>
      </c>
      <c r="S203" s="14">
        <f t="shared" si="112"/>
        <v>0</v>
      </c>
      <c r="T203" s="14">
        <f t="shared" si="112"/>
        <v>0</v>
      </c>
      <c r="U203" s="14">
        <f t="shared" si="112"/>
        <v>0</v>
      </c>
      <c r="V203" s="14">
        <f t="shared" si="112"/>
        <v>0</v>
      </c>
      <c r="W203" s="14">
        <f t="shared" si="112"/>
        <v>0</v>
      </c>
      <c r="X203" s="14">
        <f t="shared" si="112"/>
        <v>0</v>
      </c>
      <c r="Y203" s="14">
        <f t="shared" si="112"/>
        <v>0</v>
      </c>
      <c r="Z203" s="14">
        <f t="shared" si="112"/>
        <v>0</v>
      </c>
      <c r="AA203" s="14">
        <f t="shared" si="112"/>
        <v>0</v>
      </c>
      <c r="AB203" s="14">
        <f t="shared" si="112"/>
        <v>0</v>
      </c>
      <c r="AC203" s="14">
        <f t="shared" si="112"/>
        <v>0</v>
      </c>
      <c r="AD203" s="14">
        <f t="shared" si="112"/>
        <v>0</v>
      </c>
      <c r="AE203" s="14">
        <f t="shared" si="112"/>
        <v>0</v>
      </c>
      <c r="AF203" s="14">
        <f t="shared" si="112"/>
        <v>0</v>
      </c>
      <c r="AG203" s="14">
        <f t="shared" si="112"/>
        <v>0</v>
      </c>
      <c r="AH203" s="14">
        <f t="shared" si="112"/>
        <v>0</v>
      </c>
      <c r="AI203" s="14">
        <f t="shared" si="112"/>
        <v>0</v>
      </c>
      <c r="AJ203" s="14">
        <f t="shared" si="112"/>
        <v>0</v>
      </c>
      <c r="AK203" s="14">
        <f t="shared" si="112"/>
        <v>0</v>
      </c>
      <c r="AL203" s="14">
        <f t="shared" si="112"/>
        <v>0</v>
      </c>
      <c r="AM203" s="14">
        <f t="shared" si="112"/>
        <v>0</v>
      </c>
      <c r="AN203" s="14">
        <f t="shared" si="112"/>
        <v>0</v>
      </c>
      <c r="AO203" s="14">
        <f t="shared" si="112"/>
        <v>0</v>
      </c>
      <c r="AP203" s="14">
        <f t="shared" si="112"/>
        <v>0</v>
      </c>
      <c r="AQ203" s="14">
        <f t="shared" si="112"/>
        <v>0</v>
      </c>
      <c r="AR203" s="14">
        <f t="shared" si="112"/>
        <v>0</v>
      </c>
      <c r="AS203" s="14">
        <f t="shared" si="112"/>
        <v>0</v>
      </c>
    </row>
    <row r="204" spans="2:45" ht="6" hidden="1" customHeight="1" outlineLevel="2" x14ac:dyDescent="0.15"/>
    <row r="205" spans="2:45" hidden="1" outlineLevel="2" x14ac:dyDescent="0.15">
      <c r="C205" s="107" t="s">
        <v>192</v>
      </c>
      <c r="J205" s="17">
        <f t="shared" ref="J205:AS205" ca="1" si="113">IF(ISERROR(J197-J201),1,0)</f>
        <v>0</v>
      </c>
      <c r="K205" s="17">
        <f t="shared" ca="1" si="113"/>
        <v>0</v>
      </c>
      <c r="L205" s="17">
        <f t="shared" ca="1" si="113"/>
        <v>0</v>
      </c>
      <c r="M205" s="17">
        <f t="shared" ca="1" si="113"/>
        <v>0</v>
      </c>
      <c r="N205" s="17">
        <f t="shared" ca="1" si="113"/>
        <v>0</v>
      </c>
      <c r="O205" s="17">
        <f t="shared" ca="1" si="113"/>
        <v>0</v>
      </c>
      <c r="P205" s="17">
        <f t="shared" ca="1" si="113"/>
        <v>0</v>
      </c>
      <c r="Q205" s="17">
        <f t="shared" ca="1" si="113"/>
        <v>0</v>
      </c>
      <c r="R205" s="17">
        <f t="shared" ca="1" si="113"/>
        <v>0</v>
      </c>
      <c r="S205" s="17">
        <f t="shared" ca="1" si="113"/>
        <v>0</v>
      </c>
      <c r="T205" s="17">
        <f t="shared" ca="1" si="113"/>
        <v>0</v>
      </c>
      <c r="U205" s="17">
        <f t="shared" ca="1" si="113"/>
        <v>0</v>
      </c>
      <c r="V205" s="17">
        <f t="shared" ca="1" si="113"/>
        <v>0</v>
      </c>
      <c r="W205" s="17">
        <f t="shared" ca="1" si="113"/>
        <v>0</v>
      </c>
      <c r="X205" s="17">
        <f t="shared" ca="1" si="113"/>
        <v>0</v>
      </c>
      <c r="Y205" s="17">
        <f t="shared" ca="1" si="113"/>
        <v>0</v>
      </c>
      <c r="Z205" s="17">
        <f t="shared" ca="1" si="113"/>
        <v>0</v>
      </c>
      <c r="AA205" s="17">
        <f t="shared" ca="1" si="113"/>
        <v>0</v>
      </c>
      <c r="AB205" s="17">
        <f t="shared" ca="1" si="113"/>
        <v>0</v>
      </c>
      <c r="AC205" s="17">
        <f t="shared" ca="1" si="113"/>
        <v>0</v>
      </c>
      <c r="AD205" s="17">
        <f t="shared" ca="1" si="113"/>
        <v>0</v>
      </c>
      <c r="AE205" s="17">
        <f t="shared" ca="1" si="113"/>
        <v>0</v>
      </c>
      <c r="AF205" s="17">
        <f t="shared" ca="1" si="113"/>
        <v>0</v>
      </c>
      <c r="AG205" s="17">
        <f t="shared" ca="1" si="113"/>
        <v>0</v>
      </c>
      <c r="AH205" s="17">
        <f t="shared" ca="1" si="113"/>
        <v>0</v>
      </c>
      <c r="AI205" s="17">
        <f t="shared" ca="1" si="113"/>
        <v>0</v>
      </c>
      <c r="AJ205" s="17">
        <f t="shared" ca="1" si="113"/>
        <v>0</v>
      </c>
      <c r="AK205" s="17">
        <f t="shared" ca="1" si="113"/>
        <v>0</v>
      </c>
      <c r="AL205" s="17">
        <f t="shared" ca="1" si="113"/>
        <v>0</v>
      </c>
      <c r="AM205" s="17">
        <f t="shared" ca="1" si="113"/>
        <v>0</v>
      </c>
      <c r="AN205" s="17">
        <f t="shared" ca="1" si="113"/>
        <v>0</v>
      </c>
      <c r="AO205" s="17">
        <f t="shared" ca="1" si="113"/>
        <v>0</v>
      </c>
      <c r="AP205" s="17">
        <f t="shared" ca="1" si="113"/>
        <v>0</v>
      </c>
      <c r="AQ205" s="17">
        <f t="shared" ca="1" si="113"/>
        <v>0</v>
      </c>
      <c r="AR205" s="17">
        <f t="shared" ca="1" si="113"/>
        <v>0</v>
      </c>
      <c r="AS205" s="17">
        <f t="shared" ca="1" si="113"/>
        <v>0</v>
      </c>
    </row>
    <row r="206" spans="2:45" hidden="1" outlineLevel="2" x14ac:dyDescent="0.15">
      <c r="C206" s="107" t="s">
        <v>334</v>
      </c>
      <c r="J206" s="42">
        <f t="shared" ref="J206:AS206" ca="1" si="114">IF(J205&lt;&gt;0,0,IF(ROUND(J197-J201,5)&lt;&gt;0,1,0))</f>
        <v>0</v>
      </c>
      <c r="K206" s="42">
        <f t="shared" ca="1" si="114"/>
        <v>0</v>
      </c>
      <c r="L206" s="42">
        <f t="shared" ca="1" si="114"/>
        <v>0</v>
      </c>
      <c r="M206" s="42">
        <f t="shared" ca="1" si="114"/>
        <v>0</v>
      </c>
      <c r="N206" s="42">
        <f t="shared" ca="1" si="114"/>
        <v>0</v>
      </c>
      <c r="O206" s="42">
        <f t="shared" ca="1" si="114"/>
        <v>0</v>
      </c>
      <c r="P206" s="42">
        <f t="shared" ca="1" si="114"/>
        <v>0</v>
      </c>
      <c r="Q206" s="42">
        <f t="shared" ca="1" si="114"/>
        <v>0</v>
      </c>
      <c r="R206" s="42">
        <f t="shared" ca="1" si="114"/>
        <v>0</v>
      </c>
      <c r="S206" s="42">
        <f t="shared" ca="1" si="114"/>
        <v>0</v>
      </c>
      <c r="T206" s="42">
        <f t="shared" ca="1" si="114"/>
        <v>0</v>
      </c>
      <c r="U206" s="42">
        <f t="shared" ca="1" si="114"/>
        <v>0</v>
      </c>
      <c r="V206" s="42">
        <f t="shared" ca="1" si="114"/>
        <v>0</v>
      </c>
      <c r="W206" s="42">
        <f t="shared" ca="1" si="114"/>
        <v>0</v>
      </c>
      <c r="X206" s="42">
        <f t="shared" ca="1" si="114"/>
        <v>0</v>
      </c>
      <c r="Y206" s="42">
        <f t="shared" ca="1" si="114"/>
        <v>0</v>
      </c>
      <c r="Z206" s="42">
        <f t="shared" ca="1" si="114"/>
        <v>0</v>
      </c>
      <c r="AA206" s="42">
        <f t="shared" ca="1" si="114"/>
        <v>0</v>
      </c>
      <c r="AB206" s="42">
        <f t="shared" ca="1" si="114"/>
        <v>0</v>
      </c>
      <c r="AC206" s="42">
        <f t="shared" ca="1" si="114"/>
        <v>0</v>
      </c>
      <c r="AD206" s="42">
        <f t="shared" ca="1" si="114"/>
        <v>0</v>
      </c>
      <c r="AE206" s="42">
        <f t="shared" ca="1" si="114"/>
        <v>0</v>
      </c>
      <c r="AF206" s="42">
        <f t="shared" ca="1" si="114"/>
        <v>0</v>
      </c>
      <c r="AG206" s="42">
        <f t="shared" ca="1" si="114"/>
        <v>0</v>
      </c>
      <c r="AH206" s="42">
        <f t="shared" ca="1" si="114"/>
        <v>0</v>
      </c>
      <c r="AI206" s="42">
        <f t="shared" ca="1" si="114"/>
        <v>0</v>
      </c>
      <c r="AJ206" s="42">
        <f t="shared" ca="1" si="114"/>
        <v>0</v>
      </c>
      <c r="AK206" s="42">
        <f t="shared" ca="1" si="114"/>
        <v>0</v>
      </c>
      <c r="AL206" s="42">
        <f t="shared" ca="1" si="114"/>
        <v>0</v>
      </c>
      <c r="AM206" s="42">
        <f t="shared" ca="1" si="114"/>
        <v>0</v>
      </c>
      <c r="AN206" s="42">
        <f t="shared" ca="1" si="114"/>
        <v>0</v>
      </c>
      <c r="AO206" s="42">
        <f t="shared" ca="1" si="114"/>
        <v>0</v>
      </c>
      <c r="AP206" s="42">
        <f t="shared" ca="1" si="114"/>
        <v>0</v>
      </c>
      <c r="AQ206" s="42">
        <f t="shared" ca="1" si="114"/>
        <v>0</v>
      </c>
      <c r="AR206" s="42">
        <f t="shared" ca="1" si="114"/>
        <v>0</v>
      </c>
      <c r="AS206" s="42">
        <f t="shared" ca="1" si="114"/>
        <v>0</v>
      </c>
    </row>
    <row r="207" spans="2:45" outlineLevel="1" collapsed="1" x14ac:dyDescent="0.15">
      <c r="B207" s="107" t="s">
        <v>335</v>
      </c>
      <c r="I207" s="22">
        <f ca="1">IF(ISERROR(SUM(J207:AS207)),1,MIN(SUM(J207:AS207),1))</f>
        <v>0</v>
      </c>
      <c r="J207" s="17">
        <f t="shared" ref="J207:AS207" ca="1" si="115">MIN(SUM(J205:J206),1)</f>
        <v>0</v>
      </c>
      <c r="K207" s="17">
        <f t="shared" ca="1" si="115"/>
        <v>0</v>
      </c>
      <c r="L207" s="17">
        <f t="shared" ca="1" si="115"/>
        <v>0</v>
      </c>
      <c r="M207" s="17">
        <f t="shared" ca="1" si="115"/>
        <v>0</v>
      </c>
      <c r="N207" s="17">
        <f t="shared" ca="1" si="115"/>
        <v>0</v>
      </c>
      <c r="O207" s="17">
        <f t="shared" ca="1" si="115"/>
        <v>0</v>
      </c>
      <c r="P207" s="17">
        <f t="shared" ca="1" si="115"/>
        <v>0</v>
      </c>
      <c r="Q207" s="17">
        <f t="shared" ca="1" si="115"/>
        <v>0</v>
      </c>
      <c r="R207" s="17">
        <f t="shared" ca="1" si="115"/>
        <v>0</v>
      </c>
      <c r="S207" s="17">
        <f t="shared" ca="1" si="115"/>
        <v>0</v>
      </c>
      <c r="T207" s="17">
        <f t="shared" ca="1" si="115"/>
        <v>0</v>
      </c>
      <c r="U207" s="17">
        <f t="shared" ca="1" si="115"/>
        <v>0</v>
      </c>
      <c r="V207" s="17">
        <f t="shared" ca="1" si="115"/>
        <v>0</v>
      </c>
      <c r="W207" s="17">
        <f t="shared" ca="1" si="115"/>
        <v>0</v>
      </c>
      <c r="X207" s="17">
        <f t="shared" ca="1" si="115"/>
        <v>0</v>
      </c>
      <c r="Y207" s="17">
        <f t="shared" ca="1" si="115"/>
        <v>0</v>
      </c>
      <c r="Z207" s="17">
        <f t="shared" ca="1" si="115"/>
        <v>0</v>
      </c>
      <c r="AA207" s="17">
        <f t="shared" ca="1" si="115"/>
        <v>0</v>
      </c>
      <c r="AB207" s="17">
        <f t="shared" ca="1" si="115"/>
        <v>0</v>
      </c>
      <c r="AC207" s="17">
        <f t="shared" ca="1" si="115"/>
        <v>0</v>
      </c>
      <c r="AD207" s="17">
        <f t="shared" ca="1" si="115"/>
        <v>0</v>
      </c>
      <c r="AE207" s="17">
        <f t="shared" ca="1" si="115"/>
        <v>0</v>
      </c>
      <c r="AF207" s="17">
        <f t="shared" ca="1" si="115"/>
        <v>0</v>
      </c>
      <c r="AG207" s="17">
        <f t="shared" ca="1" si="115"/>
        <v>0</v>
      </c>
      <c r="AH207" s="17">
        <f t="shared" ca="1" si="115"/>
        <v>0</v>
      </c>
      <c r="AI207" s="17">
        <f t="shared" ca="1" si="115"/>
        <v>0</v>
      </c>
      <c r="AJ207" s="17">
        <f t="shared" ca="1" si="115"/>
        <v>0</v>
      </c>
      <c r="AK207" s="17">
        <f t="shared" ca="1" si="115"/>
        <v>0</v>
      </c>
      <c r="AL207" s="17">
        <f t="shared" ca="1" si="115"/>
        <v>0</v>
      </c>
      <c r="AM207" s="17">
        <f t="shared" ca="1" si="115"/>
        <v>0</v>
      </c>
      <c r="AN207" s="17">
        <f t="shared" ca="1" si="115"/>
        <v>0</v>
      </c>
      <c r="AO207" s="17">
        <f t="shared" ca="1" si="115"/>
        <v>0</v>
      </c>
      <c r="AP207" s="17">
        <f t="shared" ca="1" si="115"/>
        <v>0</v>
      </c>
      <c r="AQ207" s="17">
        <f t="shared" ca="1" si="115"/>
        <v>0</v>
      </c>
      <c r="AR207" s="17">
        <f t="shared" ca="1" si="115"/>
        <v>0</v>
      </c>
      <c r="AS207" s="17">
        <f t="shared" ca="1" si="115"/>
        <v>0</v>
      </c>
    </row>
    <row r="208" spans="2:45" outlineLevel="1" x14ac:dyDescent="0.15">
      <c r="B208" s="107" t="s">
        <v>364</v>
      </c>
      <c r="I208" s="22">
        <f ca="1">IF(ISERROR(SUM(J208:AS208)),1,MIN(SUM(J208:AS208),1))</f>
        <v>0</v>
      </c>
      <c r="J208" s="17">
        <f t="shared" ref="J208:AS208" ca="1" si="116">IF(J207=1,0,IF(MIN(J200:J200)&lt;0,1,0))</f>
        <v>0</v>
      </c>
      <c r="K208" s="17">
        <f t="shared" ca="1" si="116"/>
        <v>0</v>
      </c>
      <c r="L208" s="17">
        <f t="shared" ca="1" si="116"/>
        <v>0</v>
      </c>
      <c r="M208" s="17">
        <f t="shared" ca="1" si="116"/>
        <v>0</v>
      </c>
      <c r="N208" s="17">
        <f t="shared" ca="1" si="116"/>
        <v>0</v>
      </c>
      <c r="O208" s="17">
        <f t="shared" ca="1" si="116"/>
        <v>0</v>
      </c>
      <c r="P208" s="17">
        <f t="shared" ca="1" si="116"/>
        <v>0</v>
      </c>
      <c r="Q208" s="17">
        <f t="shared" ca="1" si="116"/>
        <v>0</v>
      </c>
      <c r="R208" s="17">
        <f t="shared" ca="1" si="116"/>
        <v>0</v>
      </c>
      <c r="S208" s="17">
        <f t="shared" ca="1" si="116"/>
        <v>0</v>
      </c>
      <c r="T208" s="17">
        <f t="shared" ca="1" si="116"/>
        <v>0</v>
      </c>
      <c r="U208" s="17">
        <f t="shared" ca="1" si="116"/>
        <v>0</v>
      </c>
      <c r="V208" s="17">
        <f t="shared" ca="1" si="116"/>
        <v>0</v>
      </c>
      <c r="W208" s="17">
        <f t="shared" ca="1" si="116"/>
        <v>0</v>
      </c>
      <c r="X208" s="17">
        <f t="shared" ca="1" si="116"/>
        <v>0</v>
      </c>
      <c r="Y208" s="17">
        <f t="shared" ca="1" si="116"/>
        <v>0</v>
      </c>
      <c r="Z208" s="17">
        <f t="shared" ca="1" si="116"/>
        <v>0</v>
      </c>
      <c r="AA208" s="17">
        <f t="shared" ca="1" si="116"/>
        <v>0</v>
      </c>
      <c r="AB208" s="17">
        <f t="shared" ca="1" si="116"/>
        <v>0</v>
      </c>
      <c r="AC208" s="17">
        <f t="shared" ca="1" si="116"/>
        <v>0</v>
      </c>
      <c r="AD208" s="17">
        <f t="shared" ca="1" si="116"/>
        <v>0</v>
      </c>
      <c r="AE208" s="17">
        <f t="shared" ca="1" si="116"/>
        <v>0</v>
      </c>
      <c r="AF208" s="17">
        <f t="shared" ca="1" si="116"/>
        <v>0</v>
      </c>
      <c r="AG208" s="17">
        <f t="shared" ca="1" si="116"/>
        <v>0</v>
      </c>
      <c r="AH208" s="17">
        <f t="shared" ca="1" si="116"/>
        <v>0</v>
      </c>
      <c r="AI208" s="17">
        <f t="shared" ca="1" si="116"/>
        <v>0</v>
      </c>
      <c r="AJ208" s="17">
        <f t="shared" ca="1" si="116"/>
        <v>0</v>
      </c>
      <c r="AK208" s="17">
        <f t="shared" ca="1" si="116"/>
        <v>0</v>
      </c>
      <c r="AL208" s="17">
        <f t="shared" ca="1" si="116"/>
        <v>0</v>
      </c>
      <c r="AM208" s="17">
        <f t="shared" ca="1" si="116"/>
        <v>0</v>
      </c>
      <c r="AN208" s="17">
        <f t="shared" ca="1" si="116"/>
        <v>0</v>
      </c>
      <c r="AO208" s="17">
        <f t="shared" ca="1" si="116"/>
        <v>0</v>
      </c>
      <c r="AP208" s="17">
        <f t="shared" ca="1" si="116"/>
        <v>0</v>
      </c>
      <c r="AQ208" s="17">
        <f t="shared" ca="1" si="116"/>
        <v>0</v>
      </c>
      <c r="AR208" s="17">
        <f t="shared" ca="1" si="116"/>
        <v>0</v>
      </c>
      <c r="AS208" s="17">
        <f t="shared" ca="1" si="116"/>
        <v>0</v>
      </c>
    </row>
  </sheetData>
  <sheetProtection algorithmName="SHA-512" hashValue="GlwoZxndTP//FNuo1e4+FNJrbVHkZkG1YixlbEtISB57CZykwtNjXx+LmJv6clKVcOX/sQP1eB92xd0o5FAJpA==" saltValue="JDiYQqg+Yul/o77FZeiwgA==" spinCount="100000" sheet="1" objects="1" scenarios="1" formatColumns="0" formatRows="0"/>
  <mergeCells count="26">
    <mergeCell ref="B94:F94"/>
    <mergeCell ref="B91:F91"/>
    <mergeCell ref="B52:F52"/>
    <mergeCell ref="B55:F55"/>
    <mergeCell ref="B20:G20"/>
    <mergeCell ref="B29:G29"/>
    <mergeCell ref="B30:G30"/>
    <mergeCell ref="B32:G32"/>
    <mergeCell ref="B49:F49"/>
    <mergeCell ref="B58:F58"/>
    <mergeCell ref="B61:F61"/>
    <mergeCell ref="B31:G31"/>
    <mergeCell ref="B88:F88"/>
    <mergeCell ref="B33:G33"/>
    <mergeCell ref="B34:G34"/>
    <mergeCell ref="B192:F192"/>
    <mergeCell ref="B118:F118"/>
    <mergeCell ref="B136:F136"/>
    <mergeCell ref="B121:F121"/>
    <mergeCell ref="B127:F127"/>
    <mergeCell ref="B129:F129"/>
    <mergeCell ref="B131:F131"/>
    <mergeCell ref="B134:F134"/>
    <mergeCell ref="B169:F169"/>
    <mergeCell ref="B171:F171"/>
    <mergeCell ref="B124:F124"/>
  </mergeCells>
  <conditionalFormatting sqref="I82:I83">
    <cfRule type="cellIs" dxfId="160" priority="3" operator="notEqual">
      <formula>0</formula>
    </cfRule>
  </conditionalFormatting>
  <conditionalFormatting sqref="I112:I113">
    <cfRule type="cellIs" dxfId="159" priority="9" operator="notEqual">
      <formula>0</formula>
    </cfRule>
  </conditionalFormatting>
  <conditionalFormatting sqref="I163:I164">
    <cfRule type="cellIs" dxfId="158" priority="15" operator="notEqual">
      <formula>0</formula>
    </cfRule>
  </conditionalFormatting>
  <conditionalFormatting sqref="I186:I187">
    <cfRule type="cellIs" dxfId="157" priority="64" operator="notEqual">
      <formula>0</formula>
    </cfRule>
  </conditionalFormatting>
  <conditionalFormatting sqref="I207:I208">
    <cfRule type="cellIs" dxfId="156" priority="27" operator="notEqual">
      <formula>0</formula>
    </cfRule>
  </conditionalFormatting>
  <conditionalFormatting sqref="I24:AS25">
    <cfRule type="cellIs" dxfId="155" priority="68" operator="notEqual">
      <formula>0</formula>
    </cfRule>
  </conditionalFormatting>
  <conditionalFormatting sqref="I43:AS44">
    <cfRule type="cellIs" dxfId="154" priority="54" operator="notEqual">
      <formula>0</formula>
    </cfRule>
  </conditionalFormatting>
  <conditionalFormatting sqref="J80:AS83">
    <cfRule type="cellIs" dxfId="153" priority="30" operator="notEqual">
      <formula>0</formula>
    </cfRule>
  </conditionalFormatting>
  <conditionalFormatting sqref="J110:AS113">
    <cfRule type="cellIs" dxfId="152" priority="34" operator="notEqual">
      <formula>0</formula>
    </cfRule>
  </conditionalFormatting>
  <conditionalFormatting sqref="J161:AS164">
    <cfRule type="cellIs" dxfId="151" priority="38" operator="notEqual">
      <formula>0</formula>
    </cfRule>
  </conditionalFormatting>
  <conditionalFormatting sqref="J184:AS187">
    <cfRule type="cellIs" dxfId="150" priority="62" operator="notEqual">
      <formula>0</formula>
    </cfRule>
  </conditionalFormatting>
  <conditionalFormatting sqref="J205:AS208">
    <cfRule type="cellIs" dxfId="149" priority="46" operator="notEqual">
      <formula>0</formula>
    </cfRule>
  </conditionalFormatting>
  <dataValidations count="1">
    <dataValidation type="custom" showErrorMessage="1" errorTitle="Invalid Assumption" error="Assumption must be a number." sqref="J192:AS192 J136:AS136 J61:AS61 J131:AS131 J129:AS129 J127:AS127 J52:AS53 J55:AS56 J58:AS59 J49:AS50 J91:AS92 J88:AS89 J134:AS134 J118:AS119 J121:AS122 J94:AS95 J169:AS169 J171:AS171 J20:AS20 J29:AS34 J124:AS125" xr:uid="{8B8FD055-C2A9-45E4-B138-3EA799583253}">
      <formula1>NOT(ISERROR(J20/1))</formula1>
    </dataValidation>
  </dataValidations>
  <hyperlinks>
    <hyperlink ref="A1" location="HL_Home" tooltip="Go to Table of Contents" display="HL_Home" xr:uid="{8FAA7249-2F8D-47BD-A21F-EB436B6EDC78}"/>
    <hyperlink ref="A46" location="HL_Rev_Scen_Ass" tooltip="Click to follow hyperlink." display="HL_Rev_Scen_Ass" xr:uid="{E3E2535C-9A4B-48AD-8248-DD2A6B70A86E}"/>
    <hyperlink ref="A85" location="HL_Cogs_Scen_Ass" tooltip="Click to follow hyperlink." display="HL_Cogs_Scen_Ass" xr:uid="{5467A52F-6855-4FA5-905C-B8447F295B02}"/>
    <hyperlink ref="A115" location="HL_Opex_Scen_Ass" tooltip="Click to follow hyperlink." display="HL_Opex_Scen_Ass" xr:uid="{7BF71A16-41EE-4B43-A23A-3BF7FCA76D9E}"/>
    <hyperlink ref="A27" location="HL_Vol_2_Ass" tooltip="Click to follow hyperlink." display="HL_Vol_2_Ass" xr:uid="{E7961304-9121-4368-BDD7-3EEEAA3CF301}"/>
    <hyperlink ref="A166" location="HL_Oth_Rev_Scen_Ass" tooltip="Click to follow hyperlink." display="HL_Oth_Rev_Scen_Ass" xr:uid="{02066041-3AFB-424B-B7B4-EB6CE78B605B}"/>
    <hyperlink ref="A17" location="HL_Vol_Ass" tooltip="Click to follow hyperlink." display="HL_Vol_Ass" xr:uid="{09E12843-183F-4777-A1BC-AB060A432667}"/>
    <hyperlink ref="A2" location="HL_Err_Chk" tooltip="Go to Error Checks" display="HL_Err_Chk" xr:uid="{8C953BF0-7A7C-4F96-ADAF-E256DD71309E}"/>
  </hyperlinks>
  <pageMargins left="0.4" right="0.4" top="0.6" bottom="1" header="0" footer="0.3"/>
  <pageSetup scale="65" orientation="landscape" r:id="rId1"/>
  <headerFooter>
    <oddFooter>&amp;L&amp;F
&amp;A
Printed: &amp;T on &amp;D&amp;CPage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B37BA-8387-4117-8D7B-DA2EE18B848A}">
  <sheetPr codeName="Sheet7">
    <pageSetUpPr autoPageBreaks="0"/>
  </sheetPr>
  <dimension ref="A1:AS297"/>
  <sheetViews>
    <sheetView showGridLines="0" workbookViewId="0">
      <pane xSplit="9" ySplit="15" topLeftCell="J147" activePane="bottomRight" state="frozenSplit"/>
      <selection pane="topRight" activeCell="J1" sqref="J1"/>
      <selection pane="bottomLeft" activeCell="A16" sqref="A16"/>
      <selection pane="bottomRight" activeCell="J27" sqref="J27"/>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365</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hidden="1" outlineLevel="2" collapsed="1"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hidden="1" outlineLevel="2" collapsed="1"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6" spans="1:45" collapsed="1" x14ac:dyDescent="0.15"/>
    <row r="17" spans="2:45" x14ac:dyDescent="0.15">
      <c r="B17" s="1" t="s">
        <v>90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2:45" outlineLevel="1" x14ac:dyDescent="0.15"/>
    <row r="19" spans="2:45" outlineLevel="1" x14ac:dyDescent="0.15">
      <c r="B19" s="108" t="s">
        <v>366</v>
      </c>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row>
    <row r="20" spans="2:45" outlineLevel="1" x14ac:dyDescent="0.15"/>
    <row r="21" spans="2:45" outlineLevel="1" x14ac:dyDescent="0.15">
      <c r="B21" s="16" t="s">
        <v>367</v>
      </c>
      <c r="H21" s="16" t="s">
        <v>368</v>
      </c>
    </row>
    <row r="22" spans="2:45" outlineLevel="1" x14ac:dyDescent="0.15">
      <c r="B22" s="339" t="str">
        <f>Tax!B174</f>
        <v>Membership Fees</v>
      </c>
      <c r="C22" s="339"/>
      <c r="D22" s="339"/>
      <c r="E22" s="339"/>
      <c r="F22" s="339"/>
      <c r="G22" s="339"/>
      <c r="H22" s="4">
        <v>1</v>
      </c>
      <c r="J22" s="14">
        <f>Tax!J174</f>
        <v>350</v>
      </c>
      <c r="K22" s="14">
        <f>Tax!K174</f>
        <v>350</v>
      </c>
      <c r="L22" s="14">
        <f>Tax!L174</f>
        <v>358.33333333333337</v>
      </c>
      <c r="M22" s="14">
        <f>Tax!M174</f>
        <v>366.66666666666663</v>
      </c>
      <c r="N22" s="14">
        <f>Tax!N174</f>
        <v>375</v>
      </c>
      <c r="O22" s="14">
        <f>Tax!O174</f>
        <v>383.33333333333337</v>
      </c>
      <c r="P22" s="14">
        <f>Tax!P174</f>
        <v>391.66666666666663</v>
      </c>
      <c r="Q22" s="14">
        <f>Tax!Q174</f>
        <v>400</v>
      </c>
      <c r="R22" s="14">
        <f>Tax!R174</f>
        <v>408.33333333333337</v>
      </c>
      <c r="S22" s="14">
        <f>Tax!S174</f>
        <v>416.66666666666663</v>
      </c>
      <c r="T22" s="14">
        <f>Tax!T174</f>
        <v>425</v>
      </c>
      <c r="U22" s="14">
        <f>Tax!U174</f>
        <v>433.33333333333337</v>
      </c>
      <c r="V22" s="14">
        <f>Tax!V174</f>
        <v>441.66666666666663</v>
      </c>
      <c r="W22" s="14">
        <f>Tax!W174</f>
        <v>450</v>
      </c>
      <c r="X22" s="14">
        <f>Tax!X174</f>
        <v>458.33333333333337</v>
      </c>
      <c r="Y22" s="14">
        <f>Tax!Y174</f>
        <v>466.66666666666663</v>
      </c>
      <c r="Z22" s="14">
        <f>Tax!Z174</f>
        <v>475</v>
      </c>
      <c r="AA22" s="14">
        <f>Tax!AA174</f>
        <v>483.33333333333337</v>
      </c>
      <c r="AB22" s="14">
        <f>Tax!AB174</f>
        <v>491.66666666666663</v>
      </c>
      <c r="AC22" s="14">
        <f>Tax!AC174</f>
        <v>500</v>
      </c>
      <c r="AD22" s="14">
        <f>Tax!AD174</f>
        <v>508.33333333333331</v>
      </c>
      <c r="AE22" s="14">
        <f>Tax!AE174</f>
        <v>516.66666666666674</v>
      </c>
      <c r="AF22" s="14">
        <f>Tax!AF174</f>
        <v>525</v>
      </c>
      <c r="AG22" s="14">
        <f>Tax!AG174</f>
        <v>533.33333333333326</v>
      </c>
      <c r="AH22" s="14">
        <f>Tax!AH174</f>
        <v>541.66666666666674</v>
      </c>
      <c r="AI22" s="14">
        <f>Tax!AI174</f>
        <v>550</v>
      </c>
      <c r="AJ22" s="14">
        <f>Tax!AJ174</f>
        <v>558.33333333333326</v>
      </c>
      <c r="AK22" s="14">
        <f>Tax!AK174</f>
        <v>566.66666666666674</v>
      </c>
      <c r="AL22" s="14">
        <f>Tax!AL174</f>
        <v>575</v>
      </c>
      <c r="AM22" s="14">
        <f>Tax!AM174</f>
        <v>583.33333333333326</v>
      </c>
      <c r="AN22" s="14">
        <f>Tax!AN174</f>
        <v>591.66666666666674</v>
      </c>
      <c r="AO22" s="14">
        <f>Tax!AO174</f>
        <v>600</v>
      </c>
      <c r="AP22" s="14">
        <f>Tax!AP174</f>
        <v>608.33333333333326</v>
      </c>
      <c r="AQ22" s="14">
        <f>Tax!AQ174</f>
        <v>616.66666666666674</v>
      </c>
      <c r="AR22" s="14">
        <f>Tax!AR174</f>
        <v>625</v>
      </c>
      <c r="AS22" s="14">
        <f>Tax!AS174</f>
        <v>633.33333333333326</v>
      </c>
    </row>
    <row r="23" spans="2:45" outlineLevel="1" x14ac:dyDescent="0.15">
      <c r="B23" s="339" t="str">
        <f>Tax!B175</f>
        <v>PAYG Fencing</v>
      </c>
      <c r="C23" s="339"/>
      <c r="D23" s="339"/>
      <c r="E23" s="339"/>
      <c r="F23" s="339"/>
      <c r="G23" s="339"/>
      <c r="H23" s="4">
        <v>1</v>
      </c>
      <c r="J23" s="14">
        <f>Tax!J175</f>
        <v>2481.0619354838709</v>
      </c>
      <c r="K23" s="14">
        <f>Tax!K175</f>
        <v>4567.1165399999991</v>
      </c>
      <c r="L23" s="14">
        <f>Tax!L175</f>
        <v>4753.2944516129037</v>
      </c>
      <c r="M23" s="14">
        <f>Tax!M175</f>
        <v>5821.4309999999996</v>
      </c>
      <c r="N23" s="14">
        <f>Tax!N175</f>
        <v>1969.8246580645155</v>
      </c>
      <c r="O23" s="14">
        <f>Tax!O175</f>
        <v>4324.5171290322578</v>
      </c>
      <c r="P23" s="14">
        <f>Tax!P175</f>
        <v>4722.8832000000002</v>
      </c>
      <c r="Q23" s="14">
        <f>Tax!Q175</f>
        <v>4681.505206451613</v>
      </c>
      <c r="R23" s="14">
        <f>Tax!R175</f>
        <v>3527.4685600000003</v>
      </c>
      <c r="S23" s="14">
        <f>Tax!S175</f>
        <v>4307.8396064516119</v>
      </c>
      <c r="T23" s="14">
        <f>Tax!T175</f>
        <v>4220.72</v>
      </c>
      <c r="U23" s="14">
        <f>Tax!U175</f>
        <v>3799.1097290322577</v>
      </c>
      <c r="V23" s="14">
        <f>Tax!V175</f>
        <v>3322.465548387097</v>
      </c>
      <c r="W23" s="14">
        <f>Tax!W175</f>
        <v>6335.03262</v>
      </c>
      <c r="X23" s="14">
        <f>Tax!X175</f>
        <v>6832.8607741935475</v>
      </c>
      <c r="Y23" s="14">
        <f>Tax!Y175</f>
        <v>7577.4824999999992</v>
      </c>
      <c r="Z23" s="14">
        <f>Tax!Z175</f>
        <v>2791.9643612903224</v>
      </c>
      <c r="AA23" s="14">
        <f>Tax!AA175</f>
        <v>5807.2087161290319</v>
      </c>
      <c r="AB23" s="14">
        <f>Tax!AB175</f>
        <v>5997.3119999999999</v>
      </c>
      <c r="AC23" s="14">
        <f>Tax!AC175</f>
        <v>6199.831219354839</v>
      </c>
      <c r="AD23" s="14">
        <f>Tax!AD175</f>
        <v>4641.4059999999999</v>
      </c>
      <c r="AE23" s="14">
        <f>Tax!AE175</f>
        <v>5388.4013806451612</v>
      </c>
      <c r="AF23" s="14">
        <f>Tax!AF175</f>
        <v>5761.2828000000009</v>
      </c>
      <c r="AG23" s="14">
        <f>Tax!AG175</f>
        <v>4911.0442838709669</v>
      </c>
      <c r="AH23" s="14">
        <f>Tax!AH175</f>
        <v>4077.5713548387102</v>
      </c>
      <c r="AI23" s="14">
        <f>Tax!AI175</f>
        <v>8488.8034000000007</v>
      </c>
      <c r="AJ23" s="14">
        <f>Tax!AJ175</f>
        <v>8696.3682580645163</v>
      </c>
      <c r="AK23" s="14">
        <f>Tax!AK175</f>
        <v>8640</v>
      </c>
      <c r="AL23" s="14">
        <f>Tax!AL175</f>
        <v>3680.3166580645147</v>
      </c>
      <c r="AM23" s="14">
        <f>Tax!AM175</f>
        <v>6972.9481161290332</v>
      </c>
      <c r="AN23" s="14">
        <f>Tax!AN175</f>
        <v>7496.6399999999994</v>
      </c>
      <c r="AO23" s="14">
        <f>Tax!AO175</f>
        <v>8085.6885290322589</v>
      </c>
      <c r="AP23" s="14">
        <f>Tax!AP175</f>
        <v>5755.3434400000006</v>
      </c>
      <c r="AQ23" s="14">
        <f>Tax!AQ175</f>
        <v>6353.7032322580644</v>
      </c>
      <c r="AR23" s="14">
        <f>Tax!AR175</f>
        <v>7428.467200000001</v>
      </c>
      <c r="AS23" s="14">
        <f>Tax!AS175</f>
        <v>6022.9788387096769</v>
      </c>
    </row>
    <row r="24" spans="2:45" outlineLevel="1" x14ac:dyDescent="0.15">
      <c r="B24" s="339" t="str">
        <f>Tax!B176</f>
        <v>Private Hire</v>
      </c>
      <c r="C24" s="339"/>
      <c r="D24" s="339"/>
      <c r="E24" s="339"/>
      <c r="F24" s="339"/>
      <c r="G24" s="339"/>
      <c r="H24" s="4">
        <v>1</v>
      </c>
      <c r="J24" s="14">
        <f>Tax!J176</f>
        <v>480</v>
      </c>
      <c r="K24" s="14">
        <f>Tax!K176</f>
        <v>480</v>
      </c>
      <c r="L24" s="14">
        <f>Tax!L176</f>
        <v>480</v>
      </c>
      <c r="M24" s="14">
        <f>Tax!M176</f>
        <v>480</v>
      </c>
      <c r="N24" s="14">
        <f>Tax!N176</f>
        <v>480</v>
      </c>
      <c r="O24" s="14">
        <f>Tax!O176</f>
        <v>480</v>
      </c>
      <c r="P24" s="14">
        <f>Tax!P176</f>
        <v>960</v>
      </c>
      <c r="Q24" s="14">
        <f>Tax!Q176</f>
        <v>960</v>
      </c>
      <c r="R24" s="14">
        <f>Tax!R176</f>
        <v>960</v>
      </c>
      <c r="S24" s="14">
        <f>Tax!S176</f>
        <v>960</v>
      </c>
      <c r="T24" s="14">
        <f>Tax!T176</f>
        <v>960</v>
      </c>
      <c r="U24" s="14">
        <f>Tax!U176</f>
        <v>960</v>
      </c>
      <c r="V24" s="14">
        <f>Tax!V176</f>
        <v>960</v>
      </c>
      <c r="W24" s="14">
        <f>Tax!W176</f>
        <v>960</v>
      </c>
      <c r="X24" s="14">
        <f>Tax!X176</f>
        <v>960</v>
      </c>
      <c r="Y24" s="14">
        <f>Tax!Y176</f>
        <v>960</v>
      </c>
      <c r="Z24" s="14">
        <f>Tax!Z176</f>
        <v>960</v>
      </c>
      <c r="AA24" s="14">
        <f>Tax!AA176</f>
        <v>960</v>
      </c>
      <c r="AB24" s="14">
        <f>Tax!AB176</f>
        <v>1440</v>
      </c>
      <c r="AC24" s="14">
        <f>Tax!AC176</f>
        <v>1440</v>
      </c>
      <c r="AD24" s="14">
        <f>Tax!AD176</f>
        <v>1440</v>
      </c>
      <c r="AE24" s="14">
        <f>Tax!AE176</f>
        <v>1440</v>
      </c>
      <c r="AF24" s="14">
        <f>Tax!AF176</f>
        <v>1440</v>
      </c>
      <c r="AG24" s="14">
        <f>Tax!AG176</f>
        <v>1440</v>
      </c>
      <c r="AH24" s="14">
        <f>Tax!AH176</f>
        <v>1440</v>
      </c>
      <c r="AI24" s="14">
        <f>Tax!AI176</f>
        <v>1440</v>
      </c>
      <c r="AJ24" s="14">
        <f>Tax!AJ176</f>
        <v>1440</v>
      </c>
      <c r="AK24" s="14">
        <f>Tax!AK176</f>
        <v>1440</v>
      </c>
      <c r="AL24" s="14">
        <f>Tax!AL176</f>
        <v>1440</v>
      </c>
      <c r="AM24" s="14">
        <f>Tax!AM176</f>
        <v>1440</v>
      </c>
      <c r="AN24" s="14">
        <f>Tax!AN176</f>
        <v>1440</v>
      </c>
      <c r="AO24" s="14">
        <f>Tax!AO176</f>
        <v>1440</v>
      </c>
      <c r="AP24" s="14">
        <f>Tax!AP176</f>
        <v>1440</v>
      </c>
      <c r="AQ24" s="14">
        <f>Tax!AQ176</f>
        <v>1440</v>
      </c>
      <c r="AR24" s="14">
        <f>Tax!AR176</f>
        <v>1440</v>
      </c>
      <c r="AS24" s="14">
        <f>Tax!AS176</f>
        <v>1440</v>
      </c>
    </row>
    <row r="25" spans="2:45" outlineLevel="1" x14ac:dyDescent="0.15">
      <c r="B25" s="339" t="str">
        <f>Tax!B177</f>
        <v>Book a Piste</v>
      </c>
      <c r="C25" s="339"/>
      <c r="D25" s="339"/>
      <c r="E25" s="339"/>
      <c r="F25" s="339"/>
      <c r="G25" s="339"/>
      <c r="H25" s="4">
        <v>1</v>
      </c>
      <c r="J25" s="14">
        <f>Tax!J177</f>
        <v>48</v>
      </c>
      <c r="K25" s="14">
        <f>Tax!K177</f>
        <v>48</v>
      </c>
      <c r="L25" s="14">
        <f>Tax!L177</f>
        <v>48</v>
      </c>
      <c r="M25" s="14">
        <f>Tax!M177</f>
        <v>48</v>
      </c>
      <c r="N25" s="14">
        <f>Tax!N177</f>
        <v>48</v>
      </c>
      <c r="O25" s="14">
        <f>Tax!O177</f>
        <v>48</v>
      </c>
      <c r="P25" s="14">
        <f>Tax!P177</f>
        <v>48</v>
      </c>
      <c r="Q25" s="14">
        <f>Tax!Q177</f>
        <v>48</v>
      </c>
      <c r="R25" s="14">
        <f>Tax!R177</f>
        <v>48</v>
      </c>
      <c r="S25" s="14">
        <f>Tax!S177</f>
        <v>48</v>
      </c>
      <c r="T25" s="14">
        <f>Tax!T177</f>
        <v>48</v>
      </c>
      <c r="U25" s="14">
        <f>Tax!U177</f>
        <v>48</v>
      </c>
      <c r="V25" s="14">
        <f>Tax!V177</f>
        <v>48</v>
      </c>
      <c r="W25" s="14">
        <f>Tax!W177</f>
        <v>48</v>
      </c>
      <c r="X25" s="14">
        <f>Tax!X177</f>
        <v>48</v>
      </c>
      <c r="Y25" s="14">
        <f>Tax!Y177</f>
        <v>48</v>
      </c>
      <c r="Z25" s="14">
        <f>Tax!Z177</f>
        <v>48</v>
      </c>
      <c r="AA25" s="14">
        <f>Tax!AA177</f>
        <v>48</v>
      </c>
      <c r="AB25" s="14">
        <f>Tax!AB177</f>
        <v>48</v>
      </c>
      <c r="AC25" s="14">
        <f>Tax!AC177</f>
        <v>48</v>
      </c>
      <c r="AD25" s="14">
        <f>Tax!AD177</f>
        <v>48</v>
      </c>
      <c r="AE25" s="14">
        <f>Tax!AE177</f>
        <v>48</v>
      </c>
      <c r="AF25" s="14">
        <f>Tax!AF177</f>
        <v>48</v>
      </c>
      <c r="AG25" s="14">
        <f>Tax!AG177</f>
        <v>48</v>
      </c>
      <c r="AH25" s="14">
        <f>Tax!AH177</f>
        <v>48</v>
      </c>
      <c r="AI25" s="14">
        <f>Tax!AI177</f>
        <v>48</v>
      </c>
      <c r="AJ25" s="14">
        <f>Tax!AJ177</f>
        <v>48</v>
      </c>
      <c r="AK25" s="14">
        <f>Tax!AK177</f>
        <v>48</v>
      </c>
      <c r="AL25" s="14">
        <f>Tax!AL177</f>
        <v>48</v>
      </c>
      <c r="AM25" s="14">
        <f>Tax!AM177</f>
        <v>48</v>
      </c>
      <c r="AN25" s="14">
        <f>Tax!AN177</f>
        <v>48</v>
      </c>
      <c r="AO25" s="14">
        <f>Tax!AO177</f>
        <v>48</v>
      </c>
      <c r="AP25" s="14">
        <f>Tax!AP177</f>
        <v>48</v>
      </c>
      <c r="AQ25" s="14">
        <f>Tax!AQ177</f>
        <v>48</v>
      </c>
      <c r="AR25" s="14">
        <f>Tax!AR177</f>
        <v>48</v>
      </c>
      <c r="AS25" s="14">
        <f>Tax!AS177</f>
        <v>48</v>
      </c>
    </row>
    <row r="26" spans="2:45" outlineLevel="1" x14ac:dyDescent="0.15">
      <c r="B26" s="339" t="str">
        <f>Tax!B178</f>
        <v>Merch Sales</v>
      </c>
      <c r="C26" s="339"/>
      <c r="D26" s="339"/>
      <c r="E26" s="339"/>
      <c r="F26" s="339"/>
      <c r="G26" s="339"/>
      <c r="H26" s="4">
        <v>1</v>
      </c>
      <c r="J26" s="14">
        <f>Tax!J178</f>
        <v>120</v>
      </c>
      <c r="K26" s="14">
        <f>Tax!K178</f>
        <v>124</v>
      </c>
      <c r="L26" s="14">
        <f>Tax!L178</f>
        <v>128</v>
      </c>
      <c r="M26" s="14">
        <f>Tax!M178</f>
        <v>132</v>
      </c>
      <c r="N26" s="14">
        <f>Tax!N178</f>
        <v>136</v>
      </c>
      <c r="O26" s="14">
        <f>Tax!O178</f>
        <v>140</v>
      </c>
      <c r="P26" s="14">
        <f>Tax!P178</f>
        <v>144</v>
      </c>
      <c r="Q26" s="14">
        <f>Tax!Q178</f>
        <v>148</v>
      </c>
      <c r="R26" s="14">
        <f>Tax!R178</f>
        <v>152</v>
      </c>
      <c r="S26" s="14">
        <f>Tax!S178</f>
        <v>156</v>
      </c>
      <c r="T26" s="14">
        <f>Tax!T178</f>
        <v>160</v>
      </c>
      <c r="U26" s="14">
        <f>Tax!U178</f>
        <v>164.00000000000003</v>
      </c>
      <c r="V26" s="14">
        <f>Tax!V178</f>
        <v>168</v>
      </c>
      <c r="W26" s="14">
        <f>Tax!W178</f>
        <v>172</v>
      </c>
      <c r="X26" s="14">
        <f>Tax!X178</f>
        <v>176.00000000000003</v>
      </c>
      <c r="Y26" s="14">
        <f>Tax!Y178</f>
        <v>180</v>
      </c>
      <c r="Z26" s="14">
        <f>Tax!Z178</f>
        <v>184</v>
      </c>
      <c r="AA26" s="14">
        <f>Tax!AA178</f>
        <v>188.00000000000003</v>
      </c>
      <c r="AB26" s="14">
        <f>Tax!AB178</f>
        <v>192</v>
      </c>
      <c r="AC26" s="14">
        <f>Tax!AC178</f>
        <v>196</v>
      </c>
      <c r="AD26" s="14">
        <f>Tax!AD178</f>
        <v>200.00000000000003</v>
      </c>
      <c r="AE26" s="14">
        <f>Tax!AE178</f>
        <v>204</v>
      </c>
      <c r="AF26" s="14">
        <f>Tax!AF178</f>
        <v>208</v>
      </c>
      <c r="AG26" s="14">
        <f>Tax!AG178</f>
        <v>212.00000000000003</v>
      </c>
      <c r="AH26" s="14">
        <f>Tax!AH178</f>
        <v>216</v>
      </c>
      <c r="AI26" s="14">
        <f>Tax!AI178</f>
        <v>220</v>
      </c>
      <c r="AJ26" s="14">
        <f>Tax!AJ178</f>
        <v>224.00000000000003</v>
      </c>
      <c r="AK26" s="14">
        <f>Tax!AK178</f>
        <v>228</v>
      </c>
      <c r="AL26" s="14">
        <f>Tax!AL178</f>
        <v>232</v>
      </c>
      <c r="AM26" s="14">
        <f>Tax!AM178</f>
        <v>236</v>
      </c>
      <c r="AN26" s="14">
        <f>Tax!AN178</f>
        <v>240</v>
      </c>
      <c r="AO26" s="14">
        <f>Tax!AO178</f>
        <v>244</v>
      </c>
      <c r="AP26" s="14">
        <f>Tax!AP178</f>
        <v>248</v>
      </c>
      <c r="AQ26" s="14">
        <f>Tax!AQ178</f>
        <v>252</v>
      </c>
      <c r="AR26" s="14">
        <f>Tax!AR178</f>
        <v>256</v>
      </c>
      <c r="AS26" s="14">
        <f>Tax!AS178</f>
        <v>260</v>
      </c>
    </row>
    <row r="27" spans="2:45" outlineLevel="1" x14ac:dyDescent="0.15">
      <c r="B27" s="339" t="str">
        <f>Tax!B182</f>
        <v>Grant Income A</v>
      </c>
      <c r="C27" s="339"/>
      <c r="D27" s="339"/>
      <c r="E27" s="339"/>
      <c r="F27" s="339"/>
      <c r="G27" s="339"/>
      <c r="H27" s="4">
        <v>1</v>
      </c>
      <c r="J27" s="14">
        <f>Tax!J182</f>
        <v>0</v>
      </c>
      <c r="K27" s="14">
        <f>Tax!K182</f>
        <v>0</v>
      </c>
      <c r="L27" s="14">
        <f>Tax!L182</f>
        <v>0</v>
      </c>
      <c r="M27" s="14">
        <f>Tax!M182</f>
        <v>0</v>
      </c>
      <c r="N27" s="14">
        <f>Tax!N182</f>
        <v>0</v>
      </c>
      <c r="O27" s="14">
        <f>Tax!O182</f>
        <v>0</v>
      </c>
      <c r="P27" s="14">
        <f>Tax!P182</f>
        <v>0</v>
      </c>
      <c r="Q27" s="14">
        <f>Tax!Q182</f>
        <v>0</v>
      </c>
      <c r="R27" s="14">
        <f>Tax!R182</f>
        <v>0</v>
      </c>
      <c r="S27" s="14">
        <f>Tax!S182</f>
        <v>0</v>
      </c>
      <c r="T27" s="14">
        <f>Tax!T182</f>
        <v>0</v>
      </c>
      <c r="U27" s="14">
        <f>Tax!U182</f>
        <v>0</v>
      </c>
      <c r="V27" s="14">
        <f>Tax!V182</f>
        <v>0</v>
      </c>
      <c r="W27" s="14">
        <f>Tax!W182</f>
        <v>0</v>
      </c>
      <c r="X27" s="14">
        <f>Tax!X182</f>
        <v>0</v>
      </c>
      <c r="Y27" s="14">
        <f>Tax!Y182</f>
        <v>0</v>
      </c>
      <c r="Z27" s="14">
        <f>Tax!Z182</f>
        <v>0</v>
      </c>
      <c r="AA27" s="14">
        <f>Tax!AA182</f>
        <v>0</v>
      </c>
      <c r="AB27" s="14">
        <f>Tax!AB182</f>
        <v>0</v>
      </c>
      <c r="AC27" s="14">
        <f>Tax!AC182</f>
        <v>0</v>
      </c>
      <c r="AD27" s="14">
        <f>Tax!AD182</f>
        <v>0</v>
      </c>
      <c r="AE27" s="14">
        <f>Tax!AE182</f>
        <v>0</v>
      </c>
      <c r="AF27" s="14">
        <f>Tax!AF182</f>
        <v>0</v>
      </c>
      <c r="AG27" s="14">
        <f>Tax!AG182</f>
        <v>0</v>
      </c>
      <c r="AH27" s="14">
        <f>Tax!AH182</f>
        <v>0</v>
      </c>
      <c r="AI27" s="14">
        <f>Tax!AI182</f>
        <v>0</v>
      </c>
      <c r="AJ27" s="14">
        <f>Tax!AJ182</f>
        <v>0</v>
      </c>
      <c r="AK27" s="14">
        <f>Tax!AK182</f>
        <v>0</v>
      </c>
      <c r="AL27" s="14">
        <f>Tax!AL182</f>
        <v>0</v>
      </c>
      <c r="AM27" s="14">
        <f>Tax!AM182</f>
        <v>0</v>
      </c>
      <c r="AN27" s="14">
        <f>Tax!AN182</f>
        <v>0</v>
      </c>
      <c r="AO27" s="14">
        <f>Tax!AO182</f>
        <v>0</v>
      </c>
      <c r="AP27" s="14">
        <f>Tax!AP182</f>
        <v>0</v>
      </c>
      <c r="AQ27" s="14">
        <f>Tax!AQ182</f>
        <v>0</v>
      </c>
      <c r="AR27" s="14">
        <f>Tax!AR182</f>
        <v>0</v>
      </c>
      <c r="AS27" s="14">
        <f>Tax!AS182</f>
        <v>0</v>
      </c>
    </row>
    <row r="28" spans="2:45" outlineLevel="1" x14ac:dyDescent="0.15">
      <c r="B28" s="339" t="str">
        <f>Tax!B183</f>
        <v>Grant Income B</v>
      </c>
      <c r="C28" s="339"/>
      <c r="D28" s="339"/>
      <c r="E28" s="339"/>
      <c r="F28" s="339"/>
      <c r="G28" s="339"/>
      <c r="H28" s="4">
        <v>1</v>
      </c>
      <c r="J28" s="14">
        <f>Tax!J183</f>
        <v>0</v>
      </c>
      <c r="K28" s="14">
        <f>Tax!K183</f>
        <v>0</v>
      </c>
      <c r="L28" s="14">
        <f>Tax!L183</f>
        <v>0</v>
      </c>
      <c r="M28" s="14">
        <f>Tax!M183</f>
        <v>0</v>
      </c>
      <c r="N28" s="14">
        <f>Tax!N183</f>
        <v>0</v>
      </c>
      <c r="O28" s="14">
        <f>Tax!O183</f>
        <v>0</v>
      </c>
      <c r="P28" s="14">
        <f>Tax!P183</f>
        <v>0</v>
      </c>
      <c r="Q28" s="14">
        <f>Tax!Q183</f>
        <v>0</v>
      </c>
      <c r="R28" s="14">
        <f>Tax!R183</f>
        <v>0</v>
      </c>
      <c r="S28" s="14">
        <f>Tax!S183</f>
        <v>0</v>
      </c>
      <c r="T28" s="14">
        <f>Tax!T183</f>
        <v>0</v>
      </c>
      <c r="U28" s="14">
        <f>Tax!U183</f>
        <v>0</v>
      </c>
      <c r="V28" s="14">
        <f>Tax!V183</f>
        <v>0</v>
      </c>
      <c r="W28" s="14">
        <f>Tax!W183</f>
        <v>0</v>
      </c>
      <c r="X28" s="14">
        <f>Tax!X183</f>
        <v>0</v>
      </c>
      <c r="Y28" s="14">
        <f>Tax!Y183</f>
        <v>0</v>
      </c>
      <c r="Z28" s="14">
        <f>Tax!Z183</f>
        <v>0</v>
      </c>
      <c r="AA28" s="14">
        <f>Tax!AA183</f>
        <v>0</v>
      </c>
      <c r="AB28" s="14">
        <f>Tax!AB183</f>
        <v>0</v>
      </c>
      <c r="AC28" s="14">
        <f>Tax!AC183</f>
        <v>0</v>
      </c>
      <c r="AD28" s="14">
        <f>Tax!AD183</f>
        <v>0</v>
      </c>
      <c r="AE28" s="14">
        <f>Tax!AE183</f>
        <v>0</v>
      </c>
      <c r="AF28" s="14">
        <f>Tax!AF183</f>
        <v>0</v>
      </c>
      <c r="AG28" s="14">
        <f>Tax!AG183</f>
        <v>0</v>
      </c>
      <c r="AH28" s="14">
        <f>Tax!AH183</f>
        <v>0</v>
      </c>
      <c r="AI28" s="14">
        <f>Tax!AI183</f>
        <v>0</v>
      </c>
      <c r="AJ28" s="14">
        <f>Tax!AJ183</f>
        <v>0</v>
      </c>
      <c r="AK28" s="14">
        <f>Tax!AK183</f>
        <v>0</v>
      </c>
      <c r="AL28" s="14">
        <f>Tax!AL183</f>
        <v>0</v>
      </c>
      <c r="AM28" s="14">
        <f>Tax!AM183</f>
        <v>0</v>
      </c>
      <c r="AN28" s="14">
        <f>Tax!AN183</f>
        <v>0</v>
      </c>
      <c r="AO28" s="14">
        <f>Tax!AO183</f>
        <v>0</v>
      </c>
      <c r="AP28" s="14">
        <f>Tax!AP183</f>
        <v>0</v>
      </c>
      <c r="AQ28" s="14">
        <f>Tax!AQ183</f>
        <v>0</v>
      </c>
      <c r="AR28" s="14">
        <f>Tax!AR183</f>
        <v>0</v>
      </c>
      <c r="AS28" s="14">
        <f>Tax!AS183</f>
        <v>0</v>
      </c>
    </row>
    <row r="29" spans="2:45" outlineLevel="1" x14ac:dyDescent="0.15"/>
    <row r="30" spans="2:45" outlineLevel="1" x14ac:dyDescent="0.15">
      <c r="B30" s="108" t="s">
        <v>369</v>
      </c>
      <c r="C30" s="108"/>
      <c r="D30" s="108"/>
      <c r="E30" s="108"/>
      <c r="F30" s="108"/>
      <c r="G30" s="108"/>
      <c r="H30" s="108"/>
      <c r="I30" s="12" t="s">
        <v>370</v>
      </c>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row>
    <row r="31" spans="2:45" hidden="1" outlineLevel="2" x14ac:dyDescent="0.15"/>
    <row r="32" spans="2:45" hidden="1" outlineLevel="2" x14ac:dyDescent="0.15">
      <c r="B32" s="16" t="s">
        <v>371</v>
      </c>
    </row>
    <row r="33" spans="2:45" hidden="1" outlineLevel="2" x14ac:dyDescent="0.15">
      <c r="B33" s="107" t="s">
        <v>372</v>
      </c>
      <c r="J33" s="17">
        <f t="shared" ref="J33:AS33" si="11">J$7-J$6+1</f>
        <v>31</v>
      </c>
      <c r="K33" s="17">
        <f t="shared" si="11"/>
        <v>30</v>
      </c>
      <c r="L33" s="17">
        <f t="shared" si="11"/>
        <v>31</v>
      </c>
      <c r="M33" s="17">
        <f t="shared" si="11"/>
        <v>30</v>
      </c>
      <c r="N33" s="17">
        <f t="shared" si="11"/>
        <v>31</v>
      </c>
      <c r="O33" s="17">
        <f t="shared" si="11"/>
        <v>31</v>
      </c>
      <c r="P33" s="17">
        <f t="shared" si="11"/>
        <v>29</v>
      </c>
      <c r="Q33" s="17">
        <f t="shared" si="11"/>
        <v>31</v>
      </c>
      <c r="R33" s="17">
        <f t="shared" si="11"/>
        <v>30</v>
      </c>
      <c r="S33" s="17">
        <f t="shared" si="11"/>
        <v>31</v>
      </c>
      <c r="T33" s="17">
        <f t="shared" si="11"/>
        <v>30</v>
      </c>
      <c r="U33" s="17">
        <f t="shared" si="11"/>
        <v>31</v>
      </c>
      <c r="V33" s="17">
        <f t="shared" si="11"/>
        <v>31</v>
      </c>
      <c r="W33" s="17">
        <f t="shared" si="11"/>
        <v>30</v>
      </c>
      <c r="X33" s="17">
        <f t="shared" si="11"/>
        <v>31</v>
      </c>
      <c r="Y33" s="17">
        <f t="shared" si="11"/>
        <v>30</v>
      </c>
      <c r="Z33" s="17">
        <f t="shared" si="11"/>
        <v>31</v>
      </c>
      <c r="AA33" s="17">
        <f t="shared" si="11"/>
        <v>31</v>
      </c>
      <c r="AB33" s="17">
        <f t="shared" si="11"/>
        <v>28</v>
      </c>
      <c r="AC33" s="17">
        <f t="shared" si="11"/>
        <v>31</v>
      </c>
      <c r="AD33" s="17">
        <f t="shared" si="11"/>
        <v>30</v>
      </c>
      <c r="AE33" s="17">
        <f t="shared" si="11"/>
        <v>31</v>
      </c>
      <c r="AF33" s="17">
        <f t="shared" si="11"/>
        <v>30</v>
      </c>
      <c r="AG33" s="17">
        <f t="shared" si="11"/>
        <v>31</v>
      </c>
      <c r="AH33" s="17">
        <f t="shared" si="11"/>
        <v>31</v>
      </c>
      <c r="AI33" s="17">
        <f t="shared" si="11"/>
        <v>30</v>
      </c>
      <c r="AJ33" s="17">
        <f t="shared" si="11"/>
        <v>31</v>
      </c>
      <c r="AK33" s="17">
        <f t="shared" si="11"/>
        <v>30</v>
      </c>
      <c r="AL33" s="17">
        <f t="shared" si="11"/>
        <v>31</v>
      </c>
      <c r="AM33" s="17">
        <f t="shared" si="11"/>
        <v>31</v>
      </c>
      <c r="AN33" s="17">
        <f t="shared" si="11"/>
        <v>28</v>
      </c>
      <c r="AO33" s="17">
        <f t="shared" si="11"/>
        <v>31</v>
      </c>
      <c r="AP33" s="17">
        <f t="shared" si="11"/>
        <v>30</v>
      </c>
      <c r="AQ33" s="17">
        <f t="shared" si="11"/>
        <v>31</v>
      </c>
      <c r="AR33" s="17">
        <f t="shared" si="11"/>
        <v>30</v>
      </c>
      <c r="AS33" s="17">
        <f t="shared" si="11"/>
        <v>31</v>
      </c>
    </row>
    <row r="34" spans="2:45" hidden="1" outlineLevel="2" x14ac:dyDescent="0.15">
      <c r="B34" s="107" t="s">
        <v>373</v>
      </c>
      <c r="J34" s="17">
        <f t="shared" ref="J34:AS34" si="12">IF(J$8=1,0,I35)</f>
        <v>0</v>
      </c>
      <c r="K34" s="17">
        <f t="shared" si="12"/>
        <v>31</v>
      </c>
      <c r="L34" s="17">
        <f t="shared" si="12"/>
        <v>61</v>
      </c>
      <c r="M34" s="17">
        <f t="shared" si="12"/>
        <v>92</v>
      </c>
      <c r="N34" s="17">
        <f t="shared" si="12"/>
        <v>122</v>
      </c>
      <c r="O34" s="17">
        <f t="shared" si="12"/>
        <v>153</v>
      </c>
      <c r="P34" s="17">
        <f t="shared" si="12"/>
        <v>184</v>
      </c>
      <c r="Q34" s="17">
        <f t="shared" si="12"/>
        <v>213</v>
      </c>
      <c r="R34" s="17">
        <f t="shared" si="12"/>
        <v>244</v>
      </c>
      <c r="S34" s="17">
        <f t="shared" si="12"/>
        <v>274</v>
      </c>
      <c r="T34" s="17">
        <f t="shared" si="12"/>
        <v>305</v>
      </c>
      <c r="U34" s="17">
        <f t="shared" si="12"/>
        <v>335</v>
      </c>
      <c r="V34" s="17">
        <f t="shared" si="12"/>
        <v>366</v>
      </c>
      <c r="W34" s="17">
        <f t="shared" si="12"/>
        <v>397</v>
      </c>
      <c r="X34" s="17">
        <f t="shared" si="12"/>
        <v>427</v>
      </c>
      <c r="Y34" s="17">
        <f t="shared" si="12"/>
        <v>458</v>
      </c>
      <c r="Z34" s="17">
        <f t="shared" si="12"/>
        <v>488</v>
      </c>
      <c r="AA34" s="17">
        <f t="shared" si="12"/>
        <v>519</v>
      </c>
      <c r="AB34" s="17">
        <f t="shared" si="12"/>
        <v>550</v>
      </c>
      <c r="AC34" s="17">
        <f t="shared" si="12"/>
        <v>578</v>
      </c>
      <c r="AD34" s="17">
        <f t="shared" si="12"/>
        <v>609</v>
      </c>
      <c r="AE34" s="17">
        <f t="shared" si="12"/>
        <v>639</v>
      </c>
      <c r="AF34" s="17">
        <f t="shared" si="12"/>
        <v>670</v>
      </c>
      <c r="AG34" s="17">
        <f t="shared" si="12"/>
        <v>700</v>
      </c>
      <c r="AH34" s="17">
        <f t="shared" si="12"/>
        <v>731</v>
      </c>
      <c r="AI34" s="17">
        <f t="shared" si="12"/>
        <v>762</v>
      </c>
      <c r="AJ34" s="17">
        <f t="shared" si="12"/>
        <v>792</v>
      </c>
      <c r="AK34" s="17">
        <f t="shared" si="12"/>
        <v>823</v>
      </c>
      <c r="AL34" s="17">
        <f t="shared" si="12"/>
        <v>853</v>
      </c>
      <c r="AM34" s="17">
        <f t="shared" si="12"/>
        <v>884</v>
      </c>
      <c r="AN34" s="17">
        <f t="shared" si="12"/>
        <v>915</v>
      </c>
      <c r="AO34" s="17">
        <f t="shared" si="12"/>
        <v>943</v>
      </c>
      <c r="AP34" s="17">
        <f t="shared" si="12"/>
        <v>974</v>
      </c>
      <c r="AQ34" s="17">
        <f t="shared" si="12"/>
        <v>1004</v>
      </c>
      <c r="AR34" s="17">
        <f t="shared" si="12"/>
        <v>1035</v>
      </c>
      <c r="AS34" s="17">
        <f t="shared" si="12"/>
        <v>1065</v>
      </c>
    </row>
    <row r="35" spans="2:45" hidden="1" outlineLevel="2" x14ac:dyDescent="0.15">
      <c r="B35" s="107" t="s">
        <v>374</v>
      </c>
      <c r="J35" s="17">
        <f t="shared" ref="J35:AS35" si="13">J34+J33</f>
        <v>31</v>
      </c>
      <c r="K35" s="17">
        <f t="shared" si="13"/>
        <v>61</v>
      </c>
      <c r="L35" s="17">
        <f t="shared" si="13"/>
        <v>92</v>
      </c>
      <c r="M35" s="17">
        <f t="shared" si="13"/>
        <v>122</v>
      </c>
      <c r="N35" s="17">
        <f t="shared" si="13"/>
        <v>153</v>
      </c>
      <c r="O35" s="17">
        <f t="shared" si="13"/>
        <v>184</v>
      </c>
      <c r="P35" s="17">
        <f t="shared" si="13"/>
        <v>213</v>
      </c>
      <c r="Q35" s="17">
        <f t="shared" si="13"/>
        <v>244</v>
      </c>
      <c r="R35" s="17">
        <f t="shared" si="13"/>
        <v>274</v>
      </c>
      <c r="S35" s="17">
        <f t="shared" si="13"/>
        <v>305</v>
      </c>
      <c r="T35" s="17">
        <f t="shared" si="13"/>
        <v>335</v>
      </c>
      <c r="U35" s="17">
        <f t="shared" si="13"/>
        <v>366</v>
      </c>
      <c r="V35" s="17">
        <f t="shared" si="13"/>
        <v>397</v>
      </c>
      <c r="W35" s="17">
        <f t="shared" si="13"/>
        <v>427</v>
      </c>
      <c r="X35" s="17">
        <f t="shared" si="13"/>
        <v>458</v>
      </c>
      <c r="Y35" s="17">
        <f t="shared" si="13"/>
        <v>488</v>
      </c>
      <c r="Z35" s="17">
        <f t="shared" si="13"/>
        <v>519</v>
      </c>
      <c r="AA35" s="17">
        <f t="shared" si="13"/>
        <v>550</v>
      </c>
      <c r="AB35" s="17">
        <f t="shared" si="13"/>
        <v>578</v>
      </c>
      <c r="AC35" s="17">
        <f t="shared" si="13"/>
        <v>609</v>
      </c>
      <c r="AD35" s="17">
        <f t="shared" si="13"/>
        <v>639</v>
      </c>
      <c r="AE35" s="17">
        <f t="shared" si="13"/>
        <v>670</v>
      </c>
      <c r="AF35" s="17">
        <f t="shared" si="13"/>
        <v>700</v>
      </c>
      <c r="AG35" s="17">
        <f t="shared" si="13"/>
        <v>731</v>
      </c>
      <c r="AH35" s="17">
        <f t="shared" si="13"/>
        <v>762</v>
      </c>
      <c r="AI35" s="17">
        <f t="shared" si="13"/>
        <v>792</v>
      </c>
      <c r="AJ35" s="17">
        <f t="shared" si="13"/>
        <v>823</v>
      </c>
      <c r="AK35" s="17">
        <f t="shared" si="13"/>
        <v>853</v>
      </c>
      <c r="AL35" s="17">
        <f t="shared" si="13"/>
        <v>884</v>
      </c>
      <c r="AM35" s="17">
        <f t="shared" si="13"/>
        <v>915</v>
      </c>
      <c r="AN35" s="17">
        <f t="shared" si="13"/>
        <v>943</v>
      </c>
      <c r="AO35" s="17">
        <f t="shared" si="13"/>
        <v>974</v>
      </c>
      <c r="AP35" s="17">
        <f t="shared" si="13"/>
        <v>1004</v>
      </c>
      <c r="AQ35" s="17">
        <f t="shared" si="13"/>
        <v>1035</v>
      </c>
      <c r="AR35" s="17">
        <f t="shared" si="13"/>
        <v>1065</v>
      </c>
      <c r="AS35" s="17">
        <f t="shared" si="13"/>
        <v>1096</v>
      </c>
    </row>
    <row r="36" spans="2:45" outlineLevel="1" collapsed="1" x14ac:dyDescent="0.15"/>
    <row r="37" spans="2:45" outlineLevel="1" x14ac:dyDescent="0.15">
      <c r="B37" s="16" t="str">
        <f>OBS!B8</f>
        <v>Trade Debtors</v>
      </c>
    </row>
    <row r="38" spans="2:45" outlineLevel="1" x14ac:dyDescent="0.15">
      <c r="B38" s="107" t="s">
        <v>375</v>
      </c>
      <c r="J38" s="14">
        <f>IF(J$8=1,OBS!J8,I54)</f>
        <v>35</v>
      </c>
      <c r="K38" s="14">
        <f>IF(K$8=1,OBS!K8,J54)</f>
        <v>0</v>
      </c>
      <c r="L38" s="14">
        <f>IF(L$8=1,OBS!L8,K54)</f>
        <v>0</v>
      </c>
      <c r="M38" s="14">
        <f>IF(M$8=1,OBS!M8,L54)</f>
        <v>0</v>
      </c>
      <c r="N38" s="14">
        <f>IF(N$8=1,OBS!N8,M54)</f>
        <v>0</v>
      </c>
      <c r="O38" s="14">
        <f>IF(O$8=1,OBS!O8,N54)</f>
        <v>0</v>
      </c>
      <c r="P38" s="14">
        <f>IF(P$8=1,OBS!P8,O54)</f>
        <v>0</v>
      </c>
      <c r="Q38" s="14">
        <f>IF(Q$8=1,OBS!Q8,P54)</f>
        <v>0</v>
      </c>
      <c r="R38" s="14">
        <f>IF(R$8=1,OBS!R8,Q54)</f>
        <v>0</v>
      </c>
      <c r="S38" s="14">
        <f>IF(S$8=1,OBS!S8,R54)</f>
        <v>0</v>
      </c>
      <c r="T38" s="14">
        <f>IF(T$8=1,OBS!T8,S54)</f>
        <v>0</v>
      </c>
      <c r="U38" s="14">
        <f>IF(U$8=1,OBS!U8,T54)</f>
        <v>0</v>
      </c>
      <c r="V38" s="14">
        <f>IF(V$8=1,OBS!V8,U54)</f>
        <v>0</v>
      </c>
      <c r="W38" s="14">
        <f>IF(W$8=1,OBS!W8,V54)</f>
        <v>0</v>
      </c>
      <c r="X38" s="14">
        <f>IF(X$8=1,OBS!X8,W54)</f>
        <v>0</v>
      </c>
      <c r="Y38" s="14">
        <f>IF(Y$8=1,OBS!Y8,X54)</f>
        <v>0</v>
      </c>
      <c r="Z38" s="14">
        <f>IF(Z$8=1,OBS!Z8,Y54)</f>
        <v>0</v>
      </c>
      <c r="AA38" s="14">
        <f>IF(AA$8=1,OBS!AA8,Z54)</f>
        <v>0</v>
      </c>
      <c r="AB38" s="14">
        <f>IF(AB$8=1,OBS!AB8,AA54)</f>
        <v>0</v>
      </c>
      <c r="AC38" s="14">
        <f>IF(AC$8=1,OBS!AC8,AB54)</f>
        <v>0</v>
      </c>
      <c r="AD38" s="14">
        <f>IF(AD$8=1,OBS!AD8,AC54)</f>
        <v>0</v>
      </c>
      <c r="AE38" s="14">
        <f>IF(AE$8=1,OBS!AE8,AD54)</f>
        <v>0</v>
      </c>
      <c r="AF38" s="14">
        <f>IF(AF$8=1,OBS!AF8,AE54)</f>
        <v>0</v>
      </c>
      <c r="AG38" s="14">
        <f>IF(AG$8=1,OBS!AG8,AF54)</f>
        <v>0</v>
      </c>
      <c r="AH38" s="14">
        <f>IF(AH$8=1,OBS!AH8,AG54)</f>
        <v>0</v>
      </c>
      <c r="AI38" s="14">
        <f>IF(AI$8=1,OBS!AI8,AH54)</f>
        <v>0</v>
      </c>
      <c r="AJ38" s="14">
        <f>IF(AJ$8=1,OBS!AJ8,AI54)</f>
        <v>0</v>
      </c>
      <c r="AK38" s="14">
        <f>IF(AK$8=1,OBS!AK8,AJ54)</f>
        <v>0</v>
      </c>
      <c r="AL38" s="14">
        <f>IF(AL$8=1,OBS!AL8,AK54)</f>
        <v>0</v>
      </c>
      <c r="AM38" s="14">
        <f>IF(AM$8=1,OBS!AM8,AL54)</f>
        <v>0</v>
      </c>
      <c r="AN38" s="14">
        <f>IF(AN$8=1,OBS!AN8,AM54)</f>
        <v>0</v>
      </c>
      <c r="AO38" s="14">
        <f>IF(AO$8=1,OBS!AO8,AN54)</f>
        <v>0</v>
      </c>
      <c r="AP38" s="14">
        <f>IF(AP$8=1,OBS!AP8,AO54)</f>
        <v>0</v>
      </c>
      <c r="AQ38" s="14">
        <f>IF(AQ$8=1,OBS!AQ8,AP54)</f>
        <v>0</v>
      </c>
      <c r="AR38" s="14">
        <f>IF(AR$8=1,OBS!AR8,AQ54)</f>
        <v>0</v>
      </c>
      <c r="AS38" s="14">
        <f>IF(AS$8=1,OBS!AS8,AR54)</f>
        <v>0</v>
      </c>
    </row>
    <row r="39" spans="2:45" outlineLevel="1" x14ac:dyDescent="0.15">
      <c r="B39" s="107" t="s">
        <v>64</v>
      </c>
      <c r="J39" s="14">
        <f>SUMIF($H$22:$H$28,ROWS(Lookups!$D117:$D$117)+1,J$22:J$28)</f>
        <v>0</v>
      </c>
      <c r="K39" s="14">
        <f>SUMIF($H$22:$H$28,ROWS(Lookups!$D117:$D$117)+1,K$22:K$28)</f>
        <v>0</v>
      </c>
      <c r="L39" s="14">
        <f>SUMIF($H$22:$H$28,ROWS(Lookups!$D117:$D$117)+1,L$22:L$28)</f>
        <v>0</v>
      </c>
      <c r="M39" s="14">
        <f>SUMIF($H$22:$H$28,ROWS(Lookups!$D117:$D$117)+1,M$22:M$28)</f>
        <v>0</v>
      </c>
      <c r="N39" s="14">
        <f>SUMIF($H$22:$H$28,ROWS(Lookups!$D117:$D$117)+1,N$22:N$28)</f>
        <v>0</v>
      </c>
      <c r="O39" s="14">
        <f>SUMIF($H$22:$H$28,ROWS(Lookups!$D117:$D$117)+1,O$22:O$28)</f>
        <v>0</v>
      </c>
      <c r="P39" s="14">
        <f>SUMIF($H$22:$H$28,ROWS(Lookups!$D117:$D$117)+1,P$22:P$28)</f>
        <v>0</v>
      </c>
      <c r="Q39" s="14">
        <f>SUMIF($H$22:$H$28,ROWS(Lookups!$D117:$D$117)+1,Q$22:Q$28)</f>
        <v>0</v>
      </c>
      <c r="R39" s="14">
        <f>SUMIF($H$22:$H$28,ROWS(Lookups!$D117:$D$117)+1,R$22:R$28)</f>
        <v>0</v>
      </c>
      <c r="S39" s="14">
        <f>SUMIF($H$22:$H$28,ROWS(Lookups!$D117:$D$117)+1,S$22:S$28)</f>
        <v>0</v>
      </c>
      <c r="T39" s="14">
        <f>SUMIF($H$22:$H$28,ROWS(Lookups!$D117:$D$117)+1,T$22:T$28)</f>
        <v>0</v>
      </c>
      <c r="U39" s="14">
        <f>SUMIF($H$22:$H$28,ROWS(Lookups!$D117:$D$117)+1,U$22:U$28)</f>
        <v>0</v>
      </c>
      <c r="V39" s="14">
        <f>SUMIF($H$22:$H$28,ROWS(Lookups!$D117:$D$117)+1,V$22:V$28)</f>
        <v>0</v>
      </c>
      <c r="W39" s="14">
        <f>SUMIF($H$22:$H$28,ROWS(Lookups!$D117:$D$117)+1,W$22:W$28)</f>
        <v>0</v>
      </c>
      <c r="X39" s="14">
        <f>SUMIF($H$22:$H$28,ROWS(Lookups!$D117:$D$117)+1,X$22:X$28)</f>
        <v>0</v>
      </c>
      <c r="Y39" s="14">
        <f>SUMIF($H$22:$H$28,ROWS(Lookups!$D117:$D$117)+1,Y$22:Y$28)</f>
        <v>0</v>
      </c>
      <c r="Z39" s="14">
        <f>SUMIF($H$22:$H$28,ROWS(Lookups!$D117:$D$117)+1,Z$22:Z$28)</f>
        <v>0</v>
      </c>
      <c r="AA39" s="14">
        <f>SUMIF($H$22:$H$28,ROWS(Lookups!$D117:$D$117)+1,AA$22:AA$28)</f>
        <v>0</v>
      </c>
      <c r="AB39" s="14">
        <f>SUMIF($H$22:$H$28,ROWS(Lookups!$D117:$D$117)+1,AB$22:AB$28)</f>
        <v>0</v>
      </c>
      <c r="AC39" s="14">
        <f>SUMIF($H$22:$H$28,ROWS(Lookups!$D117:$D$117)+1,AC$22:AC$28)</f>
        <v>0</v>
      </c>
      <c r="AD39" s="14">
        <f>SUMIF($H$22:$H$28,ROWS(Lookups!$D117:$D$117)+1,AD$22:AD$28)</f>
        <v>0</v>
      </c>
      <c r="AE39" s="14">
        <f>SUMIF($H$22:$H$28,ROWS(Lookups!$D117:$D$117)+1,AE$22:AE$28)</f>
        <v>0</v>
      </c>
      <c r="AF39" s="14">
        <f>SUMIF($H$22:$H$28,ROWS(Lookups!$D117:$D$117)+1,AF$22:AF$28)</f>
        <v>0</v>
      </c>
      <c r="AG39" s="14">
        <f>SUMIF($H$22:$H$28,ROWS(Lookups!$D117:$D$117)+1,AG$22:AG$28)</f>
        <v>0</v>
      </c>
      <c r="AH39" s="14">
        <f>SUMIF($H$22:$H$28,ROWS(Lookups!$D117:$D$117)+1,AH$22:AH$28)</f>
        <v>0</v>
      </c>
      <c r="AI39" s="14">
        <f>SUMIF($H$22:$H$28,ROWS(Lookups!$D117:$D$117)+1,AI$22:AI$28)</f>
        <v>0</v>
      </c>
      <c r="AJ39" s="14">
        <f>SUMIF($H$22:$H$28,ROWS(Lookups!$D117:$D$117)+1,AJ$22:AJ$28)</f>
        <v>0</v>
      </c>
      <c r="AK39" s="14">
        <f>SUMIF($H$22:$H$28,ROWS(Lookups!$D117:$D$117)+1,AK$22:AK$28)</f>
        <v>0</v>
      </c>
      <c r="AL39" s="14">
        <f>SUMIF($H$22:$H$28,ROWS(Lookups!$D117:$D$117)+1,AL$22:AL$28)</f>
        <v>0</v>
      </c>
      <c r="AM39" s="14">
        <f>SUMIF($H$22:$H$28,ROWS(Lookups!$D117:$D$117)+1,AM$22:AM$28)</f>
        <v>0</v>
      </c>
      <c r="AN39" s="14">
        <f>SUMIF($H$22:$H$28,ROWS(Lookups!$D117:$D$117)+1,AN$22:AN$28)</f>
        <v>0</v>
      </c>
      <c r="AO39" s="14">
        <f>SUMIF($H$22:$H$28,ROWS(Lookups!$D117:$D$117)+1,AO$22:AO$28)</f>
        <v>0</v>
      </c>
      <c r="AP39" s="14">
        <f>SUMIF($H$22:$H$28,ROWS(Lookups!$D117:$D$117)+1,AP$22:AP$28)</f>
        <v>0</v>
      </c>
      <c r="AQ39" s="14">
        <f>SUMIF($H$22:$H$28,ROWS(Lookups!$D117:$D$117)+1,AQ$22:AQ$28)</f>
        <v>0</v>
      </c>
      <c r="AR39" s="14">
        <f>SUMIF($H$22:$H$28,ROWS(Lookups!$D117:$D$117)+1,AR$22:AR$28)</f>
        <v>0</v>
      </c>
      <c r="AS39" s="14">
        <f>SUMIF($H$22:$H$28,ROWS(Lookups!$D117:$D$117)+1,AS$22:AS$28)</f>
        <v>0</v>
      </c>
    </row>
    <row r="40" spans="2:45" hidden="1" outlineLevel="2" x14ac:dyDescent="0.15">
      <c r="F40" s="107" t="s">
        <v>376</v>
      </c>
      <c r="J40" s="40">
        <f t="shared" ref="J40:AS40" si="14">IF($I56=0,0,(MIN($I56,J$35)-MIN($I56,J$34))/$I56)</f>
        <v>1</v>
      </c>
      <c r="K40" s="40">
        <f t="shared" si="14"/>
        <v>0</v>
      </c>
      <c r="L40" s="40">
        <f t="shared" si="14"/>
        <v>0</v>
      </c>
      <c r="M40" s="40">
        <f t="shared" si="14"/>
        <v>0</v>
      </c>
      <c r="N40" s="40">
        <f t="shared" si="14"/>
        <v>0</v>
      </c>
      <c r="O40" s="40">
        <f t="shared" si="14"/>
        <v>0</v>
      </c>
      <c r="P40" s="40">
        <f t="shared" si="14"/>
        <v>0</v>
      </c>
      <c r="Q40" s="40">
        <f t="shared" si="14"/>
        <v>0</v>
      </c>
      <c r="R40" s="40">
        <f t="shared" si="14"/>
        <v>0</v>
      </c>
      <c r="S40" s="40">
        <f t="shared" si="14"/>
        <v>0</v>
      </c>
      <c r="T40" s="40">
        <f t="shared" si="14"/>
        <v>0</v>
      </c>
      <c r="U40" s="40">
        <f t="shared" si="14"/>
        <v>0</v>
      </c>
      <c r="V40" s="40">
        <f t="shared" si="14"/>
        <v>0</v>
      </c>
      <c r="W40" s="40">
        <f t="shared" si="14"/>
        <v>0</v>
      </c>
      <c r="X40" s="40">
        <f t="shared" si="14"/>
        <v>0</v>
      </c>
      <c r="Y40" s="40">
        <f t="shared" si="14"/>
        <v>0</v>
      </c>
      <c r="Z40" s="40">
        <f t="shared" si="14"/>
        <v>0</v>
      </c>
      <c r="AA40" s="40">
        <f t="shared" si="14"/>
        <v>0</v>
      </c>
      <c r="AB40" s="40">
        <f t="shared" si="14"/>
        <v>0</v>
      </c>
      <c r="AC40" s="40">
        <f t="shared" si="14"/>
        <v>0</v>
      </c>
      <c r="AD40" s="40">
        <f t="shared" si="14"/>
        <v>0</v>
      </c>
      <c r="AE40" s="40">
        <f t="shared" si="14"/>
        <v>0</v>
      </c>
      <c r="AF40" s="40">
        <f t="shared" si="14"/>
        <v>0</v>
      </c>
      <c r="AG40" s="40">
        <f t="shared" si="14"/>
        <v>0</v>
      </c>
      <c r="AH40" s="40">
        <f t="shared" si="14"/>
        <v>0</v>
      </c>
      <c r="AI40" s="40">
        <f t="shared" si="14"/>
        <v>0</v>
      </c>
      <c r="AJ40" s="40">
        <f t="shared" si="14"/>
        <v>0</v>
      </c>
      <c r="AK40" s="40">
        <f t="shared" si="14"/>
        <v>0</v>
      </c>
      <c r="AL40" s="40">
        <f t="shared" si="14"/>
        <v>0</v>
      </c>
      <c r="AM40" s="40">
        <f t="shared" si="14"/>
        <v>0</v>
      </c>
      <c r="AN40" s="40">
        <f t="shared" si="14"/>
        <v>0</v>
      </c>
      <c r="AO40" s="40">
        <f t="shared" si="14"/>
        <v>0</v>
      </c>
      <c r="AP40" s="40">
        <f t="shared" si="14"/>
        <v>0</v>
      </c>
      <c r="AQ40" s="40">
        <f t="shared" si="14"/>
        <v>0</v>
      </c>
      <c r="AR40" s="40">
        <f t="shared" si="14"/>
        <v>0</v>
      </c>
      <c r="AS40" s="40">
        <f t="shared" si="14"/>
        <v>0</v>
      </c>
    </row>
    <row r="41" spans="2:45" hidden="1" outlineLevel="2" x14ac:dyDescent="0.15">
      <c r="C41" s="107" t="s">
        <v>377</v>
      </c>
      <c r="J41" s="24">
        <f t="shared" ref="J41:AS41" si="15">-$J38*J40</f>
        <v>-35</v>
      </c>
      <c r="K41" s="24">
        <f t="shared" si="15"/>
        <v>0</v>
      </c>
      <c r="L41" s="24">
        <f t="shared" si="15"/>
        <v>0</v>
      </c>
      <c r="M41" s="24">
        <f t="shared" si="15"/>
        <v>0</v>
      </c>
      <c r="N41" s="24">
        <f t="shared" si="15"/>
        <v>0</v>
      </c>
      <c r="O41" s="24">
        <f t="shared" si="15"/>
        <v>0</v>
      </c>
      <c r="P41" s="24">
        <f t="shared" si="15"/>
        <v>0</v>
      </c>
      <c r="Q41" s="24">
        <f t="shared" si="15"/>
        <v>0</v>
      </c>
      <c r="R41" s="24">
        <f t="shared" si="15"/>
        <v>0</v>
      </c>
      <c r="S41" s="24">
        <f t="shared" si="15"/>
        <v>0</v>
      </c>
      <c r="T41" s="24">
        <f t="shared" si="15"/>
        <v>0</v>
      </c>
      <c r="U41" s="24">
        <f t="shared" si="15"/>
        <v>0</v>
      </c>
      <c r="V41" s="24">
        <f t="shared" si="15"/>
        <v>0</v>
      </c>
      <c r="W41" s="24">
        <f t="shared" si="15"/>
        <v>0</v>
      </c>
      <c r="X41" s="24">
        <f t="shared" si="15"/>
        <v>0</v>
      </c>
      <c r="Y41" s="24">
        <f t="shared" si="15"/>
        <v>0</v>
      </c>
      <c r="Z41" s="24">
        <f t="shared" si="15"/>
        <v>0</v>
      </c>
      <c r="AA41" s="24">
        <f t="shared" si="15"/>
        <v>0</v>
      </c>
      <c r="AB41" s="24">
        <f t="shared" si="15"/>
        <v>0</v>
      </c>
      <c r="AC41" s="24">
        <f t="shared" si="15"/>
        <v>0</v>
      </c>
      <c r="AD41" s="24">
        <f t="shared" si="15"/>
        <v>0</v>
      </c>
      <c r="AE41" s="24">
        <f t="shared" si="15"/>
        <v>0</v>
      </c>
      <c r="AF41" s="24">
        <f t="shared" si="15"/>
        <v>0</v>
      </c>
      <c r="AG41" s="24">
        <f t="shared" si="15"/>
        <v>0</v>
      </c>
      <c r="AH41" s="24">
        <f t="shared" si="15"/>
        <v>0</v>
      </c>
      <c r="AI41" s="24">
        <f t="shared" si="15"/>
        <v>0</v>
      </c>
      <c r="AJ41" s="24">
        <f t="shared" si="15"/>
        <v>0</v>
      </c>
      <c r="AK41" s="24">
        <f t="shared" si="15"/>
        <v>0</v>
      </c>
      <c r="AL41" s="24">
        <f t="shared" si="15"/>
        <v>0</v>
      </c>
      <c r="AM41" s="24">
        <f t="shared" si="15"/>
        <v>0</v>
      </c>
      <c r="AN41" s="24">
        <f t="shared" si="15"/>
        <v>0</v>
      </c>
      <c r="AO41" s="24">
        <f t="shared" si="15"/>
        <v>0</v>
      </c>
      <c r="AP41" s="24">
        <f t="shared" si="15"/>
        <v>0</v>
      </c>
      <c r="AQ41" s="24">
        <f t="shared" si="15"/>
        <v>0</v>
      </c>
      <c r="AR41" s="24">
        <f t="shared" si="15"/>
        <v>0</v>
      </c>
      <c r="AS41" s="24">
        <f t="shared" si="15"/>
        <v>0</v>
      </c>
    </row>
    <row r="42" spans="2:45" hidden="1" outlineLevel="2" x14ac:dyDescent="0.15">
      <c r="F42" s="107" t="str">
        <f>B56</f>
        <v>Cash Receipt Delay (Days)</v>
      </c>
      <c r="J42" s="17">
        <f t="shared" ref="J42:AS42" si="16">J56</f>
        <v>30</v>
      </c>
      <c r="K42" s="17">
        <f t="shared" si="16"/>
        <v>30</v>
      </c>
      <c r="L42" s="17">
        <f t="shared" si="16"/>
        <v>30</v>
      </c>
      <c r="M42" s="17">
        <f t="shared" si="16"/>
        <v>30</v>
      </c>
      <c r="N42" s="17">
        <f t="shared" si="16"/>
        <v>30</v>
      </c>
      <c r="O42" s="17">
        <f t="shared" si="16"/>
        <v>30</v>
      </c>
      <c r="P42" s="17">
        <f t="shared" si="16"/>
        <v>30</v>
      </c>
      <c r="Q42" s="17">
        <f t="shared" si="16"/>
        <v>30</v>
      </c>
      <c r="R42" s="17">
        <f t="shared" si="16"/>
        <v>30</v>
      </c>
      <c r="S42" s="17">
        <f t="shared" si="16"/>
        <v>30</v>
      </c>
      <c r="T42" s="17">
        <f t="shared" si="16"/>
        <v>30</v>
      </c>
      <c r="U42" s="17">
        <f t="shared" si="16"/>
        <v>30</v>
      </c>
      <c r="V42" s="17">
        <f t="shared" si="16"/>
        <v>30</v>
      </c>
      <c r="W42" s="17">
        <f t="shared" si="16"/>
        <v>30</v>
      </c>
      <c r="X42" s="17">
        <f t="shared" si="16"/>
        <v>30</v>
      </c>
      <c r="Y42" s="17">
        <f t="shared" si="16"/>
        <v>30</v>
      </c>
      <c r="Z42" s="17">
        <f t="shared" si="16"/>
        <v>30</v>
      </c>
      <c r="AA42" s="17">
        <f t="shared" si="16"/>
        <v>30</v>
      </c>
      <c r="AB42" s="17">
        <f t="shared" si="16"/>
        <v>30</v>
      </c>
      <c r="AC42" s="17">
        <f t="shared" si="16"/>
        <v>30</v>
      </c>
      <c r="AD42" s="17">
        <f t="shared" si="16"/>
        <v>30</v>
      </c>
      <c r="AE42" s="17">
        <f t="shared" si="16"/>
        <v>30</v>
      </c>
      <c r="AF42" s="17">
        <f t="shared" si="16"/>
        <v>30</v>
      </c>
      <c r="AG42" s="17">
        <f t="shared" si="16"/>
        <v>30</v>
      </c>
      <c r="AH42" s="17">
        <f t="shared" si="16"/>
        <v>30</v>
      </c>
      <c r="AI42" s="17">
        <f t="shared" si="16"/>
        <v>30</v>
      </c>
      <c r="AJ42" s="17">
        <f t="shared" si="16"/>
        <v>30</v>
      </c>
      <c r="AK42" s="17">
        <f t="shared" si="16"/>
        <v>30</v>
      </c>
      <c r="AL42" s="17">
        <f t="shared" si="16"/>
        <v>30</v>
      </c>
      <c r="AM42" s="17">
        <f t="shared" si="16"/>
        <v>30</v>
      </c>
      <c r="AN42" s="17">
        <f t="shared" si="16"/>
        <v>30</v>
      </c>
      <c r="AO42" s="17">
        <f t="shared" si="16"/>
        <v>30</v>
      </c>
      <c r="AP42" s="17">
        <f t="shared" si="16"/>
        <v>30</v>
      </c>
      <c r="AQ42" s="17">
        <f t="shared" si="16"/>
        <v>30</v>
      </c>
      <c r="AR42" s="17">
        <f t="shared" si="16"/>
        <v>30</v>
      </c>
      <c r="AS42" s="17">
        <f t="shared" si="16"/>
        <v>30</v>
      </c>
    </row>
    <row r="43" spans="2:45" hidden="1" outlineLevel="2" x14ac:dyDescent="0.15">
      <c r="F43" s="107" t="s">
        <v>378</v>
      </c>
      <c r="J43" s="17">
        <f t="shared" ref="J43:AS43" si="17">J$34+J42</f>
        <v>30</v>
      </c>
      <c r="K43" s="17">
        <f t="shared" si="17"/>
        <v>61</v>
      </c>
      <c r="L43" s="17">
        <f t="shared" si="17"/>
        <v>91</v>
      </c>
      <c r="M43" s="17">
        <f t="shared" si="17"/>
        <v>122</v>
      </c>
      <c r="N43" s="17">
        <f t="shared" si="17"/>
        <v>152</v>
      </c>
      <c r="O43" s="17">
        <f t="shared" si="17"/>
        <v>183</v>
      </c>
      <c r="P43" s="17">
        <f t="shared" si="17"/>
        <v>214</v>
      </c>
      <c r="Q43" s="17">
        <f t="shared" si="17"/>
        <v>243</v>
      </c>
      <c r="R43" s="17">
        <f t="shared" si="17"/>
        <v>274</v>
      </c>
      <c r="S43" s="17">
        <f t="shared" si="17"/>
        <v>304</v>
      </c>
      <c r="T43" s="17">
        <f t="shared" si="17"/>
        <v>335</v>
      </c>
      <c r="U43" s="17">
        <f t="shared" si="17"/>
        <v>365</v>
      </c>
      <c r="V43" s="17">
        <f t="shared" si="17"/>
        <v>396</v>
      </c>
      <c r="W43" s="17">
        <f t="shared" si="17"/>
        <v>427</v>
      </c>
      <c r="X43" s="17">
        <f t="shared" si="17"/>
        <v>457</v>
      </c>
      <c r="Y43" s="17">
        <f t="shared" si="17"/>
        <v>488</v>
      </c>
      <c r="Z43" s="17">
        <f t="shared" si="17"/>
        <v>518</v>
      </c>
      <c r="AA43" s="17">
        <f t="shared" si="17"/>
        <v>549</v>
      </c>
      <c r="AB43" s="17">
        <f t="shared" si="17"/>
        <v>580</v>
      </c>
      <c r="AC43" s="17">
        <f t="shared" si="17"/>
        <v>608</v>
      </c>
      <c r="AD43" s="17">
        <f t="shared" si="17"/>
        <v>639</v>
      </c>
      <c r="AE43" s="17">
        <f t="shared" si="17"/>
        <v>669</v>
      </c>
      <c r="AF43" s="17">
        <f t="shared" si="17"/>
        <v>700</v>
      </c>
      <c r="AG43" s="17">
        <f t="shared" si="17"/>
        <v>730</v>
      </c>
      <c r="AH43" s="17">
        <f t="shared" si="17"/>
        <v>761</v>
      </c>
      <c r="AI43" s="17">
        <f t="shared" si="17"/>
        <v>792</v>
      </c>
      <c r="AJ43" s="17">
        <f t="shared" si="17"/>
        <v>822</v>
      </c>
      <c r="AK43" s="17">
        <f t="shared" si="17"/>
        <v>853</v>
      </c>
      <c r="AL43" s="17">
        <f t="shared" si="17"/>
        <v>883</v>
      </c>
      <c r="AM43" s="17">
        <f t="shared" si="17"/>
        <v>914</v>
      </c>
      <c r="AN43" s="17">
        <f t="shared" si="17"/>
        <v>945</v>
      </c>
      <c r="AO43" s="17">
        <f t="shared" si="17"/>
        <v>973</v>
      </c>
      <c r="AP43" s="17">
        <f t="shared" si="17"/>
        <v>1004</v>
      </c>
      <c r="AQ43" s="17">
        <f t="shared" si="17"/>
        <v>1034</v>
      </c>
      <c r="AR43" s="17">
        <f t="shared" si="17"/>
        <v>1065</v>
      </c>
      <c r="AS43" s="17">
        <f t="shared" si="17"/>
        <v>1095</v>
      </c>
    </row>
    <row r="44" spans="2:45" hidden="1" outlineLevel="2" x14ac:dyDescent="0.15">
      <c r="F44" s="107" t="s">
        <v>379</v>
      </c>
      <c r="J44" s="17">
        <f t="shared" ref="J44:AS44" si="18">J43+J$33</f>
        <v>61</v>
      </c>
      <c r="K44" s="17">
        <f t="shared" si="18"/>
        <v>91</v>
      </c>
      <c r="L44" s="17">
        <f t="shared" si="18"/>
        <v>122</v>
      </c>
      <c r="M44" s="17">
        <f t="shared" si="18"/>
        <v>152</v>
      </c>
      <c r="N44" s="17">
        <f t="shared" si="18"/>
        <v>183</v>
      </c>
      <c r="O44" s="17">
        <f t="shared" si="18"/>
        <v>214</v>
      </c>
      <c r="P44" s="17">
        <f t="shared" si="18"/>
        <v>243</v>
      </c>
      <c r="Q44" s="17">
        <f t="shared" si="18"/>
        <v>274</v>
      </c>
      <c r="R44" s="17">
        <f t="shared" si="18"/>
        <v>304</v>
      </c>
      <c r="S44" s="17">
        <f t="shared" si="18"/>
        <v>335</v>
      </c>
      <c r="T44" s="17">
        <f t="shared" si="18"/>
        <v>365</v>
      </c>
      <c r="U44" s="17">
        <f t="shared" si="18"/>
        <v>396</v>
      </c>
      <c r="V44" s="17">
        <f t="shared" si="18"/>
        <v>427</v>
      </c>
      <c r="W44" s="17">
        <f t="shared" si="18"/>
        <v>457</v>
      </c>
      <c r="X44" s="17">
        <f t="shared" si="18"/>
        <v>488</v>
      </c>
      <c r="Y44" s="17">
        <f t="shared" si="18"/>
        <v>518</v>
      </c>
      <c r="Z44" s="17">
        <f t="shared" si="18"/>
        <v>549</v>
      </c>
      <c r="AA44" s="17">
        <f t="shared" si="18"/>
        <v>580</v>
      </c>
      <c r="AB44" s="17">
        <f t="shared" si="18"/>
        <v>608</v>
      </c>
      <c r="AC44" s="17">
        <f t="shared" si="18"/>
        <v>639</v>
      </c>
      <c r="AD44" s="17">
        <f t="shared" si="18"/>
        <v>669</v>
      </c>
      <c r="AE44" s="17">
        <f t="shared" si="18"/>
        <v>700</v>
      </c>
      <c r="AF44" s="17">
        <f t="shared" si="18"/>
        <v>730</v>
      </c>
      <c r="AG44" s="17">
        <f t="shared" si="18"/>
        <v>761</v>
      </c>
      <c r="AH44" s="17">
        <f t="shared" si="18"/>
        <v>792</v>
      </c>
      <c r="AI44" s="17">
        <f t="shared" si="18"/>
        <v>822</v>
      </c>
      <c r="AJ44" s="17">
        <f t="shared" si="18"/>
        <v>853</v>
      </c>
      <c r="AK44" s="17">
        <f t="shared" si="18"/>
        <v>883</v>
      </c>
      <c r="AL44" s="17">
        <f t="shared" si="18"/>
        <v>914</v>
      </c>
      <c r="AM44" s="17">
        <f t="shared" si="18"/>
        <v>945</v>
      </c>
      <c r="AN44" s="17">
        <f t="shared" si="18"/>
        <v>973</v>
      </c>
      <c r="AO44" s="17">
        <f t="shared" si="18"/>
        <v>1004</v>
      </c>
      <c r="AP44" s="17">
        <f t="shared" si="18"/>
        <v>1034</v>
      </c>
      <c r="AQ44" s="17">
        <f t="shared" si="18"/>
        <v>1065</v>
      </c>
      <c r="AR44" s="17">
        <f t="shared" si="18"/>
        <v>1095</v>
      </c>
      <c r="AS44" s="17">
        <f t="shared" si="18"/>
        <v>1126</v>
      </c>
    </row>
    <row r="45" spans="2:45" hidden="1" outlineLevel="2" x14ac:dyDescent="0.15">
      <c r="F45" s="107" t="s">
        <v>380</v>
      </c>
      <c r="J45" s="41">
        <f t="shared" ref="J45:AS45" si="19">IF(J43&gt;MAX($J$35:$AS$35),0,MATCH(J43,$J$34:$AS$34,1))</f>
        <v>1</v>
      </c>
      <c r="K45" s="41">
        <f t="shared" si="19"/>
        <v>3</v>
      </c>
      <c r="L45" s="41">
        <f t="shared" si="19"/>
        <v>3</v>
      </c>
      <c r="M45" s="41">
        <f t="shared" si="19"/>
        <v>5</v>
      </c>
      <c r="N45" s="41">
        <f t="shared" si="19"/>
        <v>5</v>
      </c>
      <c r="O45" s="41">
        <f t="shared" si="19"/>
        <v>6</v>
      </c>
      <c r="P45" s="41">
        <f t="shared" si="19"/>
        <v>8</v>
      </c>
      <c r="Q45" s="41">
        <f t="shared" si="19"/>
        <v>8</v>
      </c>
      <c r="R45" s="41">
        <f t="shared" si="19"/>
        <v>10</v>
      </c>
      <c r="S45" s="41">
        <f t="shared" si="19"/>
        <v>10</v>
      </c>
      <c r="T45" s="41">
        <f t="shared" si="19"/>
        <v>12</v>
      </c>
      <c r="U45" s="41">
        <f t="shared" si="19"/>
        <v>12</v>
      </c>
      <c r="V45" s="41">
        <f t="shared" si="19"/>
        <v>13</v>
      </c>
      <c r="W45" s="41">
        <f t="shared" si="19"/>
        <v>15</v>
      </c>
      <c r="X45" s="41">
        <f t="shared" si="19"/>
        <v>15</v>
      </c>
      <c r="Y45" s="41">
        <f t="shared" si="19"/>
        <v>17</v>
      </c>
      <c r="Z45" s="41">
        <f t="shared" si="19"/>
        <v>17</v>
      </c>
      <c r="AA45" s="41">
        <f t="shared" si="19"/>
        <v>18</v>
      </c>
      <c r="AB45" s="41">
        <f t="shared" si="19"/>
        <v>20</v>
      </c>
      <c r="AC45" s="41">
        <f t="shared" si="19"/>
        <v>20</v>
      </c>
      <c r="AD45" s="41">
        <f t="shared" si="19"/>
        <v>22</v>
      </c>
      <c r="AE45" s="41">
        <f t="shared" si="19"/>
        <v>22</v>
      </c>
      <c r="AF45" s="41">
        <f t="shared" si="19"/>
        <v>24</v>
      </c>
      <c r="AG45" s="41">
        <f t="shared" si="19"/>
        <v>24</v>
      </c>
      <c r="AH45" s="41">
        <f t="shared" si="19"/>
        <v>25</v>
      </c>
      <c r="AI45" s="41">
        <f t="shared" si="19"/>
        <v>27</v>
      </c>
      <c r="AJ45" s="41">
        <f t="shared" si="19"/>
        <v>27</v>
      </c>
      <c r="AK45" s="41">
        <f t="shared" si="19"/>
        <v>29</v>
      </c>
      <c r="AL45" s="41">
        <f t="shared" si="19"/>
        <v>29</v>
      </c>
      <c r="AM45" s="41">
        <f t="shared" si="19"/>
        <v>30</v>
      </c>
      <c r="AN45" s="41">
        <f t="shared" si="19"/>
        <v>32</v>
      </c>
      <c r="AO45" s="41">
        <f t="shared" si="19"/>
        <v>32</v>
      </c>
      <c r="AP45" s="41">
        <f t="shared" si="19"/>
        <v>34</v>
      </c>
      <c r="AQ45" s="41">
        <f t="shared" si="19"/>
        <v>34</v>
      </c>
      <c r="AR45" s="41">
        <f t="shared" si="19"/>
        <v>36</v>
      </c>
      <c r="AS45" s="41">
        <f t="shared" si="19"/>
        <v>36</v>
      </c>
    </row>
    <row r="46" spans="2:45" hidden="1" outlineLevel="2" x14ac:dyDescent="0.15">
      <c r="F46" s="107" t="s">
        <v>381</v>
      </c>
      <c r="J46" s="17">
        <f t="shared" ref="J46:AS46" si="20">IF(J45&lt;1,0,IF(J45&gt;=COLUMNS($J45:$AS45),0,J45+1))</f>
        <v>2</v>
      </c>
      <c r="K46" s="17">
        <f t="shared" si="20"/>
        <v>4</v>
      </c>
      <c r="L46" s="17">
        <f t="shared" si="20"/>
        <v>4</v>
      </c>
      <c r="M46" s="17">
        <f t="shared" si="20"/>
        <v>6</v>
      </c>
      <c r="N46" s="17">
        <f t="shared" si="20"/>
        <v>6</v>
      </c>
      <c r="O46" s="17">
        <f t="shared" si="20"/>
        <v>7</v>
      </c>
      <c r="P46" s="17">
        <f t="shared" si="20"/>
        <v>9</v>
      </c>
      <c r="Q46" s="17">
        <f t="shared" si="20"/>
        <v>9</v>
      </c>
      <c r="R46" s="17">
        <f t="shared" si="20"/>
        <v>11</v>
      </c>
      <c r="S46" s="17">
        <f t="shared" si="20"/>
        <v>11</v>
      </c>
      <c r="T46" s="17">
        <f t="shared" si="20"/>
        <v>13</v>
      </c>
      <c r="U46" s="17">
        <f t="shared" si="20"/>
        <v>13</v>
      </c>
      <c r="V46" s="17">
        <f t="shared" si="20"/>
        <v>14</v>
      </c>
      <c r="W46" s="17">
        <f t="shared" si="20"/>
        <v>16</v>
      </c>
      <c r="X46" s="17">
        <f t="shared" si="20"/>
        <v>16</v>
      </c>
      <c r="Y46" s="17">
        <f t="shared" si="20"/>
        <v>18</v>
      </c>
      <c r="Z46" s="17">
        <f t="shared" si="20"/>
        <v>18</v>
      </c>
      <c r="AA46" s="17">
        <f t="shared" si="20"/>
        <v>19</v>
      </c>
      <c r="AB46" s="17">
        <f t="shared" si="20"/>
        <v>21</v>
      </c>
      <c r="AC46" s="17">
        <f t="shared" si="20"/>
        <v>21</v>
      </c>
      <c r="AD46" s="17">
        <f t="shared" si="20"/>
        <v>23</v>
      </c>
      <c r="AE46" s="17">
        <f t="shared" si="20"/>
        <v>23</v>
      </c>
      <c r="AF46" s="17">
        <f t="shared" si="20"/>
        <v>25</v>
      </c>
      <c r="AG46" s="17">
        <f t="shared" si="20"/>
        <v>25</v>
      </c>
      <c r="AH46" s="17">
        <f t="shared" si="20"/>
        <v>26</v>
      </c>
      <c r="AI46" s="17">
        <f t="shared" si="20"/>
        <v>28</v>
      </c>
      <c r="AJ46" s="17">
        <f t="shared" si="20"/>
        <v>28</v>
      </c>
      <c r="AK46" s="17">
        <f t="shared" si="20"/>
        <v>30</v>
      </c>
      <c r="AL46" s="17">
        <f t="shared" si="20"/>
        <v>30</v>
      </c>
      <c r="AM46" s="17">
        <f t="shared" si="20"/>
        <v>31</v>
      </c>
      <c r="AN46" s="17">
        <f t="shared" si="20"/>
        <v>33</v>
      </c>
      <c r="AO46" s="17">
        <f t="shared" si="20"/>
        <v>33</v>
      </c>
      <c r="AP46" s="17">
        <f t="shared" si="20"/>
        <v>35</v>
      </c>
      <c r="AQ46" s="17">
        <f t="shared" si="20"/>
        <v>35</v>
      </c>
      <c r="AR46" s="17">
        <f t="shared" si="20"/>
        <v>0</v>
      </c>
      <c r="AS46" s="17">
        <f t="shared" si="20"/>
        <v>0</v>
      </c>
    </row>
    <row r="47" spans="2:45" hidden="1" outlineLevel="2" x14ac:dyDescent="0.15">
      <c r="F47" s="107" t="s">
        <v>382</v>
      </c>
      <c r="J47" s="42">
        <f t="shared" ref="J47:AS47" si="21">IF(J46&lt;1,0,IF(J46&gt;=COLUMNS($J46:$AS46),0,J46+1))</f>
        <v>3</v>
      </c>
      <c r="K47" s="42">
        <f t="shared" si="21"/>
        <v>5</v>
      </c>
      <c r="L47" s="42">
        <f t="shared" si="21"/>
        <v>5</v>
      </c>
      <c r="M47" s="42">
        <f t="shared" si="21"/>
        <v>7</v>
      </c>
      <c r="N47" s="42">
        <f t="shared" si="21"/>
        <v>7</v>
      </c>
      <c r="O47" s="42">
        <f t="shared" si="21"/>
        <v>8</v>
      </c>
      <c r="P47" s="42">
        <f t="shared" si="21"/>
        <v>10</v>
      </c>
      <c r="Q47" s="42">
        <f t="shared" si="21"/>
        <v>10</v>
      </c>
      <c r="R47" s="42">
        <f t="shared" si="21"/>
        <v>12</v>
      </c>
      <c r="S47" s="42">
        <f t="shared" si="21"/>
        <v>12</v>
      </c>
      <c r="T47" s="42">
        <f t="shared" si="21"/>
        <v>14</v>
      </c>
      <c r="U47" s="42">
        <f t="shared" si="21"/>
        <v>14</v>
      </c>
      <c r="V47" s="42">
        <f t="shared" si="21"/>
        <v>15</v>
      </c>
      <c r="W47" s="42">
        <f t="shared" si="21"/>
        <v>17</v>
      </c>
      <c r="X47" s="42">
        <f t="shared" si="21"/>
        <v>17</v>
      </c>
      <c r="Y47" s="42">
        <f t="shared" si="21"/>
        <v>19</v>
      </c>
      <c r="Z47" s="42">
        <f t="shared" si="21"/>
        <v>19</v>
      </c>
      <c r="AA47" s="42">
        <f t="shared" si="21"/>
        <v>20</v>
      </c>
      <c r="AB47" s="42">
        <f t="shared" si="21"/>
        <v>22</v>
      </c>
      <c r="AC47" s="42">
        <f t="shared" si="21"/>
        <v>22</v>
      </c>
      <c r="AD47" s="42">
        <f t="shared" si="21"/>
        <v>24</v>
      </c>
      <c r="AE47" s="42">
        <f t="shared" si="21"/>
        <v>24</v>
      </c>
      <c r="AF47" s="42">
        <f t="shared" si="21"/>
        <v>26</v>
      </c>
      <c r="AG47" s="42">
        <f t="shared" si="21"/>
        <v>26</v>
      </c>
      <c r="AH47" s="42">
        <f t="shared" si="21"/>
        <v>27</v>
      </c>
      <c r="AI47" s="42">
        <f t="shared" si="21"/>
        <v>29</v>
      </c>
      <c r="AJ47" s="42">
        <f t="shared" si="21"/>
        <v>29</v>
      </c>
      <c r="AK47" s="42">
        <f t="shared" si="21"/>
        <v>31</v>
      </c>
      <c r="AL47" s="42">
        <f t="shared" si="21"/>
        <v>31</v>
      </c>
      <c r="AM47" s="42">
        <f t="shared" si="21"/>
        <v>32</v>
      </c>
      <c r="AN47" s="42">
        <f t="shared" si="21"/>
        <v>34</v>
      </c>
      <c r="AO47" s="42">
        <f t="shared" si="21"/>
        <v>34</v>
      </c>
      <c r="AP47" s="42">
        <f t="shared" si="21"/>
        <v>36</v>
      </c>
      <c r="AQ47" s="42">
        <f t="shared" si="21"/>
        <v>36</v>
      </c>
      <c r="AR47" s="42">
        <f t="shared" si="21"/>
        <v>0</v>
      </c>
      <c r="AS47" s="42">
        <f t="shared" si="21"/>
        <v>0</v>
      </c>
    </row>
    <row r="48" spans="2:45" hidden="1" outlineLevel="2" x14ac:dyDescent="0.15">
      <c r="F48" s="107" t="s">
        <v>383</v>
      </c>
      <c r="J48" s="14">
        <f t="shared" ref="J48:AS48" si="22">J39/J$33*MAX(MIN(INDEX($J$35:$AS$35,J45),J44)-J43,0)</f>
        <v>0</v>
      </c>
      <c r="K48" s="14">
        <f t="shared" si="22"/>
        <v>0</v>
      </c>
      <c r="L48" s="14">
        <f t="shared" si="22"/>
        <v>0</v>
      </c>
      <c r="M48" s="14">
        <f t="shared" si="22"/>
        <v>0</v>
      </c>
      <c r="N48" s="14">
        <f t="shared" si="22"/>
        <v>0</v>
      </c>
      <c r="O48" s="14">
        <f t="shared" si="22"/>
        <v>0</v>
      </c>
      <c r="P48" s="14">
        <f t="shared" si="22"/>
        <v>0</v>
      </c>
      <c r="Q48" s="14">
        <f t="shared" si="22"/>
        <v>0</v>
      </c>
      <c r="R48" s="14">
        <f t="shared" si="22"/>
        <v>0</v>
      </c>
      <c r="S48" s="14">
        <f t="shared" si="22"/>
        <v>0</v>
      </c>
      <c r="T48" s="14">
        <f t="shared" si="22"/>
        <v>0</v>
      </c>
      <c r="U48" s="14">
        <f t="shared" si="22"/>
        <v>0</v>
      </c>
      <c r="V48" s="14">
        <f t="shared" si="22"/>
        <v>0</v>
      </c>
      <c r="W48" s="14">
        <f t="shared" si="22"/>
        <v>0</v>
      </c>
      <c r="X48" s="14">
        <f t="shared" si="22"/>
        <v>0</v>
      </c>
      <c r="Y48" s="14">
        <f t="shared" si="22"/>
        <v>0</v>
      </c>
      <c r="Z48" s="14">
        <f t="shared" si="22"/>
        <v>0</v>
      </c>
      <c r="AA48" s="14">
        <f t="shared" si="22"/>
        <v>0</v>
      </c>
      <c r="AB48" s="14">
        <f t="shared" si="22"/>
        <v>0</v>
      </c>
      <c r="AC48" s="14">
        <f t="shared" si="22"/>
        <v>0</v>
      </c>
      <c r="AD48" s="14">
        <f t="shared" si="22"/>
        <v>0</v>
      </c>
      <c r="AE48" s="14">
        <f t="shared" si="22"/>
        <v>0</v>
      </c>
      <c r="AF48" s="14">
        <f t="shared" si="22"/>
        <v>0</v>
      </c>
      <c r="AG48" s="14">
        <f t="shared" si="22"/>
        <v>0</v>
      </c>
      <c r="AH48" s="14">
        <f t="shared" si="22"/>
        <v>0</v>
      </c>
      <c r="AI48" s="14">
        <f t="shared" si="22"/>
        <v>0</v>
      </c>
      <c r="AJ48" s="14">
        <f t="shared" si="22"/>
        <v>0</v>
      </c>
      <c r="AK48" s="14">
        <f t="shared" si="22"/>
        <v>0</v>
      </c>
      <c r="AL48" s="14">
        <f t="shared" si="22"/>
        <v>0</v>
      </c>
      <c r="AM48" s="14">
        <f t="shared" si="22"/>
        <v>0</v>
      </c>
      <c r="AN48" s="14">
        <f t="shared" si="22"/>
        <v>0</v>
      </c>
      <c r="AO48" s="14">
        <f t="shared" si="22"/>
        <v>0</v>
      </c>
      <c r="AP48" s="14">
        <f t="shared" si="22"/>
        <v>0</v>
      </c>
      <c r="AQ48" s="14">
        <f t="shared" si="22"/>
        <v>0</v>
      </c>
      <c r="AR48" s="14">
        <f t="shared" si="22"/>
        <v>0</v>
      </c>
      <c r="AS48" s="14">
        <f t="shared" si="22"/>
        <v>0</v>
      </c>
    </row>
    <row r="49" spans="2:45" hidden="1" outlineLevel="2" x14ac:dyDescent="0.15">
      <c r="F49" s="107" t="s">
        <v>384</v>
      </c>
      <c r="J49" s="14">
        <f t="shared" ref="J49:AS49" si="23">J39/J$33*MAX(MIN(INDEX($J$35:$AS$35,J46),J44)-INDEX($J$34:$AS$34,J46),0)</f>
        <v>0</v>
      </c>
      <c r="K49" s="14">
        <f t="shared" si="23"/>
        <v>0</v>
      </c>
      <c r="L49" s="14">
        <f t="shared" si="23"/>
        <v>0</v>
      </c>
      <c r="M49" s="14">
        <f t="shared" si="23"/>
        <v>0</v>
      </c>
      <c r="N49" s="14">
        <f t="shared" si="23"/>
        <v>0</v>
      </c>
      <c r="O49" s="14">
        <f t="shared" si="23"/>
        <v>0</v>
      </c>
      <c r="P49" s="14">
        <f t="shared" si="23"/>
        <v>0</v>
      </c>
      <c r="Q49" s="14">
        <f t="shared" si="23"/>
        <v>0</v>
      </c>
      <c r="R49" s="14">
        <f t="shared" si="23"/>
        <v>0</v>
      </c>
      <c r="S49" s="14">
        <f t="shared" si="23"/>
        <v>0</v>
      </c>
      <c r="T49" s="14">
        <f t="shared" si="23"/>
        <v>0</v>
      </c>
      <c r="U49" s="14">
        <f t="shared" si="23"/>
        <v>0</v>
      </c>
      <c r="V49" s="14">
        <f t="shared" si="23"/>
        <v>0</v>
      </c>
      <c r="W49" s="14">
        <f t="shared" si="23"/>
        <v>0</v>
      </c>
      <c r="X49" s="14">
        <f t="shared" si="23"/>
        <v>0</v>
      </c>
      <c r="Y49" s="14">
        <f t="shared" si="23"/>
        <v>0</v>
      </c>
      <c r="Z49" s="14">
        <f t="shared" si="23"/>
        <v>0</v>
      </c>
      <c r="AA49" s="14">
        <f t="shared" si="23"/>
        <v>0</v>
      </c>
      <c r="AB49" s="14">
        <f t="shared" si="23"/>
        <v>0</v>
      </c>
      <c r="AC49" s="14">
        <f t="shared" si="23"/>
        <v>0</v>
      </c>
      <c r="AD49" s="14">
        <f t="shared" si="23"/>
        <v>0</v>
      </c>
      <c r="AE49" s="14">
        <f t="shared" si="23"/>
        <v>0</v>
      </c>
      <c r="AF49" s="14">
        <f t="shared" si="23"/>
        <v>0</v>
      </c>
      <c r="AG49" s="14">
        <f t="shared" si="23"/>
        <v>0</v>
      </c>
      <c r="AH49" s="14">
        <f t="shared" si="23"/>
        <v>0</v>
      </c>
      <c r="AI49" s="14">
        <f t="shared" si="23"/>
        <v>0</v>
      </c>
      <c r="AJ49" s="14">
        <f t="shared" si="23"/>
        <v>0</v>
      </c>
      <c r="AK49" s="14">
        <f t="shared" si="23"/>
        <v>0</v>
      </c>
      <c r="AL49" s="14">
        <f t="shared" si="23"/>
        <v>0</v>
      </c>
      <c r="AM49" s="14">
        <f t="shared" si="23"/>
        <v>0</v>
      </c>
      <c r="AN49" s="14">
        <f t="shared" si="23"/>
        <v>0</v>
      </c>
      <c r="AO49" s="14">
        <f t="shared" si="23"/>
        <v>0</v>
      </c>
      <c r="AP49" s="14">
        <f t="shared" si="23"/>
        <v>0</v>
      </c>
      <c r="AQ49" s="14">
        <f t="shared" si="23"/>
        <v>0</v>
      </c>
      <c r="AR49" s="14">
        <f t="shared" si="23"/>
        <v>0</v>
      </c>
      <c r="AS49" s="14">
        <f t="shared" si="23"/>
        <v>0</v>
      </c>
    </row>
    <row r="50" spans="2:45" hidden="1" outlineLevel="2" x14ac:dyDescent="0.15">
      <c r="F50" s="107" t="s">
        <v>385</v>
      </c>
      <c r="J50" s="24">
        <f t="shared" ref="J50:AS50" si="24">J39/J$33*MAX(MIN(INDEX($J$35:$AS$35,J47),J44)-INDEX($J$34:$AS$34,J47),0)</f>
        <v>0</v>
      </c>
      <c r="K50" s="24">
        <f t="shared" si="24"/>
        <v>0</v>
      </c>
      <c r="L50" s="24">
        <f t="shared" si="24"/>
        <v>0</v>
      </c>
      <c r="M50" s="24">
        <f t="shared" si="24"/>
        <v>0</v>
      </c>
      <c r="N50" s="24">
        <f t="shared" si="24"/>
        <v>0</v>
      </c>
      <c r="O50" s="24">
        <f t="shared" si="24"/>
        <v>0</v>
      </c>
      <c r="P50" s="24">
        <f t="shared" si="24"/>
        <v>0</v>
      </c>
      <c r="Q50" s="24">
        <f t="shared" si="24"/>
        <v>0</v>
      </c>
      <c r="R50" s="24">
        <f t="shared" si="24"/>
        <v>0</v>
      </c>
      <c r="S50" s="24">
        <f t="shared" si="24"/>
        <v>0</v>
      </c>
      <c r="T50" s="24">
        <f t="shared" si="24"/>
        <v>0</v>
      </c>
      <c r="U50" s="24">
        <f t="shared" si="24"/>
        <v>0</v>
      </c>
      <c r="V50" s="24">
        <f t="shared" si="24"/>
        <v>0</v>
      </c>
      <c r="W50" s="24">
        <f t="shared" si="24"/>
        <v>0</v>
      </c>
      <c r="X50" s="24">
        <f t="shared" si="24"/>
        <v>0</v>
      </c>
      <c r="Y50" s="24">
        <f t="shared" si="24"/>
        <v>0</v>
      </c>
      <c r="Z50" s="24">
        <f t="shared" si="24"/>
        <v>0</v>
      </c>
      <c r="AA50" s="24">
        <f t="shared" si="24"/>
        <v>0</v>
      </c>
      <c r="AB50" s="24">
        <f t="shared" si="24"/>
        <v>0</v>
      </c>
      <c r="AC50" s="24">
        <f t="shared" si="24"/>
        <v>0</v>
      </c>
      <c r="AD50" s="24">
        <f t="shared" si="24"/>
        <v>0</v>
      </c>
      <c r="AE50" s="24">
        <f t="shared" si="24"/>
        <v>0</v>
      </c>
      <c r="AF50" s="24">
        <f t="shared" si="24"/>
        <v>0</v>
      </c>
      <c r="AG50" s="24">
        <f t="shared" si="24"/>
        <v>0</v>
      </c>
      <c r="AH50" s="24">
        <f t="shared" si="24"/>
        <v>0</v>
      </c>
      <c r="AI50" s="24">
        <f t="shared" si="24"/>
        <v>0</v>
      </c>
      <c r="AJ50" s="24">
        <f t="shared" si="24"/>
        <v>0</v>
      </c>
      <c r="AK50" s="24">
        <f t="shared" si="24"/>
        <v>0</v>
      </c>
      <c r="AL50" s="24">
        <f t="shared" si="24"/>
        <v>0</v>
      </c>
      <c r="AM50" s="24">
        <f t="shared" si="24"/>
        <v>0</v>
      </c>
      <c r="AN50" s="24">
        <f t="shared" si="24"/>
        <v>0</v>
      </c>
      <c r="AO50" s="24">
        <f t="shared" si="24"/>
        <v>0</v>
      </c>
      <c r="AP50" s="24">
        <f t="shared" si="24"/>
        <v>0</v>
      </c>
      <c r="AQ50" s="24">
        <f t="shared" si="24"/>
        <v>0</v>
      </c>
      <c r="AR50" s="24">
        <f t="shared" si="24"/>
        <v>0</v>
      </c>
      <c r="AS50" s="24">
        <f t="shared" si="24"/>
        <v>0</v>
      </c>
    </row>
    <row r="51" spans="2:45" hidden="1" outlineLevel="2" x14ac:dyDescent="0.15">
      <c r="C51" s="107" t="s">
        <v>386</v>
      </c>
      <c r="J51" s="14">
        <f t="shared" ref="J51:AS51" si="25">-SUMPRODUCT((($J45:$AS47)=J$8)*$J48:$AS50)</f>
        <v>0</v>
      </c>
      <c r="K51" s="14">
        <f t="shared" si="25"/>
        <v>0</v>
      </c>
      <c r="L51" s="14">
        <f t="shared" si="25"/>
        <v>0</v>
      </c>
      <c r="M51" s="14">
        <f t="shared" si="25"/>
        <v>0</v>
      </c>
      <c r="N51" s="14">
        <f t="shared" si="25"/>
        <v>0</v>
      </c>
      <c r="O51" s="14">
        <f t="shared" si="25"/>
        <v>0</v>
      </c>
      <c r="P51" s="14">
        <f t="shared" si="25"/>
        <v>0</v>
      </c>
      <c r="Q51" s="14">
        <f t="shared" si="25"/>
        <v>0</v>
      </c>
      <c r="R51" s="14">
        <f t="shared" si="25"/>
        <v>0</v>
      </c>
      <c r="S51" s="14">
        <f t="shared" si="25"/>
        <v>0</v>
      </c>
      <c r="T51" s="14">
        <f t="shared" si="25"/>
        <v>0</v>
      </c>
      <c r="U51" s="14">
        <f t="shared" si="25"/>
        <v>0</v>
      </c>
      <c r="V51" s="14">
        <f t="shared" si="25"/>
        <v>0</v>
      </c>
      <c r="W51" s="14">
        <f t="shared" si="25"/>
        <v>0</v>
      </c>
      <c r="X51" s="14">
        <f t="shared" si="25"/>
        <v>0</v>
      </c>
      <c r="Y51" s="14">
        <f t="shared" si="25"/>
        <v>0</v>
      </c>
      <c r="Z51" s="14">
        <f t="shared" si="25"/>
        <v>0</v>
      </c>
      <c r="AA51" s="14">
        <f t="shared" si="25"/>
        <v>0</v>
      </c>
      <c r="AB51" s="14">
        <f t="shared" si="25"/>
        <v>0</v>
      </c>
      <c r="AC51" s="14">
        <f t="shared" si="25"/>
        <v>0</v>
      </c>
      <c r="AD51" s="14">
        <f t="shared" si="25"/>
        <v>0</v>
      </c>
      <c r="AE51" s="14">
        <f t="shared" si="25"/>
        <v>0</v>
      </c>
      <c r="AF51" s="14">
        <f t="shared" si="25"/>
        <v>0</v>
      </c>
      <c r="AG51" s="14">
        <f t="shared" si="25"/>
        <v>0</v>
      </c>
      <c r="AH51" s="14">
        <f t="shared" si="25"/>
        <v>0</v>
      </c>
      <c r="AI51" s="14">
        <f t="shared" si="25"/>
        <v>0</v>
      </c>
      <c r="AJ51" s="14">
        <f t="shared" si="25"/>
        <v>0</v>
      </c>
      <c r="AK51" s="14">
        <f t="shared" si="25"/>
        <v>0</v>
      </c>
      <c r="AL51" s="14">
        <f t="shared" si="25"/>
        <v>0</v>
      </c>
      <c r="AM51" s="14">
        <f t="shared" si="25"/>
        <v>0</v>
      </c>
      <c r="AN51" s="14">
        <f t="shared" si="25"/>
        <v>0</v>
      </c>
      <c r="AO51" s="14">
        <f t="shared" si="25"/>
        <v>0</v>
      </c>
      <c r="AP51" s="14">
        <f t="shared" si="25"/>
        <v>0</v>
      </c>
      <c r="AQ51" s="14">
        <f t="shared" si="25"/>
        <v>0</v>
      </c>
      <c r="AR51" s="14">
        <f t="shared" si="25"/>
        <v>0</v>
      </c>
      <c r="AS51" s="14">
        <f t="shared" si="25"/>
        <v>0</v>
      </c>
    </row>
    <row r="52" spans="2:45" outlineLevel="1" collapsed="1" x14ac:dyDescent="0.15">
      <c r="B52" s="107" t="s">
        <v>120</v>
      </c>
      <c r="J52" s="14">
        <f t="shared" ref="J52:AS52" si="26">J51+J41</f>
        <v>-35</v>
      </c>
      <c r="K52" s="14">
        <f t="shared" si="26"/>
        <v>0</v>
      </c>
      <c r="L52" s="14">
        <f t="shared" si="26"/>
        <v>0</v>
      </c>
      <c r="M52" s="14">
        <f t="shared" si="26"/>
        <v>0</v>
      </c>
      <c r="N52" s="14">
        <f t="shared" si="26"/>
        <v>0</v>
      </c>
      <c r="O52" s="14">
        <f t="shared" si="26"/>
        <v>0</v>
      </c>
      <c r="P52" s="14">
        <f t="shared" si="26"/>
        <v>0</v>
      </c>
      <c r="Q52" s="14">
        <f t="shared" si="26"/>
        <v>0</v>
      </c>
      <c r="R52" s="14">
        <f t="shared" si="26"/>
        <v>0</v>
      </c>
      <c r="S52" s="14">
        <f t="shared" si="26"/>
        <v>0</v>
      </c>
      <c r="T52" s="14">
        <f t="shared" si="26"/>
        <v>0</v>
      </c>
      <c r="U52" s="14">
        <f t="shared" si="26"/>
        <v>0</v>
      </c>
      <c r="V52" s="14">
        <f t="shared" si="26"/>
        <v>0</v>
      </c>
      <c r="W52" s="14">
        <f t="shared" si="26"/>
        <v>0</v>
      </c>
      <c r="X52" s="14">
        <f t="shared" si="26"/>
        <v>0</v>
      </c>
      <c r="Y52" s="14">
        <f t="shared" si="26"/>
        <v>0</v>
      </c>
      <c r="Z52" s="14">
        <f t="shared" si="26"/>
        <v>0</v>
      </c>
      <c r="AA52" s="14">
        <f t="shared" si="26"/>
        <v>0</v>
      </c>
      <c r="AB52" s="14">
        <f t="shared" si="26"/>
        <v>0</v>
      </c>
      <c r="AC52" s="14">
        <f t="shared" si="26"/>
        <v>0</v>
      </c>
      <c r="AD52" s="14">
        <f t="shared" si="26"/>
        <v>0</v>
      </c>
      <c r="AE52" s="14">
        <f t="shared" si="26"/>
        <v>0</v>
      </c>
      <c r="AF52" s="14">
        <f t="shared" si="26"/>
        <v>0</v>
      </c>
      <c r="AG52" s="14">
        <f t="shared" si="26"/>
        <v>0</v>
      </c>
      <c r="AH52" s="14">
        <f t="shared" si="26"/>
        <v>0</v>
      </c>
      <c r="AI52" s="14">
        <f t="shared" si="26"/>
        <v>0</v>
      </c>
      <c r="AJ52" s="14">
        <f t="shared" si="26"/>
        <v>0</v>
      </c>
      <c r="AK52" s="14">
        <f t="shared" si="26"/>
        <v>0</v>
      </c>
      <c r="AL52" s="14">
        <f t="shared" si="26"/>
        <v>0</v>
      </c>
      <c r="AM52" s="14">
        <f t="shared" si="26"/>
        <v>0</v>
      </c>
      <c r="AN52" s="14">
        <f t="shared" si="26"/>
        <v>0</v>
      </c>
      <c r="AO52" s="14">
        <f t="shared" si="26"/>
        <v>0</v>
      </c>
      <c r="AP52" s="14">
        <f t="shared" si="26"/>
        <v>0</v>
      </c>
      <c r="AQ52" s="14">
        <f t="shared" si="26"/>
        <v>0</v>
      </c>
      <c r="AR52" s="14">
        <f t="shared" si="26"/>
        <v>0</v>
      </c>
      <c r="AS52" s="14">
        <f t="shared" si="26"/>
        <v>0</v>
      </c>
    </row>
    <row r="53" spans="2:45" outlineLevel="1" x14ac:dyDescent="0.15">
      <c r="B53" s="107" t="s">
        <v>387</v>
      </c>
      <c r="J53" s="38">
        <f t="shared" ref="J53:AS53" si="27">J39+J52</f>
        <v>-35</v>
      </c>
      <c r="K53" s="38">
        <f t="shared" si="27"/>
        <v>0</v>
      </c>
      <c r="L53" s="38">
        <f t="shared" si="27"/>
        <v>0</v>
      </c>
      <c r="M53" s="38">
        <f t="shared" si="27"/>
        <v>0</v>
      </c>
      <c r="N53" s="38">
        <f t="shared" si="27"/>
        <v>0</v>
      </c>
      <c r="O53" s="38">
        <f t="shared" si="27"/>
        <v>0</v>
      </c>
      <c r="P53" s="38">
        <f t="shared" si="27"/>
        <v>0</v>
      </c>
      <c r="Q53" s="38">
        <f t="shared" si="27"/>
        <v>0</v>
      </c>
      <c r="R53" s="38">
        <f t="shared" si="27"/>
        <v>0</v>
      </c>
      <c r="S53" s="38">
        <f t="shared" si="27"/>
        <v>0</v>
      </c>
      <c r="T53" s="38">
        <f t="shared" si="27"/>
        <v>0</v>
      </c>
      <c r="U53" s="38">
        <f t="shared" si="27"/>
        <v>0</v>
      </c>
      <c r="V53" s="38">
        <f t="shared" si="27"/>
        <v>0</v>
      </c>
      <c r="W53" s="38">
        <f t="shared" si="27"/>
        <v>0</v>
      </c>
      <c r="X53" s="38">
        <f t="shared" si="27"/>
        <v>0</v>
      </c>
      <c r="Y53" s="38">
        <f t="shared" si="27"/>
        <v>0</v>
      </c>
      <c r="Z53" s="38">
        <f t="shared" si="27"/>
        <v>0</v>
      </c>
      <c r="AA53" s="38">
        <f t="shared" si="27"/>
        <v>0</v>
      </c>
      <c r="AB53" s="38">
        <f t="shared" si="27"/>
        <v>0</v>
      </c>
      <c r="AC53" s="38">
        <f t="shared" si="27"/>
        <v>0</v>
      </c>
      <c r="AD53" s="38">
        <f t="shared" si="27"/>
        <v>0</v>
      </c>
      <c r="AE53" s="38">
        <f t="shared" si="27"/>
        <v>0</v>
      </c>
      <c r="AF53" s="38">
        <f t="shared" si="27"/>
        <v>0</v>
      </c>
      <c r="AG53" s="38">
        <f t="shared" si="27"/>
        <v>0</v>
      </c>
      <c r="AH53" s="38">
        <f t="shared" si="27"/>
        <v>0</v>
      </c>
      <c r="AI53" s="38">
        <f t="shared" si="27"/>
        <v>0</v>
      </c>
      <c r="AJ53" s="38">
        <f t="shared" si="27"/>
        <v>0</v>
      </c>
      <c r="AK53" s="38">
        <f t="shared" si="27"/>
        <v>0</v>
      </c>
      <c r="AL53" s="38">
        <f t="shared" si="27"/>
        <v>0</v>
      </c>
      <c r="AM53" s="38">
        <f t="shared" si="27"/>
        <v>0</v>
      </c>
      <c r="AN53" s="38">
        <f t="shared" si="27"/>
        <v>0</v>
      </c>
      <c r="AO53" s="38">
        <f t="shared" si="27"/>
        <v>0</v>
      </c>
      <c r="AP53" s="38">
        <f t="shared" si="27"/>
        <v>0</v>
      </c>
      <c r="AQ53" s="38">
        <f t="shared" si="27"/>
        <v>0</v>
      </c>
      <c r="AR53" s="38">
        <f t="shared" si="27"/>
        <v>0</v>
      </c>
      <c r="AS53" s="38">
        <f t="shared" si="27"/>
        <v>0</v>
      </c>
    </row>
    <row r="54" spans="2:45" outlineLevel="1" x14ac:dyDescent="0.15">
      <c r="B54" s="16" t="s">
        <v>388</v>
      </c>
      <c r="J54" s="15">
        <f t="shared" ref="J54:AS54" si="28">J38+J53</f>
        <v>0</v>
      </c>
      <c r="K54" s="15">
        <f t="shared" si="28"/>
        <v>0</v>
      </c>
      <c r="L54" s="15">
        <f t="shared" si="28"/>
        <v>0</v>
      </c>
      <c r="M54" s="15">
        <f t="shared" si="28"/>
        <v>0</v>
      </c>
      <c r="N54" s="15">
        <f t="shared" si="28"/>
        <v>0</v>
      </c>
      <c r="O54" s="15">
        <f t="shared" si="28"/>
        <v>0</v>
      </c>
      <c r="P54" s="15">
        <f t="shared" si="28"/>
        <v>0</v>
      </c>
      <c r="Q54" s="15">
        <f t="shared" si="28"/>
        <v>0</v>
      </c>
      <c r="R54" s="15">
        <f t="shared" si="28"/>
        <v>0</v>
      </c>
      <c r="S54" s="15">
        <f t="shared" si="28"/>
        <v>0</v>
      </c>
      <c r="T54" s="15">
        <f t="shared" si="28"/>
        <v>0</v>
      </c>
      <c r="U54" s="15">
        <f t="shared" si="28"/>
        <v>0</v>
      </c>
      <c r="V54" s="15">
        <f t="shared" si="28"/>
        <v>0</v>
      </c>
      <c r="W54" s="15">
        <f t="shared" si="28"/>
        <v>0</v>
      </c>
      <c r="X54" s="15">
        <f t="shared" si="28"/>
        <v>0</v>
      </c>
      <c r="Y54" s="15">
        <f t="shared" si="28"/>
        <v>0</v>
      </c>
      <c r="Z54" s="15">
        <f t="shared" si="28"/>
        <v>0</v>
      </c>
      <c r="AA54" s="15">
        <f t="shared" si="28"/>
        <v>0</v>
      </c>
      <c r="AB54" s="15">
        <f t="shared" si="28"/>
        <v>0</v>
      </c>
      <c r="AC54" s="15">
        <f t="shared" si="28"/>
        <v>0</v>
      </c>
      <c r="AD54" s="15">
        <f t="shared" si="28"/>
        <v>0</v>
      </c>
      <c r="AE54" s="15">
        <f t="shared" si="28"/>
        <v>0</v>
      </c>
      <c r="AF54" s="15">
        <f t="shared" si="28"/>
        <v>0</v>
      </c>
      <c r="AG54" s="15">
        <f t="shared" si="28"/>
        <v>0</v>
      </c>
      <c r="AH54" s="15">
        <f t="shared" si="28"/>
        <v>0</v>
      </c>
      <c r="AI54" s="15">
        <f t="shared" si="28"/>
        <v>0</v>
      </c>
      <c r="AJ54" s="15">
        <f t="shared" si="28"/>
        <v>0</v>
      </c>
      <c r="AK54" s="15">
        <f t="shared" si="28"/>
        <v>0</v>
      </c>
      <c r="AL54" s="15">
        <f t="shared" si="28"/>
        <v>0</v>
      </c>
      <c r="AM54" s="15">
        <f t="shared" si="28"/>
        <v>0</v>
      </c>
      <c r="AN54" s="15">
        <f t="shared" si="28"/>
        <v>0</v>
      </c>
      <c r="AO54" s="15">
        <f t="shared" si="28"/>
        <v>0</v>
      </c>
      <c r="AP54" s="15">
        <f t="shared" si="28"/>
        <v>0</v>
      </c>
      <c r="AQ54" s="15">
        <f t="shared" si="28"/>
        <v>0</v>
      </c>
      <c r="AR54" s="15">
        <f t="shared" si="28"/>
        <v>0</v>
      </c>
      <c r="AS54" s="15">
        <f t="shared" si="28"/>
        <v>0</v>
      </c>
    </row>
    <row r="55" spans="2:45" ht="6" customHeight="1" outlineLevel="1" x14ac:dyDescent="0.15"/>
    <row r="56" spans="2:45" outlineLevel="1" x14ac:dyDescent="0.15">
      <c r="B56" s="107" t="s">
        <v>389</v>
      </c>
      <c r="I56" s="183">
        <v>30</v>
      </c>
      <c r="J56" s="166">
        <v>30</v>
      </c>
      <c r="K56" s="166">
        <v>30</v>
      </c>
      <c r="L56" s="166">
        <v>30</v>
      </c>
      <c r="M56" s="166">
        <v>30</v>
      </c>
      <c r="N56" s="166">
        <v>30</v>
      </c>
      <c r="O56" s="166">
        <v>30</v>
      </c>
      <c r="P56" s="166">
        <v>30</v>
      </c>
      <c r="Q56" s="166">
        <v>30</v>
      </c>
      <c r="R56" s="166">
        <v>30</v>
      </c>
      <c r="S56" s="166">
        <v>30</v>
      </c>
      <c r="T56" s="166">
        <v>30</v>
      </c>
      <c r="U56" s="166">
        <v>30</v>
      </c>
      <c r="V56" s="166">
        <v>30</v>
      </c>
      <c r="W56" s="166">
        <v>30</v>
      </c>
      <c r="X56" s="166">
        <v>30</v>
      </c>
      <c r="Y56" s="166">
        <v>30</v>
      </c>
      <c r="Z56" s="166">
        <v>30</v>
      </c>
      <c r="AA56" s="166">
        <v>30</v>
      </c>
      <c r="AB56" s="166">
        <v>30</v>
      </c>
      <c r="AC56" s="166">
        <v>30</v>
      </c>
      <c r="AD56" s="166">
        <v>30</v>
      </c>
      <c r="AE56" s="166">
        <v>30</v>
      </c>
      <c r="AF56" s="166">
        <v>30</v>
      </c>
      <c r="AG56" s="166">
        <v>30</v>
      </c>
      <c r="AH56" s="166">
        <v>30</v>
      </c>
      <c r="AI56" s="166">
        <v>30</v>
      </c>
      <c r="AJ56" s="166">
        <v>30</v>
      </c>
      <c r="AK56" s="166">
        <v>30</v>
      </c>
      <c r="AL56" s="166">
        <v>30</v>
      </c>
      <c r="AM56" s="166">
        <v>30</v>
      </c>
      <c r="AN56" s="166">
        <v>30</v>
      </c>
      <c r="AO56" s="166">
        <v>30</v>
      </c>
      <c r="AP56" s="166">
        <v>30</v>
      </c>
      <c r="AQ56" s="166">
        <v>30</v>
      </c>
      <c r="AR56" s="166">
        <v>30</v>
      </c>
      <c r="AS56" s="166">
        <v>30</v>
      </c>
    </row>
    <row r="57" spans="2:45" outlineLevel="1" x14ac:dyDescent="0.15"/>
    <row r="58" spans="2:45" outlineLevel="1" x14ac:dyDescent="0.15">
      <c r="B58" s="108" t="s">
        <v>59</v>
      </c>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row>
    <row r="59" spans="2:45" outlineLevel="1" x14ac:dyDescent="0.15"/>
    <row r="60" spans="2:45" hidden="1" outlineLevel="2" x14ac:dyDescent="0.15">
      <c r="B60" s="107" t="str">
        <f>B37</f>
        <v>Trade Debtors</v>
      </c>
      <c r="J60" s="24">
        <f t="shared" ref="J60:AS60" si="29">J38</f>
        <v>35</v>
      </c>
      <c r="K60" s="24">
        <f t="shared" si="29"/>
        <v>0</v>
      </c>
      <c r="L60" s="24">
        <f t="shared" si="29"/>
        <v>0</v>
      </c>
      <c r="M60" s="24">
        <f t="shared" si="29"/>
        <v>0</v>
      </c>
      <c r="N60" s="24">
        <f t="shared" si="29"/>
        <v>0</v>
      </c>
      <c r="O60" s="24">
        <f t="shared" si="29"/>
        <v>0</v>
      </c>
      <c r="P60" s="24">
        <f t="shared" si="29"/>
        <v>0</v>
      </c>
      <c r="Q60" s="24">
        <f t="shared" si="29"/>
        <v>0</v>
      </c>
      <c r="R60" s="24">
        <f t="shared" si="29"/>
        <v>0</v>
      </c>
      <c r="S60" s="24">
        <f t="shared" si="29"/>
        <v>0</v>
      </c>
      <c r="T60" s="24">
        <f t="shared" si="29"/>
        <v>0</v>
      </c>
      <c r="U60" s="24">
        <f t="shared" si="29"/>
        <v>0</v>
      </c>
      <c r="V60" s="24">
        <f t="shared" si="29"/>
        <v>0</v>
      </c>
      <c r="W60" s="24">
        <f t="shared" si="29"/>
        <v>0</v>
      </c>
      <c r="X60" s="24">
        <f t="shared" si="29"/>
        <v>0</v>
      </c>
      <c r="Y60" s="24">
        <f t="shared" si="29"/>
        <v>0</v>
      </c>
      <c r="Z60" s="24">
        <f t="shared" si="29"/>
        <v>0</v>
      </c>
      <c r="AA60" s="24">
        <f t="shared" si="29"/>
        <v>0</v>
      </c>
      <c r="AB60" s="24">
        <f t="shared" si="29"/>
        <v>0</v>
      </c>
      <c r="AC60" s="24">
        <f t="shared" si="29"/>
        <v>0</v>
      </c>
      <c r="AD60" s="24">
        <f t="shared" si="29"/>
        <v>0</v>
      </c>
      <c r="AE60" s="24">
        <f t="shared" si="29"/>
        <v>0</v>
      </c>
      <c r="AF60" s="24">
        <f t="shared" si="29"/>
        <v>0</v>
      </c>
      <c r="AG60" s="24">
        <f t="shared" si="29"/>
        <v>0</v>
      </c>
      <c r="AH60" s="24">
        <f t="shared" si="29"/>
        <v>0</v>
      </c>
      <c r="AI60" s="24">
        <f t="shared" si="29"/>
        <v>0</v>
      </c>
      <c r="AJ60" s="24">
        <f t="shared" si="29"/>
        <v>0</v>
      </c>
      <c r="AK60" s="24">
        <f t="shared" si="29"/>
        <v>0</v>
      </c>
      <c r="AL60" s="24">
        <f t="shared" si="29"/>
        <v>0</v>
      </c>
      <c r="AM60" s="24">
        <f t="shared" si="29"/>
        <v>0</v>
      </c>
      <c r="AN60" s="24">
        <f t="shared" si="29"/>
        <v>0</v>
      </c>
      <c r="AO60" s="24">
        <f t="shared" si="29"/>
        <v>0</v>
      </c>
      <c r="AP60" s="24">
        <f t="shared" si="29"/>
        <v>0</v>
      </c>
      <c r="AQ60" s="24">
        <f t="shared" si="29"/>
        <v>0</v>
      </c>
      <c r="AR60" s="24">
        <f t="shared" si="29"/>
        <v>0</v>
      </c>
      <c r="AS60" s="24">
        <f t="shared" si="29"/>
        <v>0</v>
      </c>
    </row>
    <row r="61" spans="2:45" outlineLevel="1" collapsed="1" x14ac:dyDescent="0.15">
      <c r="B61" s="107" t="s">
        <v>375</v>
      </c>
      <c r="J61" s="14">
        <f t="shared" ref="J61:AS61" si="30">SUM(J60:J60)</f>
        <v>35</v>
      </c>
      <c r="K61" s="14">
        <f t="shared" si="30"/>
        <v>0</v>
      </c>
      <c r="L61" s="14">
        <f t="shared" si="30"/>
        <v>0</v>
      </c>
      <c r="M61" s="14">
        <f t="shared" si="30"/>
        <v>0</v>
      </c>
      <c r="N61" s="14">
        <f t="shared" si="30"/>
        <v>0</v>
      </c>
      <c r="O61" s="14">
        <f t="shared" si="30"/>
        <v>0</v>
      </c>
      <c r="P61" s="14">
        <f t="shared" si="30"/>
        <v>0</v>
      </c>
      <c r="Q61" s="14">
        <f t="shared" si="30"/>
        <v>0</v>
      </c>
      <c r="R61" s="14">
        <f t="shared" si="30"/>
        <v>0</v>
      </c>
      <c r="S61" s="14">
        <f t="shared" si="30"/>
        <v>0</v>
      </c>
      <c r="T61" s="14">
        <f t="shared" si="30"/>
        <v>0</v>
      </c>
      <c r="U61" s="14">
        <f t="shared" si="30"/>
        <v>0</v>
      </c>
      <c r="V61" s="14">
        <f t="shared" si="30"/>
        <v>0</v>
      </c>
      <c r="W61" s="14">
        <f t="shared" si="30"/>
        <v>0</v>
      </c>
      <c r="X61" s="14">
        <f t="shared" si="30"/>
        <v>0</v>
      </c>
      <c r="Y61" s="14">
        <f t="shared" si="30"/>
        <v>0</v>
      </c>
      <c r="Z61" s="14">
        <f t="shared" si="30"/>
        <v>0</v>
      </c>
      <c r="AA61" s="14">
        <f t="shared" si="30"/>
        <v>0</v>
      </c>
      <c r="AB61" s="14">
        <f t="shared" si="30"/>
        <v>0</v>
      </c>
      <c r="AC61" s="14">
        <f t="shared" si="30"/>
        <v>0</v>
      </c>
      <c r="AD61" s="14">
        <f t="shared" si="30"/>
        <v>0</v>
      </c>
      <c r="AE61" s="14">
        <f t="shared" si="30"/>
        <v>0</v>
      </c>
      <c r="AF61" s="14">
        <f t="shared" si="30"/>
        <v>0</v>
      </c>
      <c r="AG61" s="14">
        <f t="shared" si="30"/>
        <v>0</v>
      </c>
      <c r="AH61" s="14">
        <f t="shared" si="30"/>
        <v>0</v>
      </c>
      <c r="AI61" s="14">
        <f t="shared" si="30"/>
        <v>0</v>
      </c>
      <c r="AJ61" s="14">
        <f t="shared" si="30"/>
        <v>0</v>
      </c>
      <c r="AK61" s="14">
        <f t="shared" si="30"/>
        <v>0</v>
      </c>
      <c r="AL61" s="14">
        <f t="shared" si="30"/>
        <v>0</v>
      </c>
      <c r="AM61" s="14">
        <f t="shared" si="30"/>
        <v>0</v>
      </c>
      <c r="AN61" s="14">
        <f t="shared" si="30"/>
        <v>0</v>
      </c>
      <c r="AO61" s="14">
        <f t="shared" si="30"/>
        <v>0</v>
      </c>
      <c r="AP61" s="14">
        <f t="shared" si="30"/>
        <v>0</v>
      </c>
      <c r="AQ61" s="14">
        <f t="shared" si="30"/>
        <v>0</v>
      </c>
      <c r="AR61" s="14">
        <f t="shared" si="30"/>
        <v>0</v>
      </c>
      <c r="AS61" s="14">
        <f t="shared" si="30"/>
        <v>0</v>
      </c>
    </row>
    <row r="62" spans="2:45" hidden="1" outlineLevel="2" x14ac:dyDescent="0.15"/>
    <row r="63" spans="2:45" hidden="1" outlineLevel="2" x14ac:dyDescent="0.15">
      <c r="B63" s="107" t="str">
        <f>B37</f>
        <v>Trade Debtors</v>
      </c>
      <c r="J63" s="24">
        <f t="shared" ref="J63:AS63" si="31">J39</f>
        <v>0</v>
      </c>
      <c r="K63" s="24">
        <f t="shared" si="31"/>
        <v>0</v>
      </c>
      <c r="L63" s="24">
        <f t="shared" si="31"/>
        <v>0</v>
      </c>
      <c r="M63" s="24">
        <f t="shared" si="31"/>
        <v>0</v>
      </c>
      <c r="N63" s="24">
        <f t="shared" si="31"/>
        <v>0</v>
      </c>
      <c r="O63" s="24">
        <f t="shared" si="31"/>
        <v>0</v>
      </c>
      <c r="P63" s="24">
        <f t="shared" si="31"/>
        <v>0</v>
      </c>
      <c r="Q63" s="24">
        <f t="shared" si="31"/>
        <v>0</v>
      </c>
      <c r="R63" s="24">
        <f t="shared" si="31"/>
        <v>0</v>
      </c>
      <c r="S63" s="24">
        <f t="shared" si="31"/>
        <v>0</v>
      </c>
      <c r="T63" s="24">
        <f t="shared" si="31"/>
        <v>0</v>
      </c>
      <c r="U63" s="24">
        <f t="shared" si="31"/>
        <v>0</v>
      </c>
      <c r="V63" s="24">
        <f t="shared" si="31"/>
        <v>0</v>
      </c>
      <c r="W63" s="24">
        <f t="shared" si="31"/>
        <v>0</v>
      </c>
      <c r="X63" s="24">
        <f t="shared" si="31"/>
        <v>0</v>
      </c>
      <c r="Y63" s="24">
        <f t="shared" si="31"/>
        <v>0</v>
      </c>
      <c r="Z63" s="24">
        <f t="shared" si="31"/>
        <v>0</v>
      </c>
      <c r="AA63" s="24">
        <f t="shared" si="31"/>
        <v>0</v>
      </c>
      <c r="AB63" s="24">
        <f t="shared" si="31"/>
        <v>0</v>
      </c>
      <c r="AC63" s="24">
        <f t="shared" si="31"/>
        <v>0</v>
      </c>
      <c r="AD63" s="24">
        <f t="shared" si="31"/>
        <v>0</v>
      </c>
      <c r="AE63" s="24">
        <f t="shared" si="31"/>
        <v>0</v>
      </c>
      <c r="AF63" s="24">
        <f t="shared" si="31"/>
        <v>0</v>
      </c>
      <c r="AG63" s="24">
        <f t="shared" si="31"/>
        <v>0</v>
      </c>
      <c r="AH63" s="24">
        <f t="shared" si="31"/>
        <v>0</v>
      </c>
      <c r="AI63" s="24">
        <f t="shared" si="31"/>
        <v>0</v>
      </c>
      <c r="AJ63" s="24">
        <f t="shared" si="31"/>
        <v>0</v>
      </c>
      <c r="AK63" s="24">
        <f t="shared" si="31"/>
        <v>0</v>
      </c>
      <c r="AL63" s="24">
        <f t="shared" si="31"/>
        <v>0</v>
      </c>
      <c r="AM63" s="24">
        <f t="shared" si="31"/>
        <v>0</v>
      </c>
      <c r="AN63" s="24">
        <f t="shared" si="31"/>
        <v>0</v>
      </c>
      <c r="AO63" s="24">
        <f t="shared" si="31"/>
        <v>0</v>
      </c>
      <c r="AP63" s="24">
        <f t="shared" si="31"/>
        <v>0</v>
      </c>
      <c r="AQ63" s="24">
        <f t="shared" si="31"/>
        <v>0</v>
      </c>
      <c r="AR63" s="24">
        <f t="shared" si="31"/>
        <v>0</v>
      </c>
      <c r="AS63" s="24">
        <f t="shared" si="31"/>
        <v>0</v>
      </c>
    </row>
    <row r="64" spans="2:45" outlineLevel="1" collapsed="1" x14ac:dyDescent="0.15">
      <c r="B64" s="107" t="s">
        <v>64</v>
      </c>
      <c r="J64" s="14">
        <f t="shared" ref="J64:AS64" si="32">SUM(J63:J63)</f>
        <v>0</v>
      </c>
      <c r="K64" s="14">
        <f t="shared" si="32"/>
        <v>0</v>
      </c>
      <c r="L64" s="14">
        <f t="shared" si="32"/>
        <v>0</v>
      </c>
      <c r="M64" s="14">
        <f t="shared" si="32"/>
        <v>0</v>
      </c>
      <c r="N64" s="14">
        <f t="shared" si="32"/>
        <v>0</v>
      </c>
      <c r="O64" s="14">
        <f t="shared" si="32"/>
        <v>0</v>
      </c>
      <c r="P64" s="14">
        <f t="shared" si="32"/>
        <v>0</v>
      </c>
      <c r="Q64" s="14">
        <f t="shared" si="32"/>
        <v>0</v>
      </c>
      <c r="R64" s="14">
        <f t="shared" si="32"/>
        <v>0</v>
      </c>
      <c r="S64" s="14">
        <f t="shared" si="32"/>
        <v>0</v>
      </c>
      <c r="T64" s="14">
        <f t="shared" si="32"/>
        <v>0</v>
      </c>
      <c r="U64" s="14">
        <f t="shared" si="32"/>
        <v>0</v>
      </c>
      <c r="V64" s="14">
        <f t="shared" si="32"/>
        <v>0</v>
      </c>
      <c r="W64" s="14">
        <f t="shared" si="32"/>
        <v>0</v>
      </c>
      <c r="X64" s="14">
        <f t="shared" si="32"/>
        <v>0</v>
      </c>
      <c r="Y64" s="14">
        <f t="shared" si="32"/>
        <v>0</v>
      </c>
      <c r="Z64" s="14">
        <f t="shared" si="32"/>
        <v>0</v>
      </c>
      <c r="AA64" s="14">
        <f t="shared" si="32"/>
        <v>0</v>
      </c>
      <c r="AB64" s="14">
        <f t="shared" si="32"/>
        <v>0</v>
      </c>
      <c r="AC64" s="14">
        <f t="shared" si="32"/>
        <v>0</v>
      </c>
      <c r="AD64" s="14">
        <f t="shared" si="32"/>
        <v>0</v>
      </c>
      <c r="AE64" s="14">
        <f t="shared" si="32"/>
        <v>0</v>
      </c>
      <c r="AF64" s="14">
        <f t="shared" si="32"/>
        <v>0</v>
      </c>
      <c r="AG64" s="14">
        <f t="shared" si="32"/>
        <v>0</v>
      </c>
      <c r="AH64" s="14">
        <f t="shared" si="32"/>
        <v>0</v>
      </c>
      <c r="AI64" s="14">
        <f t="shared" si="32"/>
        <v>0</v>
      </c>
      <c r="AJ64" s="14">
        <f t="shared" si="32"/>
        <v>0</v>
      </c>
      <c r="AK64" s="14">
        <f t="shared" si="32"/>
        <v>0</v>
      </c>
      <c r="AL64" s="14">
        <f t="shared" si="32"/>
        <v>0</v>
      </c>
      <c r="AM64" s="14">
        <f t="shared" si="32"/>
        <v>0</v>
      </c>
      <c r="AN64" s="14">
        <f t="shared" si="32"/>
        <v>0</v>
      </c>
      <c r="AO64" s="14">
        <f t="shared" si="32"/>
        <v>0</v>
      </c>
      <c r="AP64" s="14">
        <f t="shared" si="32"/>
        <v>0</v>
      </c>
      <c r="AQ64" s="14">
        <f t="shared" si="32"/>
        <v>0</v>
      </c>
      <c r="AR64" s="14">
        <f t="shared" si="32"/>
        <v>0</v>
      </c>
      <c r="AS64" s="14">
        <f t="shared" si="32"/>
        <v>0</v>
      </c>
    </row>
    <row r="65" spans="2:45" hidden="1" outlineLevel="2" x14ac:dyDescent="0.15"/>
    <row r="66" spans="2:45" hidden="1" outlineLevel="2" x14ac:dyDescent="0.15">
      <c r="B66" s="107" t="str">
        <f>B37</f>
        <v>Trade Debtors</v>
      </c>
      <c r="J66" s="24">
        <f t="shared" ref="J66:AS66" si="33">J52</f>
        <v>-35</v>
      </c>
      <c r="K66" s="24">
        <f t="shared" si="33"/>
        <v>0</v>
      </c>
      <c r="L66" s="24">
        <f t="shared" si="33"/>
        <v>0</v>
      </c>
      <c r="M66" s="24">
        <f t="shared" si="33"/>
        <v>0</v>
      </c>
      <c r="N66" s="24">
        <f t="shared" si="33"/>
        <v>0</v>
      </c>
      <c r="O66" s="24">
        <f t="shared" si="33"/>
        <v>0</v>
      </c>
      <c r="P66" s="24">
        <f t="shared" si="33"/>
        <v>0</v>
      </c>
      <c r="Q66" s="24">
        <f t="shared" si="33"/>
        <v>0</v>
      </c>
      <c r="R66" s="24">
        <f t="shared" si="33"/>
        <v>0</v>
      </c>
      <c r="S66" s="24">
        <f t="shared" si="33"/>
        <v>0</v>
      </c>
      <c r="T66" s="24">
        <f t="shared" si="33"/>
        <v>0</v>
      </c>
      <c r="U66" s="24">
        <f t="shared" si="33"/>
        <v>0</v>
      </c>
      <c r="V66" s="24">
        <f t="shared" si="33"/>
        <v>0</v>
      </c>
      <c r="W66" s="24">
        <f t="shared" si="33"/>
        <v>0</v>
      </c>
      <c r="X66" s="24">
        <f t="shared" si="33"/>
        <v>0</v>
      </c>
      <c r="Y66" s="24">
        <f t="shared" si="33"/>
        <v>0</v>
      </c>
      <c r="Z66" s="24">
        <f t="shared" si="33"/>
        <v>0</v>
      </c>
      <c r="AA66" s="24">
        <f t="shared" si="33"/>
        <v>0</v>
      </c>
      <c r="AB66" s="24">
        <f t="shared" si="33"/>
        <v>0</v>
      </c>
      <c r="AC66" s="24">
        <f t="shared" si="33"/>
        <v>0</v>
      </c>
      <c r="AD66" s="24">
        <f t="shared" si="33"/>
        <v>0</v>
      </c>
      <c r="AE66" s="24">
        <f t="shared" si="33"/>
        <v>0</v>
      </c>
      <c r="AF66" s="24">
        <f t="shared" si="33"/>
        <v>0</v>
      </c>
      <c r="AG66" s="24">
        <f t="shared" si="33"/>
        <v>0</v>
      </c>
      <c r="AH66" s="24">
        <f t="shared" si="33"/>
        <v>0</v>
      </c>
      <c r="AI66" s="24">
        <f t="shared" si="33"/>
        <v>0</v>
      </c>
      <c r="AJ66" s="24">
        <f t="shared" si="33"/>
        <v>0</v>
      </c>
      <c r="AK66" s="24">
        <f t="shared" si="33"/>
        <v>0</v>
      </c>
      <c r="AL66" s="24">
        <f t="shared" si="33"/>
        <v>0</v>
      </c>
      <c r="AM66" s="24">
        <f t="shared" si="33"/>
        <v>0</v>
      </c>
      <c r="AN66" s="24">
        <f t="shared" si="33"/>
        <v>0</v>
      </c>
      <c r="AO66" s="24">
        <f t="shared" si="33"/>
        <v>0</v>
      </c>
      <c r="AP66" s="24">
        <f t="shared" si="33"/>
        <v>0</v>
      </c>
      <c r="AQ66" s="24">
        <f t="shared" si="33"/>
        <v>0</v>
      </c>
      <c r="AR66" s="24">
        <f t="shared" si="33"/>
        <v>0</v>
      </c>
      <c r="AS66" s="24">
        <f t="shared" si="33"/>
        <v>0</v>
      </c>
    </row>
    <row r="67" spans="2:45" outlineLevel="1" collapsed="1" x14ac:dyDescent="0.15">
      <c r="B67" s="107" t="s">
        <v>120</v>
      </c>
      <c r="J67" s="14">
        <f t="shared" ref="J67:AS67" si="34">SUM(J66:J66)</f>
        <v>-35</v>
      </c>
      <c r="K67" s="14">
        <f t="shared" si="34"/>
        <v>0</v>
      </c>
      <c r="L67" s="14">
        <f t="shared" si="34"/>
        <v>0</v>
      </c>
      <c r="M67" s="14">
        <f t="shared" si="34"/>
        <v>0</v>
      </c>
      <c r="N67" s="14">
        <f t="shared" si="34"/>
        <v>0</v>
      </c>
      <c r="O67" s="14">
        <f t="shared" si="34"/>
        <v>0</v>
      </c>
      <c r="P67" s="14">
        <f t="shared" si="34"/>
        <v>0</v>
      </c>
      <c r="Q67" s="14">
        <f t="shared" si="34"/>
        <v>0</v>
      </c>
      <c r="R67" s="14">
        <f t="shared" si="34"/>
        <v>0</v>
      </c>
      <c r="S67" s="14">
        <f t="shared" si="34"/>
        <v>0</v>
      </c>
      <c r="T67" s="14">
        <f t="shared" si="34"/>
        <v>0</v>
      </c>
      <c r="U67" s="14">
        <f t="shared" si="34"/>
        <v>0</v>
      </c>
      <c r="V67" s="14">
        <f t="shared" si="34"/>
        <v>0</v>
      </c>
      <c r="W67" s="14">
        <f t="shared" si="34"/>
        <v>0</v>
      </c>
      <c r="X67" s="14">
        <f t="shared" si="34"/>
        <v>0</v>
      </c>
      <c r="Y67" s="14">
        <f t="shared" si="34"/>
        <v>0</v>
      </c>
      <c r="Z67" s="14">
        <f t="shared" si="34"/>
        <v>0</v>
      </c>
      <c r="AA67" s="14">
        <f t="shared" si="34"/>
        <v>0</v>
      </c>
      <c r="AB67" s="14">
        <f t="shared" si="34"/>
        <v>0</v>
      </c>
      <c r="AC67" s="14">
        <f t="shared" si="34"/>
        <v>0</v>
      </c>
      <c r="AD67" s="14">
        <f t="shared" si="34"/>
        <v>0</v>
      </c>
      <c r="AE67" s="14">
        <f t="shared" si="34"/>
        <v>0</v>
      </c>
      <c r="AF67" s="14">
        <f t="shared" si="34"/>
        <v>0</v>
      </c>
      <c r="AG67" s="14">
        <f t="shared" si="34"/>
        <v>0</v>
      </c>
      <c r="AH67" s="14">
        <f t="shared" si="34"/>
        <v>0</v>
      </c>
      <c r="AI67" s="14">
        <f t="shared" si="34"/>
        <v>0</v>
      </c>
      <c r="AJ67" s="14">
        <f t="shared" si="34"/>
        <v>0</v>
      </c>
      <c r="AK67" s="14">
        <f t="shared" si="34"/>
        <v>0</v>
      </c>
      <c r="AL67" s="14">
        <f t="shared" si="34"/>
        <v>0</v>
      </c>
      <c r="AM67" s="14">
        <f t="shared" si="34"/>
        <v>0</v>
      </c>
      <c r="AN67" s="14">
        <f t="shared" si="34"/>
        <v>0</v>
      </c>
      <c r="AO67" s="14">
        <f t="shared" si="34"/>
        <v>0</v>
      </c>
      <c r="AP67" s="14">
        <f t="shared" si="34"/>
        <v>0</v>
      </c>
      <c r="AQ67" s="14">
        <f t="shared" si="34"/>
        <v>0</v>
      </c>
      <c r="AR67" s="14">
        <f t="shared" si="34"/>
        <v>0</v>
      </c>
      <c r="AS67" s="14">
        <f t="shared" si="34"/>
        <v>0</v>
      </c>
    </row>
    <row r="68" spans="2:45" hidden="1" outlineLevel="2" x14ac:dyDescent="0.15"/>
    <row r="69" spans="2:45" hidden="1" outlineLevel="2" x14ac:dyDescent="0.15">
      <c r="B69" s="107" t="str">
        <f>B37</f>
        <v>Trade Debtors</v>
      </c>
      <c r="J69" s="24">
        <f t="shared" ref="J69:AS69" si="35">J53</f>
        <v>-35</v>
      </c>
      <c r="K69" s="24">
        <f t="shared" si="35"/>
        <v>0</v>
      </c>
      <c r="L69" s="24">
        <f t="shared" si="35"/>
        <v>0</v>
      </c>
      <c r="M69" s="24">
        <f t="shared" si="35"/>
        <v>0</v>
      </c>
      <c r="N69" s="24">
        <f t="shared" si="35"/>
        <v>0</v>
      </c>
      <c r="O69" s="24">
        <f t="shared" si="35"/>
        <v>0</v>
      </c>
      <c r="P69" s="24">
        <f t="shared" si="35"/>
        <v>0</v>
      </c>
      <c r="Q69" s="24">
        <f t="shared" si="35"/>
        <v>0</v>
      </c>
      <c r="R69" s="24">
        <f t="shared" si="35"/>
        <v>0</v>
      </c>
      <c r="S69" s="24">
        <f t="shared" si="35"/>
        <v>0</v>
      </c>
      <c r="T69" s="24">
        <f t="shared" si="35"/>
        <v>0</v>
      </c>
      <c r="U69" s="24">
        <f t="shared" si="35"/>
        <v>0</v>
      </c>
      <c r="V69" s="24">
        <f t="shared" si="35"/>
        <v>0</v>
      </c>
      <c r="W69" s="24">
        <f t="shared" si="35"/>
        <v>0</v>
      </c>
      <c r="X69" s="24">
        <f t="shared" si="35"/>
        <v>0</v>
      </c>
      <c r="Y69" s="24">
        <f t="shared" si="35"/>
        <v>0</v>
      </c>
      <c r="Z69" s="24">
        <f t="shared" si="35"/>
        <v>0</v>
      </c>
      <c r="AA69" s="24">
        <f t="shared" si="35"/>
        <v>0</v>
      </c>
      <c r="AB69" s="24">
        <f t="shared" si="35"/>
        <v>0</v>
      </c>
      <c r="AC69" s="24">
        <f t="shared" si="35"/>
        <v>0</v>
      </c>
      <c r="AD69" s="24">
        <f t="shared" si="35"/>
        <v>0</v>
      </c>
      <c r="AE69" s="24">
        <f t="shared" si="35"/>
        <v>0</v>
      </c>
      <c r="AF69" s="24">
        <f t="shared" si="35"/>
        <v>0</v>
      </c>
      <c r="AG69" s="24">
        <f t="shared" si="35"/>
        <v>0</v>
      </c>
      <c r="AH69" s="24">
        <f t="shared" si="35"/>
        <v>0</v>
      </c>
      <c r="AI69" s="24">
        <f t="shared" si="35"/>
        <v>0</v>
      </c>
      <c r="AJ69" s="24">
        <f t="shared" si="35"/>
        <v>0</v>
      </c>
      <c r="AK69" s="24">
        <f t="shared" si="35"/>
        <v>0</v>
      </c>
      <c r="AL69" s="24">
        <f t="shared" si="35"/>
        <v>0</v>
      </c>
      <c r="AM69" s="24">
        <f t="shared" si="35"/>
        <v>0</v>
      </c>
      <c r="AN69" s="24">
        <f t="shared" si="35"/>
        <v>0</v>
      </c>
      <c r="AO69" s="24">
        <f t="shared" si="35"/>
        <v>0</v>
      </c>
      <c r="AP69" s="24">
        <f t="shared" si="35"/>
        <v>0</v>
      </c>
      <c r="AQ69" s="24">
        <f t="shared" si="35"/>
        <v>0</v>
      </c>
      <c r="AR69" s="24">
        <f t="shared" si="35"/>
        <v>0</v>
      </c>
      <c r="AS69" s="24">
        <f t="shared" si="35"/>
        <v>0</v>
      </c>
    </row>
    <row r="70" spans="2:45" outlineLevel="1" collapsed="1" x14ac:dyDescent="0.15">
      <c r="B70" s="107" t="s">
        <v>387</v>
      </c>
      <c r="J70" s="14">
        <f t="shared" ref="J70:AS70" si="36">SUM(J69:J69)</f>
        <v>-35</v>
      </c>
      <c r="K70" s="14">
        <f t="shared" si="36"/>
        <v>0</v>
      </c>
      <c r="L70" s="14">
        <f t="shared" si="36"/>
        <v>0</v>
      </c>
      <c r="M70" s="14">
        <f t="shared" si="36"/>
        <v>0</v>
      </c>
      <c r="N70" s="14">
        <f t="shared" si="36"/>
        <v>0</v>
      </c>
      <c r="O70" s="14">
        <f t="shared" si="36"/>
        <v>0</v>
      </c>
      <c r="P70" s="14">
        <f t="shared" si="36"/>
        <v>0</v>
      </c>
      <c r="Q70" s="14">
        <f t="shared" si="36"/>
        <v>0</v>
      </c>
      <c r="R70" s="14">
        <f t="shared" si="36"/>
        <v>0</v>
      </c>
      <c r="S70" s="14">
        <f t="shared" si="36"/>
        <v>0</v>
      </c>
      <c r="T70" s="14">
        <f t="shared" si="36"/>
        <v>0</v>
      </c>
      <c r="U70" s="14">
        <f t="shared" si="36"/>
        <v>0</v>
      </c>
      <c r="V70" s="14">
        <f t="shared" si="36"/>
        <v>0</v>
      </c>
      <c r="W70" s="14">
        <f t="shared" si="36"/>
        <v>0</v>
      </c>
      <c r="X70" s="14">
        <f t="shared" si="36"/>
        <v>0</v>
      </c>
      <c r="Y70" s="14">
        <f t="shared" si="36"/>
        <v>0</v>
      </c>
      <c r="Z70" s="14">
        <f t="shared" si="36"/>
        <v>0</v>
      </c>
      <c r="AA70" s="14">
        <f t="shared" si="36"/>
        <v>0</v>
      </c>
      <c r="AB70" s="14">
        <f t="shared" si="36"/>
        <v>0</v>
      </c>
      <c r="AC70" s="14">
        <f t="shared" si="36"/>
        <v>0</v>
      </c>
      <c r="AD70" s="14">
        <f t="shared" si="36"/>
        <v>0</v>
      </c>
      <c r="AE70" s="14">
        <f t="shared" si="36"/>
        <v>0</v>
      </c>
      <c r="AF70" s="14">
        <f t="shared" si="36"/>
        <v>0</v>
      </c>
      <c r="AG70" s="14">
        <f t="shared" si="36"/>
        <v>0</v>
      </c>
      <c r="AH70" s="14">
        <f t="shared" si="36"/>
        <v>0</v>
      </c>
      <c r="AI70" s="14">
        <f t="shared" si="36"/>
        <v>0</v>
      </c>
      <c r="AJ70" s="14">
        <f t="shared" si="36"/>
        <v>0</v>
      </c>
      <c r="AK70" s="14">
        <f t="shared" si="36"/>
        <v>0</v>
      </c>
      <c r="AL70" s="14">
        <f t="shared" si="36"/>
        <v>0</v>
      </c>
      <c r="AM70" s="14">
        <f t="shared" si="36"/>
        <v>0</v>
      </c>
      <c r="AN70" s="14">
        <f t="shared" si="36"/>
        <v>0</v>
      </c>
      <c r="AO70" s="14">
        <f t="shared" si="36"/>
        <v>0</v>
      </c>
      <c r="AP70" s="14">
        <f t="shared" si="36"/>
        <v>0</v>
      </c>
      <c r="AQ70" s="14">
        <f t="shared" si="36"/>
        <v>0</v>
      </c>
      <c r="AR70" s="14">
        <f t="shared" si="36"/>
        <v>0</v>
      </c>
      <c r="AS70" s="14">
        <f t="shared" si="36"/>
        <v>0</v>
      </c>
    </row>
    <row r="71" spans="2:45" hidden="1" outlineLevel="2" x14ac:dyDescent="0.15"/>
    <row r="72" spans="2:45" hidden="1" outlineLevel="2" x14ac:dyDescent="0.15">
      <c r="B72" s="107" t="str">
        <f>B37</f>
        <v>Trade Debtors</v>
      </c>
      <c r="J72" s="23">
        <f t="shared" ref="J72:AS72" si="37">J54</f>
        <v>0</v>
      </c>
      <c r="K72" s="23">
        <f t="shared" si="37"/>
        <v>0</v>
      </c>
      <c r="L72" s="23">
        <f t="shared" si="37"/>
        <v>0</v>
      </c>
      <c r="M72" s="23">
        <f t="shared" si="37"/>
        <v>0</v>
      </c>
      <c r="N72" s="23">
        <f t="shared" si="37"/>
        <v>0</v>
      </c>
      <c r="O72" s="23">
        <f t="shared" si="37"/>
        <v>0</v>
      </c>
      <c r="P72" s="23">
        <f t="shared" si="37"/>
        <v>0</v>
      </c>
      <c r="Q72" s="23">
        <f t="shared" si="37"/>
        <v>0</v>
      </c>
      <c r="R72" s="23">
        <f t="shared" si="37"/>
        <v>0</v>
      </c>
      <c r="S72" s="23">
        <f t="shared" si="37"/>
        <v>0</v>
      </c>
      <c r="T72" s="23">
        <f t="shared" si="37"/>
        <v>0</v>
      </c>
      <c r="U72" s="23">
        <f t="shared" si="37"/>
        <v>0</v>
      </c>
      <c r="V72" s="23">
        <f t="shared" si="37"/>
        <v>0</v>
      </c>
      <c r="W72" s="23">
        <f t="shared" si="37"/>
        <v>0</v>
      </c>
      <c r="X72" s="23">
        <f t="shared" si="37"/>
        <v>0</v>
      </c>
      <c r="Y72" s="23">
        <f t="shared" si="37"/>
        <v>0</v>
      </c>
      <c r="Z72" s="23">
        <f t="shared" si="37"/>
        <v>0</v>
      </c>
      <c r="AA72" s="23">
        <f t="shared" si="37"/>
        <v>0</v>
      </c>
      <c r="AB72" s="23">
        <f t="shared" si="37"/>
        <v>0</v>
      </c>
      <c r="AC72" s="23">
        <f t="shared" si="37"/>
        <v>0</v>
      </c>
      <c r="AD72" s="23">
        <f t="shared" si="37"/>
        <v>0</v>
      </c>
      <c r="AE72" s="23">
        <f t="shared" si="37"/>
        <v>0</v>
      </c>
      <c r="AF72" s="23">
        <f t="shared" si="37"/>
        <v>0</v>
      </c>
      <c r="AG72" s="23">
        <f t="shared" si="37"/>
        <v>0</v>
      </c>
      <c r="AH72" s="23">
        <f t="shared" si="37"/>
        <v>0</v>
      </c>
      <c r="AI72" s="23">
        <f t="shared" si="37"/>
        <v>0</v>
      </c>
      <c r="AJ72" s="23">
        <f t="shared" si="37"/>
        <v>0</v>
      </c>
      <c r="AK72" s="23">
        <f t="shared" si="37"/>
        <v>0</v>
      </c>
      <c r="AL72" s="23">
        <f t="shared" si="37"/>
        <v>0</v>
      </c>
      <c r="AM72" s="23">
        <f t="shared" si="37"/>
        <v>0</v>
      </c>
      <c r="AN72" s="23">
        <f t="shared" si="37"/>
        <v>0</v>
      </c>
      <c r="AO72" s="23">
        <f t="shared" si="37"/>
        <v>0</v>
      </c>
      <c r="AP72" s="23">
        <f t="shared" si="37"/>
        <v>0</v>
      </c>
      <c r="AQ72" s="23">
        <f t="shared" si="37"/>
        <v>0</v>
      </c>
      <c r="AR72" s="23">
        <f t="shared" si="37"/>
        <v>0</v>
      </c>
      <c r="AS72" s="23">
        <f t="shared" si="37"/>
        <v>0</v>
      </c>
    </row>
    <row r="73" spans="2:45" outlineLevel="1" collapsed="1" x14ac:dyDescent="0.15">
      <c r="B73" s="16" t="s">
        <v>388</v>
      </c>
      <c r="J73" s="18">
        <f t="shared" ref="J73:AS73" si="38">SUM(J72:J72)</f>
        <v>0</v>
      </c>
      <c r="K73" s="18">
        <f t="shared" si="38"/>
        <v>0</v>
      </c>
      <c r="L73" s="18">
        <f t="shared" si="38"/>
        <v>0</v>
      </c>
      <c r="M73" s="18">
        <f t="shared" si="38"/>
        <v>0</v>
      </c>
      <c r="N73" s="18">
        <f t="shared" si="38"/>
        <v>0</v>
      </c>
      <c r="O73" s="18">
        <f t="shared" si="38"/>
        <v>0</v>
      </c>
      <c r="P73" s="18">
        <f t="shared" si="38"/>
        <v>0</v>
      </c>
      <c r="Q73" s="18">
        <f t="shared" si="38"/>
        <v>0</v>
      </c>
      <c r="R73" s="18">
        <f t="shared" si="38"/>
        <v>0</v>
      </c>
      <c r="S73" s="18">
        <f t="shared" si="38"/>
        <v>0</v>
      </c>
      <c r="T73" s="18">
        <f t="shared" si="38"/>
        <v>0</v>
      </c>
      <c r="U73" s="18">
        <f t="shared" si="38"/>
        <v>0</v>
      </c>
      <c r="V73" s="18">
        <f t="shared" si="38"/>
        <v>0</v>
      </c>
      <c r="W73" s="18">
        <f t="shared" si="38"/>
        <v>0</v>
      </c>
      <c r="X73" s="18">
        <f t="shared" si="38"/>
        <v>0</v>
      </c>
      <c r="Y73" s="18">
        <f t="shared" si="38"/>
        <v>0</v>
      </c>
      <c r="Z73" s="18">
        <f t="shared" si="38"/>
        <v>0</v>
      </c>
      <c r="AA73" s="18">
        <f t="shared" si="38"/>
        <v>0</v>
      </c>
      <c r="AB73" s="18">
        <f t="shared" si="38"/>
        <v>0</v>
      </c>
      <c r="AC73" s="18">
        <f t="shared" si="38"/>
        <v>0</v>
      </c>
      <c r="AD73" s="18">
        <f t="shared" si="38"/>
        <v>0</v>
      </c>
      <c r="AE73" s="18">
        <f t="shared" si="38"/>
        <v>0</v>
      </c>
      <c r="AF73" s="18">
        <f t="shared" si="38"/>
        <v>0</v>
      </c>
      <c r="AG73" s="18">
        <f t="shared" si="38"/>
        <v>0</v>
      </c>
      <c r="AH73" s="18">
        <f t="shared" si="38"/>
        <v>0</v>
      </c>
      <c r="AI73" s="18">
        <f t="shared" si="38"/>
        <v>0</v>
      </c>
      <c r="AJ73" s="18">
        <f t="shared" si="38"/>
        <v>0</v>
      </c>
      <c r="AK73" s="18">
        <f t="shared" si="38"/>
        <v>0</v>
      </c>
      <c r="AL73" s="18">
        <f t="shared" si="38"/>
        <v>0</v>
      </c>
      <c r="AM73" s="18">
        <f t="shared" si="38"/>
        <v>0</v>
      </c>
      <c r="AN73" s="18">
        <f t="shared" si="38"/>
        <v>0</v>
      </c>
      <c r="AO73" s="18">
        <f t="shared" si="38"/>
        <v>0</v>
      </c>
      <c r="AP73" s="18">
        <f t="shared" si="38"/>
        <v>0</v>
      </c>
      <c r="AQ73" s="18">
        <f t="shared" si="38"/>
        <v>0</v>
      </c>
      <c r="AR73" s="18">
        <f t="shared" si="38"/>
        <v>0</v>
      </c>
      <c r="AS73" s="18">
        <f t="shared" si="38"/>
        <v>0</v>
      </c>
    </row>
    <row r="74" spans="2:45" outlineLevel="1" x14ac:dyDescent="0.15"/>
    <row r="75" spans="2:45" hidden="1" outlineLevel="2" x14ac:dyDescent="0.15">
      <c r="C75" s="107" t="s">
        <v>192</v>
      </c>
      <c r="J75" s="17">
        <f t="shared" ref="J75:AS75" si="39">IF(ISERROR(J61-J70-J73),1,0)</f>
        <v>0</v>
      </c>
      <c r="K75" s="17">
        <f t="shared" si="39"/>
        <v>0</v>
      </c>
      <c r="L75" s="17">
        <f t="shared" si="39"/>
        <v>0</v>
      </c>
      <c r="M75" s="17">
        <f t="shared" si="39"/>
        <v>0</v>
      </c>
      <c r="N75" s="17">
        <f t="shared" si="39"/>
        <v>0</v>
      </c>
      <c r="O75" s="17">
        <f t="shared" si="39"/>
        <v>0</v>
      </c>
      <c r="P75" s="17">
        <f t="shared" si="39"/>
        <v>0</v>
      </c>
      <c r="Q75" s="17">
        <f t="shared" si="39"/>
        <v>0</v>
      </c>
      <c r="R75" s="17">
        <f t="shared" si="39"/>
        <v>0</v>
      </c>
      <c r="S75" s="17">
        <f t="shared" si="39"/>
        <v>0</v>
      </c>
      <c r="T75" s="17">
        <f t="shared" si="39"/>
        <v>0</v>
      </c>
      <c r="U75" s="17">
        <f t="shared" si="39"/>
        <v>0</v>
      </c>
      <c r="V75" s="17">
        <f t="shared" si="39"/>
        <v>0</v>
      </c>
      <c r="W75" s="17">
        <f t="shared" si="39"/>
        <v>0</v>
      </c>
      <c r="X75" s="17">
        <f t="shared" si="39"/>
        <v>0</v>
      </c>
      <c r="Y75" s="17">
        <f t="shared" si="39"/>
        <v>0</v>
      </c>
      <c r="Z75" s="17">
        <f t="shared" si="39"/>
        <v>0</v>
      </c>
      <c r="AA75" s="17">
        <f t="shared" si="39"/>
        <v>0</v>
      </c>
      <c r="AB75" s="17">
        <f t="shared" si="39"/>
        <v>0</v>
      </c>
      <c r="AC75" s="17">
        <f t="shared" si="39"/>
        <v>0</v>
      </c>
      <c r="AD75" s="17">
        <f t="shared" si="39"/>
        <v>0</v>
      </c>
      <c r="AE75" s="17">
        <f t="shared" si="39"/>
        <v>0</v>
      </c>
      <c r="AF75" s="17">
        <f t="shared" si="39"/>
        <v>0</v>
      </c>
      <c r="AG75" s="17">
        <f t="shared" si="39"/>
        <v>0</v>
      </c>
      <c r="AH75" s="17">
        <f t="shared" si="39"/>
        <v>0</v>
      </c>
      <c r="AI75" s="17">
        <f t="shared" si="39"/>
        <v>0</v>
      </c>
      <c r="AJ75" s="17">
        <f t="shared" si="39"/>
        <v>0</v>
      </c>
      <c r="AK75" s="17">
        <f t="shared" si="39"/>
        <v>0</v>
      </c>
      <c r="AL75" s="17">
        <f t="shared" si="39"/>
        <v>0</v>
      </c>
      <c r="AM75" s="17">
        <f t="shared" si="39"/>
        <v>0</v>
      </c>
      <c r="AN75" s="17">
        <f t="shared" si="39"/>
        <v>0</v>
      </c>
      <c r="AO75" s="17">
        <f t="shared" si="39"/>
        <v>0</v>
      </c>
      <c r="AP75" s="17">
        <f t="shared" si="39"/>
        <v>0</v>
      </c>
      <c r="AQ75" s="17">
        <f t="shared" si="39"/>
        <v>0</v>
      </c>
      <c r="AR75" s="17">
        <f t="shared" si="39"/>
        <v>0</v>
      </c>
      <c r="AS75" s="17">
        <f t="shared" si="39"/>
        <v>0</v>
      </c>
    </row>
    <row r="76" spans="2:45" hidden="1" outlineLevel="2" x14ac:dyDescent="0.15">
      <c r="C76" s="107" t="s">
        <v>305</v>
      </c>
      <c r="J76" s="42">
        <f t="shared" ref="J76:AS76" si="40">IF(J75&lt;&gt;0,0,IF(ROUND(J73-J70-J61,5)&lt;&gt;0,1,0))</f>
        <v>0</v>
      </c>
      <c r="K76" s="42">
        <f t="shared" si="40"/>
        <v>0</v>
      </c>
      <c r="L76" s="42">
        <f t="shared" si="40"/>
        <v>0</v>
      </c>
      <c r="M76" s="42">
        <f t="shared" si="40"/>
        <v>0</v>
      </c>
      <c r="N76" s="42">
        <f t="shared" si="40"/>
        <v>0</v>
      </c>
      <c r="O76" s="42">
        <f t="shared" si="40"/>
        <v>0</v>
      </c>
      <c r="P76" s="42">
        <f t="shared" si="40"/>
        <v>0</v>
      </c>
      <c r="Q76" s="42">
        <f t="shared" si="40"/>
        <v>0</v>
      </c>
      <c r="R76" s="42">
        <f t="shared" si="40"/>
        <v>0</v>
      </c>
      <c r="S76" s="42">
        <f t="shared" si="40"/>
        <v>0</v>
      </c>
      <c r="T76" s="42">
        <f t="shared" si="40"/>
        <v>0</v>
      </c>
      <c r="U76" s="42">
        <f t="shared" si="40"/>
        <v>0</v>
      </c>
      <c r="V76" s="42">
        <f t="shared" si="40"/>
        <v>0</v>
      </c>
      <c r="W76" s="42">
        <f t="shared" si="40"/>
        <v>0</v>
      </c>
      <c r="X76" s="42">
        <f t="shared" si="40"/>
        <v>0</v>
      </c>
      <c r="Y76" s="42">
        <f t="shared" si="40"/>
        <v>0</v>
      </c>
      <c r="Z76" s="42">
        <f t="shared" si="40"/>
        <v>0</v>
      </c>
      <c r="AA76" s="42">
        <f t="shared" si="40"/>
        <v>0</v>
      </c>
      <c r="AB76" s="42">
        <f t="shared" si="40"/>
        <v>0</v>
      </c>
      <c r="AC76" s="42">
        <f t="shared" si="40"/>
        <v>0</v>
      </c>
      <c r="AD76" s="42">
        <f t="shared" si="40"/>
        <v>0</v>
      </c>
      <c r="AE76" s="42">
        <f t="shared" si="40"/>
        <v>0</v>
      </c>
      <c r="AF76" s="42">
        <f t="shared" si="40"/>
        <v>0</v>
      </c>
      <c r="AG76" s="42">
        <f t="shared" si="40"/>
        <v>0</v>
      </c>
      <c r="AH76" s="42">
        <f t="shared" si="40"/>
        <v>0</v>
      </c>
      <c r="AI76" s="42">
        <f t="shared" si="40"/>
        <v>0</v>
      </c>
      <c r="AJ76" s="42">
        <f t="shared" si="40"/>
        <v>0</v>
      </c>
      <c r="AK76" s="42">
        <f t="shared" si="40"/>
        <v>0</v>
      </c>
      <c r="AL76" s="42">
        <f t="shared" si="40"/>
        <v>0</v>
      </c>
      <c r="AM76" s="42">
        <f t="shared" si="40"/>
        <v>0</v>
      </c>
      <c r="AN76" s="42">
        <f t="shared" si="40"/>
        <v>0</v>
      </c>
      <c r="AO76" s="42">
        <f t="shared" si="40"/>
        <v>0</v>
      </c>
      <c r="AP76" s="42">
        <f t="shared" si="40"/>
        <v>0</v>
      </c>
      <c r="AQ76" s="42">
        <f t="shared" si="40"/>
        <v>0</v>
      </c>
      <c r="AR76" s="42">
        <f t="shared" si="40"/>
        <v>0</v>
      </c>
      <c r="AS76" s="42">
        <f t="shared" si="40"/>
        <v>0</v>
      </c>
    </row>
    <row r="77" spans="2:45" outlineLevel="1" collapsed="1" x14ac:dyDescent="0.15">
      <c r="B77" s="107" t="s">
        <v>335</v>
      </c>
      <c r="I77" s="22">
        <f>IF(ISERROR(SUM(J77:AS77)),1,MIN(SUM(J77:AS77),1))</f>
        <v>0</v>
      </c>
      <c r="J77" s="17">
        <f t="shared" ref="J77:AS77" si="41">MIN(SUM(J75:J76),1)</f>
        <v>0</v>
      </c>
      <c r="K77" s="17">
        <f t="shared" si="41"/>
        <v>0</v>
      </c>
      <c r="L77" s="17">
        <f t="shared" si="41"/>
        <v>0</v>
      </c>
      <c r="M77" s="17">
        <f t="shared" si="41"/>
        <v>0</v>
      </c>
      <c r="N77" s="17">
        <f t="shared" si="41"/>
        <v>0</v>
      </c>
      <c r="O77" s="17">
        <f t="shared" si="41"/>
        <v>0</v>
      </c>
      <c r="P77" s="17">
        <f t="shared" si="41"/>
        <v>0</v>
      </c>
      <c r="Q77" s="17">
        <f t="shared" si="41"/>
        <v>0</v>
      </c>
      <c r="R77" s="17">
        <f t="shared" si="41"/>
        <v>0</v>
      </c>
      <c r="S77" s="17">
        <f t="shared" si="41"/>
        <v>0</v>
      </c>
      <c r="T77" s="17">
        <f t="shared" si="41"/>
        <v>0</v>
      </c>
      <c r="U77" s="17">
        <f t="shared" si="41"/>
        <v>0</v>
      </c>
      <c r="V77" s="17">
        <f t="shared" si="41"/>
        <v>0</v>
      </c>
      <c r="W77" s="17">
        <f t="shared" si="41"/>
        <v>0</v>
      </c>
      <c r="X77" s="17">
        <f t="shared" si="41"/>
        <v>0</v>
      </c>
      <c r="Y77" s="17">
        <f t="shared" si="41"/>
        <v>0</v>
      </c>
      <c r="Z77" s="17">
        <f t="shared" si="41"/>
        <v>0</v>
      </c>
      <c r="AA77" s="17">
        <f t="shared" si="41"/>
        <v>0</v>
      </c>
      <c r="AB77" s="17">
        <f t="shared" si="41"/>
        <v>0</v>
      </c>
      <c r="AC77" s="17">
        <f t="shared" si="41"/>
        <v>0</v>
      </c>
      <c r="AD77" s="17">
        <f t="shared" si="41"/>
        <v>0</v>
      </c>
      <c r="AE77" s="17">
        <f t="shared" si="41"/>
        <v>0</v>
      </c>
      <c r="AF77" s="17">
        <f t="shared" si="41"/>
        <v>0</v>
      </c>
      <c r="AG77" s="17">
        <f t="shared" si="41"/>
        <v>0</v>
      </c>
      <c r="AH77" s="17">
        <f t="shared" si="41"/>
        <v>0</v>
      </c>
      <c r="AI77" s="17">
        <f t="shared" si="41"/>
        <v>0</v>
      </c>
      <c r="AJ77" s="17">
        <f t="shared" si="41"/>
        <v>0</v>
      </c>
      <c r="AK77" s="17">
        <f t="shared" si="41"/>
        <v>0</v>
      </c>
      <c r="AL77" s="17">
        <f t="shared" si="41"/>
        <v>0</v>
      </c>
      <c r="AM77" s="17">
        <f t="shared" si="41"/>
        <v>0</v>
      </c>
      <c r="AN77" s="17">
        <f t="shared" si="41"/>
        <v>0</v>
      </c>
      <c r="AO77" s="17">
        <f t="shared" si="41"/>
        <v>0</v>
      </c>
      <c r="AP77" s="17">
        <f t="shared" si="41"/>
        <v>0</v>
      </c>
      <c r="AQ77" s="17">
        <f t="shared" si="41"/>
        <v>0</v>
      </c>
      <c r="AR77" s="17">
        <f t="shared" si="41"/>
        <v>0</v>
      </c>
      <c r="AS77" s="17">
        <f t="shared" si="41"/>
        <v>0</v>
      </c>
    </row>
    <row r="78" spans="2:45" ht="6" hidden="1" customHeight="1" outlineLevel="2" x14ac:dyDescent="0.15"/>
    <row r="79" spans="2:45" hidden="1" outlineLevel="2" x14ac:dyDescent="0.15">
      <c r="C79" s="107" t="s">
        <v>390</v>
      </c>
      <c r="J79" s="17">
        <f t="shared" ref="J79:AS79" si="42">IF(J77&lt;&gt;0,0,IF(ROUND(MIN(J72:J72),5)&lt;0,1,0))</f>
        <v>0</v>
      </c>
      <c r="K79" s="17">
        <f t="shared" si="42"/>
        <v>0</v>
      </c>
      <c r="L79" s="17">
        <f t="shared" si="42"/>
        <v>0</v>
      </c>
      <c r="M79" s="17">
        <f t="shared" si="42"/>
        <v>0</v>
      </c>
      <c r="N79" s="17">
        <f t="shared" si="42"/>
        <v>0</v>
      </c>
      <c r="O79" s="17">
        <f t="shared" si="42"/>
        <v>0</v>
      </c>
      <c r="P79" s="17">
        <f t="shared" si="42"/>
        <v>0</v>
      </c>
      <c r="Q79" s="17">
        <f t="shared" si="42"/>
        <v>0</v>
      </c>
      <c r="R79" s="17">
        <f t="shared" si="42"/>
        <v>0</v>
      </c>
      <c r="S79" s="17">
        <f t="shared" si="42"/>
        <v>0</v>
      </c>
      <c r="T79" s="17">
        <f t="shared" si="42"/>
        <v>0</v>
      </c>
      <c r="U79" s="17">
        <f t="shared" si="42"/>
        <v>0</v>
      </c>
      <c r="V79" s="17">
        <f t="shared" si="42"/>
        <v>0</v>
      </c>
      <c r="W79" s="17">
        <f t="shared" si="42"/>
        <v>0</v>
      </c>
      <c r="X79" s="17">
        <f t="shared" si="42"/>
        <v>0</v>
      </c>
      <c r="Y79" s="17">
        <f t="shared" si="42"/>
        <v>0</v>
      </c>
      <c r="Z79" s="17">
        <f t="shared" si="42"/>
        <v>0</v>
      </c>
      <c r="AA79" s="17">
        <f t="shared" si="42"/>
        <v>0</v>
      </c>
      <c r="AB79" s="17">
        <f t="shared" si="42"/>
        <v>0</v>
      </c>
      <c r="AC79" s="17">
        <f t="shared" si="42"/>
        <v>0</v>
      </c>
      <c r="AD79" s="17">
        <f t="shared" si="42"/>
        <v>0</v>
      </c>
      <c r="AE79" s="17">
        <f t="shared" si="42"/>
        <v>0</v>
      </c>
      <c r="AF79" s="17">
        <f t="shared" si="42"/>
        <v>0</v>
      </c>
      <c r="AG79" s="17">
        <f t="shared" si="42"/>
        <v>0</v>
      </c>
      <c r="AH79" s="17">
        <f t="shared" si="42"/>
        <v>0</v>
      </c>
      <c r="AI79" s="17">
        <f t="shared" si="42"/>
        <v>0</v>
      </c>
      <c r="AJ79" s="17">
        <f t="shared" si="42"/>
        <v>0</v>
      </c>
      <c r="AK79" s="17">
        <f t="shared" si="42"/>
        <v>0</v>
      </c>
      <c r="AL79" s="17">
        <f t="shared" si="42"/>
        <v>0</v>
      </c>
      <c r="AM79" s="17">
        <f t="shared" si="42"/>
        <v>0</v>
      </c>
      <c r="AN79" s="17">
        <f t="shared" si="42"/>
        <v>0</v>
      </c>
      <c r="AO79" s="17">
        <f t="shared" si="42"/>
        <v>0</v>
      </c>
      <c r="AP79" s="17">
        <f t="shared" si="42"/>
        <v>0</v>
      </c>
      <c r="AQ79" s="17">
        <f t="shared" si="42"/>
        <v>0</v>
      </c>
      <c r="AR79" s="17">
        <f t="shared" si="42"/>
        <v>0</v>
      </c>
      <c r="AS79" s="17">
        <f t="shared" si="42"/>
        <v>0</v>
      </c>
    </row>
    <row r="80" spans="2:45" hidden="1" outlineLevel="2" x14ac:dyDescent="0.15">
      <c r="C80" s="107" t="s">
        <v>391</v>
      </c>
      <c r="J80" s="42">
        <f t="shared" ref="J80:AS80" si="43">IF(J77&lt;&gt;0,0,IF(ROUND(MAX(J66:J66),5)&gt;0,1,0))</f>
        <v>0</v>
      </c>
      <c r="K80" s="42">
        <f t="shared" si="43"/>
        <v>0</v>
      </c>
      <c r="L80" s="42">
        <f t="shared" si="43"/>
        <v>0</v>
      </c>
      <c r="M80" s="42">
        <f t="shared" si="43"/>
        <v>0</v>
      </c>
      <c r="N80" s="42">
        <f t="shared" si="43"/>
        <v>0</v>
      </c>
      <c r="O80" s="42">
        <f t="shared" si="43"/>
        <v>0</v>
      </c>
      <c r="P80" s="42">
        <f t="shared" si="43"/>
        <v>0</v>
      </c>
      <c r="Q80" s="42">
        <f t="shared" si="43"/>
        <v>0</v>
      </c>
      <c r="R80" s="42">
        <f t="shared" si="43"/>
        <v>0</v>
      </c>
      <c r="S80" s="42">
        <f t="shared" si="43"/>
        <v>0</v>
      </c>
      <c r="T80" s="42">
        <f t="shared" si="43"/>
        <v>0</v>
      </c>
      <c r="U80" s="42">
        <f t="shared" si="43"/>
        <v>0</v>
      </c>
      <c r="V80" s="42">
        <f t="shared" si="43"/>
        <v>0</v>
      </c>
      <c r="W80" s="42">
        <f t="shared" si="43"/>
        <v>0</v>
      </c>
      <c r="X80" s="42">
        <f t="shared" si="43"/>
        <v>0</v>
      </c>
      <c r="Y80" s="42">
        <f t="shared" si="43"/>
        <v>0</v>
      </c>
      <c r="Z80" s="42">
        <f t="shared" si="43"/>
        <v>0</v>
      </c>
      <c r="AA80" s="42">
        <f t="shared" si="43"/>
        <v>0</v>
      </c>
      <c r="AB80" s="42">
        <f t="shared" si="43"/>
        <v>0</v>
      </c>
      <c r="AC80" s="42">
        <f t="shared" si="43"/>
        <v>0</v>
      </c>
      <c r="AD80" s="42">
        <f t="shared" si="43"/>
        <v>0</v>
      </c>
      <c r="AE80" s="42">
        <f t="shared" si="43"/>
        <v>0</v>
      </c>
      <c r="AF80" s="42">
        <f t="shared" si="43"/>
        <v>0</v>
      </c>
      <c r="AG80" s="42">
        <f t="shared" si="43"/>
        <v>0</v>
      </c>
      <c r="AH80" s="42">
        <f t="shared" si="43"/>
        <v>0</v>
      </c>
      <c r="AI80" s="42">
        <f t="shared" si="43"/>
        <v>0</v>
      </c>
      <c r="AJ80" s="42">
        <f t="shared" si="43"/>
        <v>0</v>
      </c>
      <c r="AK80" s="42">
        <f t="shared" si="43"/>
        <v>0</v>
      </c>
      <c r="AL80" s="42">
        <f t="shared" si="43"/>
        <v>0</v>
      </c>
      <c r="AM80" s="42">
        <f t="shared" si="43"/>
        <v>0</v>
      </c>
      <c r="AN80" s="42">
        <f t="shared" si="43"/>
        <v>0</v>
      </c>
      <c r="AO80" s="42">
        <f t="shared" si="43"/>
        <v>0</v>
      </c>
      <c r="AP80" s="42">
        <f t="shared" si="43"/>
        <v>0</v>
      </c>
      <c r="AQ80" s="42">
        <f t="shared" si="43"/>
        <v>0</v>
      </c>
      <c r="AR80" s="42">
        <f t="shared" si="43"/>
        <v>0</v>
      </c>
      <c r="AS80" s="42">
        <f t="shared" si="43"/>
        <v>0</v>
      </c>
    </row>
    <row r="81" spans="2:45" outlineLevel="1" collapsed="1" x14ac:dyDescent="0.15">
      <c r="B81" s="107" t="s">
        <v>392</v>
      </c>
      <c r="I81" s="22">
        <f>IF(ISERROR(SUM(J81:AS81)),1,MIN(SUM(J81:AS81),1))</f>
        <v>0</v>
      </c>
      <c r="J81" s="17">
        <f t="shared" ref="J81:AS81" si="44">MIN(SUM(J79:J80),1)</f>
        <v>0</v>
      </c>
      <c r="K81" s="17">
        <f t="shared" si="44"/>
        <v>0</v>
      </c>
      <c r="L81" s="17">
        <f t="shared" si="44"/>
        <v>0</v>
      </c>
      <c r="M81" s="17">
        <f t="shared" si="44"/>
        <v>0</v>
      </c>
      <c r="N81" s="17">
        <f t="shared" si="44"/>
        <v>0</v>
      </c>
      <c r="O81" s="17">
        <f t="shared" si="44"/>
        <v>0</v>
      </c>
      <c r="P81" s="17">
        <f t="shared" si="44"/>
        <v>0</v>
      </c>
      <c r="Q81" s="17">
        <f t="shared" si="44"/>
        <v>0</v>
      </c>
      <c r="R81" s="17">
        <f t="shared" si="44"/>
        <v>0</v>
      </c>
      <c r="S81" s="17">
        <f t="shared" si="44"/>
        <v>0</v>
      </c>
      <c r="T81" s="17">
        <f t="shared" si="44"/>
        <v>0</v>
      </c>
      <c r="U81" s="17">
        <f t="shared" si="44"/>
        <v>0</v>
      </c>
      <c r="V81" s="17">
        <f t="shared" si="44"/>
        <v>0</v>
      </c>
      <c r="W81" s="17">
        <f t="shared" si="44"/>
        <v>0</v>
      </c>
      <c r="X81" s="17">
        <f t="shared" si="44"/>
        <v>0</v>
      </c>
      <c r="Y81" s="17">
        <f t="shared" si="44"/>
        <v>0</v>
      </c>
      <c r="Z81" s="17">
        <f t="shared" si="44"/>
        <v>0</v>
      </c>
      <c r="AA81" s="17">
        <f t="shared" si="44"/>
        <v>0</v>
      </c>
      <c r="AB81" s="17">
        <f t="shared" si="44"/>
        <v>0</v>
      </c>
      <c r="AC81" s="17">
        <f t="shared" si="44"/>
        <v>0</v>
      </c>
      <c r="AD81" s="17">
        <f t="shared" si="44"/>
        <v>0</v>
      </c>
      <c r="AE81" s="17">
        <f t="shared" si="44"/>
        <v>0</v>
      </c>
      <c r="AF81" s="17">
        <f t="shared" si="44"/>
        <v>0</v>
      </c>
      <c r="AG81" s="17">
        <f t="shared" si="44"/>
        <v>0</v>
      </c>
      <c r="AH81" s="17">
        <f t="shared" si="44"/>
        <v>0</v>
      </c>
      <c r="AI81" s="17">
        <f t="shared" si="44"/>
        <v>0</v>
      </c>
      <c r="AJ81" s="17">
        <f t="shared" si="44"/>
        <v>0</v>
      </c>
      <c r="AK81" s="17">
        <f t="shared" si="44"/>
        <v>0</v>
      </c>
      <c r="AL81" s="17">
        <f t="shared" si="44"/>
        <v>0</v>
      </c>
      <c r="AM81" s="17">
        <f t="shared" si="44"/>
        <v>0</v>
      </c>
      <c r="AN81" s="17">
        <f t="shared" si="44"/>
        <v>0</v>
      </c>
      <c r="AO81" s="17">
        <f t="shared" si="44"/>
        <v>0</v>
      </c>
      <c r="AP81" s="17">
        <f t="shared" si="44"/>
        <v>0</v>
      </c>
      <c r="AQ81" s="17">
        <f t="shared" si="44"/>
        <v>0</v>
      </c>
      <c r="AR81" s="17">
        <f t="shared" si="44"/>
        <v>0</v>
      </c>
      <c r="AS81" s="17">
        <f t="shared" si="44"/>
        <v>0</v>
      </c>
    </row>
    <row r="83" spans="2:45" x14ac:dyDescent="0.15">
      <c r="B83" s="1" t="s">
        <v>91</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2:45" hidden="1" outlineLevel="1" x14ac:dyDescent="0.15"/>
    <row r="85" spans="2:45" hidden="1" outlineLevel="1" x14ac:dyDescent="0.15">
      <c r="B85" s="108" t="s">
        <v>393</v>
      </c>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row>
    <row r="86" spans="2:45" hidden="1" outlineLevel="1" x14ac:dyDescent="0.15"/>
    <row r="87" spans="2:45" hidden="1" outlineLevel="1" x14ac:dyDescent="0.15">
      <c r="B87" s="16" t="s">
        <v>65</v>
      </c>
      <c r="H87" s="16" t="s">
        <v>368</v>
      </c>
    </row>
    <row r="88" spans="2:45" ht="12" hidden="1" customHeight="1" outlineLevel="1" x14ac:dyDescent="0.15">
      <c r="B88" s="339" t="str">
        <f>Rev_Exp!B105</f>
        <v>Instructor Grants</v>
      </c>
      <c r="C88" s="339"/>
      <c r="D88" s="339"/>
      <c r="E88" s="339"/>
      <c r="F88" s="339"/>
      <c r="G88" s="339"/>
      <c r="H88" s="4">
        <v>1</v>
      </c>
      <c r="J88" s="14">
        <f>Rev_Exp!J105</f>
        <v>769.57999999999981</v>
      </c>
      <c r="K88" s="14">
        <f>Rev_Exp!K105</f>
        <v>702.66</v>
      </c>
      <c r="L88" s="14">
        <f>Rev_Exp!L105</f>
        <v>736.12</v>
      </c>
      <c r="M88" s="14">
        <f>Rev_Exp!M105</f>
        <v>736.12</v>
      </c>
      <c r="N88" s="14">
        <f>Rev_Exp!N105</f>
        <v>702.66</v>
      </c>
      <c r="O88" s="14">
        <f>Rev_Exp!O105</f>
        <v>769.57999999999981</v>
      </c>
      <c r="P88" s="14">
        <f>Rev_Exp!P105</f>
        <v>702.66</v>
      </c>
      <c r="Q88" s="14">
        <f>Rev_Exp!Q105</f>
        <v>702.66</v>
      </c>
      <c r="R88" s="14">
        <f>Rev_Exp!R105</f>
        <v>736.12</v>
      </c>
      <c r="S88" s="14">
        <f>Rev_Exp!S105</f>
        <v>769.57999999999981</v>
      </c>
      <c r="T88" s="14">
        <f>Rev_Exp!T105</f>
        <v>669.19999999999993</v>
      </c>
      <c r="U88" s="14">
        <f>Rev_Exp!U105</f>
        <v>769.57999999999981</v>
      </c>
      <c r="V88" s="14">
        <f>Rev_Exp!V105</f>
        <v>841.28</v>
      </c>
      <c r="W88" s="14">
        <f>Rev_Exp!W105</f>
        <v>803.04</v>
      </c>
      <c r="X88" s="14">
        <f>Rev_Exp!X105</f>
        <v>879.51999999999987</v>
      </c>
      <c r="Y88" s="14">
        <f>Rev_Exp!Y105</f>
        <v>803.04</v>
      </c>
      <c r="Z88" s="14">
        <f>Rev_Exp!Z105</f>
        <v>841.28</v>
      </c>
      <c r="AA88" s="14">
        <f>Rev_Exp!AA105</f>
        <v>879.51999999999987</v>
      </c>
      <c r="AB88" s="14">
        <f>Rev_Exp!AB105</f>
        <v>764.8</v>
      </c>
      <c r="AC88" s="14">
        <f>Rev_Exp!AC105</f>
        <v>903.42000000000007</v>
      </c>
      <c r="AD88" s="14">
        <f>Rev_Exp!AD105</f>
        <v>946.43999999999994</v>
      </c>
      <c r="AE88" s="14">
        <f>Rev_Exp!AE105</f>
        <v>946.43999999999994</v>
      </c>
      <c r="AF88" s="14">
        <f>Rev_Exp!AF105</f>
        <v>903.42000000000007</v>
      </c>
      <c r="AG88" s="14">
        <f>Rev_Exp!AG105</f>
        <v>989.45999999999992</v>
      </c>
      <c r="AH88" s="14">
        <f>Rev_Exp!AH105</f>
        <v>903.42000000000007</v>
      </c>
      <c r="AI88" s="14">
        <f>Rev_Exp!AI105</f>
        <v>946.43999999999994</v>
      </c>
      <c r="AJ88" s="14">
        <f>Rev_Exp!AJ105</f>
        <v>989.45999999999992</v>
      </c>
      <c r="AK88" s="14">
        <f>Rev_Exp!AK105</f>
        <v>860.4</v>
      </c>
      <c r="AL88" s="14">
        <f>Rev_Exp!AL105</f>
        <v>989.45999999999992</v>
      </c>
      <c r="AM88" s="14">
        <f>Rev_Exp!AM105</f>
        <v>1051.5999999999999</v>
      </c>
      <c r="AN88" s="14">
        <f>Rev_Exp!AN105</f>
        <v>956</v>
      </c>
      <c r="AO88" s="14">
        <f>Rev_Exp!AO105</f>
        <v>1051.5999999999999</v>
      </c>
      <c r="AP88" s="14">
        <f>Rev_Exp!AP105</f>
        <v>1051.5999999999999</v>
      </c>
      <c r="AQ88" s="14">
        <f>Rev_Exp!AQ105</f>
        <v>1003.8</v>
      </c>
      <c r="AR88" s="14">
        <f>Rev_Exp!AR105</f>
        <v>1051.5999999999999</v>
      </c>
      <c r="AS88" s="14">
        <f>Rev_Exp!AS105</f>
        <v>1099.3999999999999</v>
      </c>
    </row>
    <row r="89" spans="2:45" ht="12" hidden="1" customHeight="1" outlineLevel="1" x14ac:dyDescent="0.15">
      <c r="B89" s="339" t="str">
        <f>Rev_Exp!B106</f>
        <v>Merch CoGS</v>
      </c>
      <c r="C89" s="339"/>
      <c r="D89" s="339"/>
      <c r="E89" s="339"/>
      <c r="F89" s="339"/>
      <c r="G89" s="339"/>
      <c r="H89" s="4">
        <v>1</v>
      </c>
      <c r="J89" s="14">
        <f>Rev_Exp!J106</f>
        <v>50</v>
      </c>
      <c r="K89" s="14">
        <f>Rev_Exp!K106</f>
        <v>51.666666666666671</v>
      </c>
      <c r="L89" s="14">
        <f>Rev_Exp!L106</f>
        <v>53.333333333333336</v>
      </c>
      <c r="M89" s="14">
        <f>Rev_Exp!M106</f>
        <v>55</v>
      </c>
      <c r="N89" s="14">
        <f>Rev_Exp!N106</f>
        <v>56.666666666666671</v>
      </c>
      <c r="O89" s="14">
        <f>Rev_Exp!O106</f>
        <v>58.333333333333336</v>
      </c>
      <c r="P89" s="14">
        <f>Rev_Exp!P106</f>
        <v>60</v>
      </c>
      <c r="Q89" s="14">
        <f>Rev_Exp!Q106</f>
        <v>61.666666666666671</v>
      </c>
      <c r="R89" s="14">
        <f>Rev_Exp!R106</f>
        <v>63.333333333333336</v>
      </c>
      <c r="S89" s="14">
        <f>Rev_Exp!S106</f>
        <v>65</v>
      </c>
      <c r="T89" s="14">
        <f>Rev_Exp!T106</f>
        <v>66.666666666666671</v>
      </c>
      <c r="U89" s="14">
        <f>Rev_Exp!U106</f>
        <v>68.333333333333343</v>
      </c>
      <c r="V89" s="14">
        <f>Rev_Exp!V106</f>
        <v>70</v>
      </c>
      <c r="W89" s="14">
        <f>Rev_Exp!W106</f>
        <v>71.666666666666671</v>
      </c>
      <c r="X89" s="14">
        <f>Rev_Exp!X106</f>
        <v>73.333333333333343</v>
      </c>
      <c r="Y89" s="14">
        <f>Rev_Exp!Y106</f>
        <v>75</v>
      </c>
      <c r="Z89" s="14">
        <f>Rev_Exp!Z106</f>
        <v>76.666666666666671</v>
      </c>
      <c r="AA89" s="14">
        <f>Rev_Exp!AA106</f>
        <v>78.333333333333343</v>
      </c>
      <c r="AB89" s="14">
        <f>Rev_Exp!AB106</f>
        <v>80</v>
      </c>
      <c r="AC89" s="14">
        <f>Rev_Exp!AC106</f>
        <v>81.666666666666671</v>
      </c>
      <c r="AD89" s="14">
        <f>Rev_Exp!AD106</f>
        <v>83.333333333333343</v>
      </c>
      <c r="AE89" s="14">
        <f>Rev_Exp!AE106</f>
        <v>85</v>
      </c>
      <c r="AF89" s="14">
        <f>Rev_Exp!AF106</f>
        <v>86.666666666666671</v>
      </c>
      <c r="AG89" s="14">
        <f>Rev_Exp!AG106</f>
        <v>88.333333333333343</v>
      </c>
      <c r="AH89" s="14">
        <f>Rev_Exp!AH106</f>
        <v>90</v>
      </c>
      <c r="AI89" s="14">
        <f>Rev_Exp!AI106</f>
        <v>91.666666666666671</v>
      </c>
      <c r="AJ89" s="14">
        <f>Rev_Exp!AJ106</f>
        <v>93.333333333333343</v>
      </c>
      <c r="AK89" s="14">
        <f>Rev_Exp!AK106</f>
        <v>95</v>
      </c>
      <c r="AL89" s="14">
        <f>Rev_Exp!AL106</f>
        <v>96.666666666666671</v>
      </c>
      <c r="AM89" s="14">
        <f>Rev_Exp!AM106</f>
        <v>98.333333333333343</v>
      </c>
      <c r="AN89" s="14">
        <f>Rev_Exp!AN106</f>
        <v>100</v>
      </c>
      <c r="AO89" s="14">
        <f>Rev_Exp!AO106</f>
        <v>101.66666666666667</v>
      </c>
      <c r="AP89" s="14">
        <f>Rev_Exp!AP106</f>
        <v>103.33333333333334</v>
      </c>
      <c r="AQ89" s="14">
        <f>Rev_Exp!AQ106</f>
        <v>105</v>
      </c>
      <c r="AR89" s="14">
        <f>Rev_Exp!AR106</f>
        <v>106.66666666666667</v>
      </c>
      <c r="AS89" s="14">
        <f>Rev_Exp!AS106</f>
        <v>108.33333333333334</v>
      </c>
    </row>
    <row r="90" spans="2:45" hidden="1" outlineLevel="1" collapsed="1" x14ac:dyDescent="0.15">
      <c r="B90" s="339" t="str">
        <f>Rev_Exp!B107</f>
        <v>Discounts (Gift Cards)</v>
      </c>
      <c r="C90" s="339"/>
      <c r="D90" s="339"/>
      <c r="E90" s="339"/>
      <c r="F90" s="339"/>
      <c r="G90" s="339"/>
      <c r="H90" s="4">
        <v>1</v>
      </c>
      <c r="J90" s="14">
        <f>Rev_Exp!J107</f>
        <v>34.734867096774195</v>
      </c>
      <c r="K90" s="14">
        <f>Rev_Exp!K107</f>
        <v>63.939631559999988</v>
      </c>
      <c r="L90" s="14">
        <f>Rev_Exp!L107</f>
        <v>66.546122322580658</v>
      </c>
      <c r="M90" s="14">
        <f>Rev_Exp!M107</f>
        <v>81.500033999999999</v>
      </c>
      <c r="N90" s="14">
        <f>Rev_Exp!N107</f>
        <v>27.577545212903217</v>
      </c>
      <c r="O90" s="14">
        <f>Rev_Exp!O107</f>
        <v>60.543239806451609</v>
      </c>
      <c r="P90" s="14">
        <f>Rev_Exp!P107</f>
        <v>66.120364800000004</v>
      </c>
      <c r="Q90" s="14">
        <f>Rev_Exp!Q107</f>
        <v>65.541072890322582</v>
      </c>
      <c r="R90" s="14">
        <f>Rev_Exp!R107</f>
        <v>49.384559840000001</v>
      </c>
      <c r="S90" s="14">
        <f>Rev_Exp!S107</f>
        <v>60.309754490322568</v>
      </c>
      <c r="T90" s="14">
        <f>Rev_Exp!T107</f>
        <v>59.090080000000007</v>
      </c>
      <c r="U90" s="14">
        <f>Rev_Exp!U107</f>
        <v>53.187536206451611</v>
      </c>
      <c r="V90" s="14">
        <f>Rev_Exp!V107</f>
        <v>46.514517677419356</v>
      </c>
      <c r="W90" s="14">
        <f>Rev_Exp!W107</f>
        <v>88.690456679999997</v>
      </c>
      <c r="X90" s="14">
        <f>Rev_Exp!X107</f>
        <v>95.660050838709665</v>
      </c>
      <c r="Y90" s="14">
        <f>Rev_Exp!Y107</f>
        <v>106.08475499999999</v>
      </c>
      <c r="Z90" s="14">
        <f>Rev_Exp!Z107</f>
        <v>39.087501058064511</v>
      </c>
      <c r="AA90" s="14">
        <f>Rev_Exp!AA107</f>
        <v>81.300922025806443</v>
      </c>
      <c r="AB90" s="14">
        <f>Rev_Exp!AB107</f>
        <v>83.962367999999998</v>
      </c>
      <c r="AC90" s="14">
        <f>Rev_Exp!AC107</f>
        <v>86.797637070967752</v>
      </c>
      <c r="AD90" s="14">
        <f>Rev_Exp!AD107</f>
        <v>64.979684000000006</v>
      </c>
      <c r="AE90" s="14">
        <f>Rev_Exp!AE107</f>
        <v>75.437619329032259</v>
      </c>
      <c r="AF90" s="14">
        <f>Rev_Exp!AF107</f>
        <v>80.657959200000008</v>
      </c>
      <c r="AG90" s="14">
        <f>Rev_Exp!AG107</f>
        <v>68.754619974193531</v>
      </c>
      <c r="AH90" s="14">
        <f>Rev_Exp!AH107</f>
        <v>57.085998967741943</v>
      </c>
      <c r="AI90" s="14">
        <f>Rev_Exp!AI107</f>
        <v>118.84324760000001</v>
      </c>
      <c r="AJ90" s="14">
        <f>Rev_Exp!AJ107</f>
        <v>121.74915561290324</v>
      </c>
      <c r="AK90" s="14">
        <f>Rev_Exp!AK107</f>
        <v>120.96000000000001</v>
      </c>
      <c r="AL90" s="14">
        <f>Rev_Exp!AL107</f>
        <v>51.524433212903205</v>
      </c>
      <c r="AM90" s="14">
        <f>Rev_Exp!AM107</f>
        <v>97.621273625806467</v>
      </c>
      <c r="AN90" s="14">
        <f>Rev_Exp!AN107</f>
        <v>104.95295999999999</v>
      </c>
      <c r="AO90" s="14">
        <f>Rev_Exp!AO107</f>
        <v>113.19963940645162</v>
      </c>
      <c r="AP90" s="14">
        <f>Rev_Exp!AP107</f>
        <v>80.574808160000003</v>
      </c>
      <c r="AQ90" s="14">
        <f>Rev_Exp!AQ107</f>
        <v>88.951845251612909</v>
      </c>
      <c r="AR90" s="14">
        <f>Rev_Exp!AR107</f>
        <v>103.99854080000001</v>
      </c>
      <c r="AS90" s="14">
        <f>Rev_Exp!AS107</f>
        <v>84.32170374193548</v>
      </c>
    </row>
    <row r="91" spans="2:45" hidden="1" outlineLevel="1" x14ac:dyDescent="0.15"/>
    <row r="92" spans="2:45" hidden="1" outlineLevel="1" x14ac:dyDescent="0.15">
      <c r="B92" s="108" t="s">
        <v>369</v>
      </c>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row>
    <row r="93" spans="2:45" hidden="1" outlineLevel="2" x14ac:dyDescent="0.15"/>
    <row r="94" spans="2:45" hidden="1" outlineLevel="2" x14ac:dyDescent="0.15">
      <c r="B94" s="16" t="s">
        <v>371</v>
      </c>
    </row>
    <row r="95" spans="2:45" hidden="1" outlineLevel="2" x14ac:dyDescent="0.15">
      <c r="B95" s="107" t="s">
        <v>372</v>
      </c>
      <c r="J95" s="17">
        <f t="shared" ref="J95:AS95" si="45">J$7-J$6+1</f>
        <v>31</v>
      </c>
      <c r="K95" s="17">
        <f t="shared" si="45"/>
        <v>30</v>
      </c>
      <c r="L95" s="17">
        <f t="shared" si="45"/>
        <v>31</v>
      </c>
      <c r="M95" s="17">
        <f t="shared" si="45"/>
        <v>30</v>
      </c>
      <c r="N95" s="17">
        <f t="shared" si="45"/>
        <v>31</v>
      </c>
      <c r="O95" s="17">
        <f t="shared" si="45"/>
        <v>31</v>
      </c>
      <c r="P95" s="17">
        <f t="shared" si="45"/>
        <v>29</v>
      </c>
      <c r="Q95" s="17">
        <f t="shared" si="45"/>
        <v>31</v>
      </c>
      <c r="R95" s="17">
        <f t="shared" si="45"/>
        <v>30</v>
      </c>
      <c r="S95" s="17">
        <f t="shared" si="45"/>
        <v>31</v>
      </c>
      <c r="T95" s="17">
        <f t="shared" si="45"/>
        <v>30</v>
      </c>
      <c r="U95" s="17">
        <f t="shared" si="45"/>
        <v>31</v>
      </c>
      <c r="V95" s="17">
        <f t="shared" si="45"/>
        <v>31</v>
      </c>
      <c r="W95" s="17">
        <f t="shared" si="45"/>
        <v>30</v>
      </c>
      <c r="X95" s="17">
        <f t="shared" si="45"/>
        <v>31</v>
      </c>
      <c r="Y95" s="17">
        <f t="shared" si="45"/>
        <v>30</v>
      </c>
      <c r="Z95" s="17">
        <f t="shared" si="45"/>
        <v>31</v>
      </c>
      <c r="AA95" s="17">
        <f t="shared" si="45"/>
        <v>31</v>
      </c>
      <c r="AB95" s="17">
        <f t="shared" si="45"/>
        <v>28</v>
      </c>
      <c r="AC95" s="17">
        <f t="shared" si="45"/>
        <v>31</v>
      </c>
      <c r="AD95" s="17">
        <f t="shared" si="45"/>
        <v>30</v>
      </c>
      <c r="AE95" s="17">
        <f t="shared" si="45"/>
        <v>31</v>
      </c>
      <c r="AF95" s="17">
        <f t="shared" si="45"/>
        <v>30</v>
      </c>
      <c r="AG95" s="17">
        <f t="shared" si="45"/>
        <v>31</v>
      </c>
      <c r="AH95" s="17">
        <f t="shared" si="45"/>
        <v>31</v>
      </c>
      <c r="AI95" s="17">
        <f t="shared" si="45"/>
        <v>30</v>
      </c>
      <c r="AJ95" s="17">
        <f t="shared" si="45"/>
        <v>31</v>
      </c>
      <c r="AK95" s="17">
        <f t="shared" si="45"/>
        <v>30</v>
      </c>
      <c r="AL95" s="17">
        <f t="shared" si="45"/>
        <v>31</v>
      </c>
      <c r="AM95" s="17">
        <f t="shared" si="45"/>
        <v>31</v>
      </c>
      <c r="AN95" s="17">
        <f t="shared" si="45"/>
        <v>28</v>
      </c>
      <c r="AO95" s="17">
        <f t="shared" si="45"/>
        <v>31</v>
      </c>
      <c r="AP95" s="17">
        <f t="shared" si="45"/>
        <v>30</v>
      </c>
      <c r="AQ95" s="17">
        <f t="shared" si="45"/>
        <v>31</v>
      </c>
      <c r="AR95" s="17">
        <f t="shared" si="45"/>
        <v>30</v>
      </c>
      <c r="AS95" s="17">
        <f t="shared" si="45"/>
        <v>31</v>
      </c>
    </row>
    <row r="96" spans="2:45" hidden="1" outlineLevel="2" x14ac:dyDescent="0.15">
      <c r="B96" s="107" t="s">
        <v>373</v>
      </c>
      <c r="J96" s="17">
        <f t="shared" ref="J96:AS96" si="46">IF(J$8=1,0,I97)</f>
        <v>0</v>
      </c>
      <c r="K96" s="17">
        <f t="shared" si="46"/>
        <v>31</v>
      </c>
      <c r="L96" s="17">
        <f t="shared" si="46"/>
        <v>61</v>
      </c>
      <c r="M96" s="17">
        <f t="shared" si="46"/>
        <v>92</v>
      </c>
      <c r="N96" s="17">
        <f t="shared" si="46"/>
        <v>122</v>
      </c>
      <c r="O96" s="17">
        <f t="shared" si="46"/>
        <v>153</v>
      </c>
      <c r="P96" s="17">
        <f t="shared" si="46"/>
        <v>184</v>
      </c>
      <c r="Q96" s="17">
        <f t="shared" si="46"/>
        <v>213</v>
      </c>
      <c r="R96" s="17">
        <f t="shared" si="46"/>
        <v>244</v>
      </c>
      <c r="S96" s="17">
        <f t="shared" si="46"/>
        <v>274</v>
      </c>
      <c r="T96" s="17">
        <f t="shared" si="46"/>
        <v>305</v>
      </c>
      <c r="U96" s="17">
        <f t="shared" si="46"/>
        <v>335</v>
      </c>
      <c r="V96" s="17">
        <f t="shared" si="46"/>
        <v>366</v>
      </c>
      <c r="W96" s="17">
        <f t="shared" si="46"/>
        <v>397</v>
      </c>
      <c r="X96" s="17">
        <f t="shared" si="46"/>
        <v>427</v>
      </c>
      <c r="Y96" s="17">
        <f t="shared" si="46"/>
        <v>458</v>
      </c>
      <c r="Z96" s="17">
        <f t="shared" si="46"/>
        <v>488</v>
      </c>
      <c r="AA96" s="17">
        <f t="shared" si="46"/>
        <v>519</v>
      </c>
      <c r="AB96" s="17">
        <f t="shared" si="46"/>
        <v>550</v>
      </c>
      <c r="AC96" s="17">
        <f t="shared" si="46"/>
        <v>578</v>
      </c>
      <c r="AD96" s="17">
        <f t="shared" si="46"/>
        <v>609</v>
      </c>
      <c r="AE96" s="17">
        <f t="shared" si="46"/>
        <v>639</v>
      </c>
      <c r="AF96" s="17">
        <f t="shared" si="46"/>
        <v>670</v>
      </c>
      <c r="AG96" s="17">
        <f t="shared" si="46"/>
        <v>700</v>
      </c>
      <c r="AH96" s="17">
        <f t="shared" si="46"/>
        <v>731</v>
      </c>
      <c r="AI96" s="17">
        <f t="shared" si="46"/>
        <v>762</v>
      </c>
      <c r="AJ96" s="17">
        <f t="shared" si="46"/>
        <v>792</v>
      </c>
      <c r="AK96" s="17">
        <f t="shared" si="46"/>
        <v>823</v>
      </c>
      <c r="AL96" s="17">
        <f t="shared" si="46"/>
        <v>853</v>
      </c>
      <c r="AM96" s="17">
        <f t="shared" si="46"/>
        <v>884</v>
      </c>
      <c r="AN96" s="17">
        <f t="shared" si="46"/>
        <v>915</v>
      </c>
      <c r="AO96" s="17">
        <f t="shared" si="46"/>
        <v>943</v>
      </c>
      <c r="AP96" s="17">
        <f t="shared" si="46"/>
        <v>974</v>
      </c>
      <c r="AQ96" s="17">
        <f t="shared" si="46"/>
        <v>1004</v>
      </c>
      <c r="AR96" s="17">
        <f t="shared" si="46"/>
        <v>1035</v>
      </c>
      <c r="AS96" s="17">
        <f t="shared" si="46"/>
        <v>1065</v>
      </c>
    </row>
    <row r="97" spans="2:45" hidden="1" outlineLevel="2" x14ac:dyDescent="0.15">
      <c r="B97" s="107" t="s">
        <v>374</v>
      </c>
      <c r="J97" s="17">
        <f t="shared" ref="J97:AS97" si="47">J96+J95</f>
        <v>31</v>
      </c>
      <c r="K97" s="17">
        <f t="shared" si="47"/>
        <v>61</v>
      </c>
      <c r="L97" s="17">
        <f t="shared" si="47"/>
        <v>92</v>
      </c>
      <c r="M97" s="17">
        <f t="shared" si="47"/>
        <v>122</v>
      </c>
      <c r="N97" s="17">
        <f t="shared" si="47"/>
        <v>153</v>
      </c>
      <c r="O97" s="17">
        <f t="shared" si="47"/>
        <v>184</v>
      </c>
      <c r="P97" s="17">
        <f t="shared" si="47"/>
        <v>213</v>
      </c>
      <c r="Q97" s="17">
        <f t="shared" si="47"/>
        <v>244</v>
      </c>
      <c r="R97" s="17">
        <f t="shared" si="47"/>
        <v>274</v>
      </c>
      <c r="S97" s="17">
        <f t="shared" si="47"/>
        <v>305</v>
      </c>
      <c r="T97" s="17">
        <f t="shared" si="47"/>
        <v>335</v>
      </c>
      <c r="U97" s="17">
        <f t="shared" si="47"/>
        <v>366</v>
      </c>
      <c r="V97" s="17">
        <f t="shared" si="47"/>
        <v>397</v>
      </c>
      <c r="W97" s="17">
        <f t="shared" si="47"/>
        <v>427</v>
      </c>
      <c r="X97" s="17">
        <f t="shared" si="47"/>
        <v>458</v>
      </c>
      <c r="Y97" s="17">
        <f t="shared" si="47"/>
        <v>488</v>
      </c>
      <c r="Z97" s="17">
        <f t="shared" si="47"/>
        <v>519</v>
      </c>
      <c r="AA97" s="17">
        <f t="shared" si="47"/>
        <v>550</v>
      </c>
      <c r="AB97" s="17">
        <f t="shared" si="47"/>
        <v>578</v>
      </c>
      <c r="AC97" s="17">
        <f t="shared" si="47"/>
        <v>609</v>
      </c>
      <c r="AD97" s="17">
        <f t="shared" si="47"/>
        <v>639</v>
      </c>
      <c r="AE97" s="17">
        <f t="shared" si="47"/>
        <v>670</v>
      </c>
      <c r="AF97" s="17">
        <f t="shared" si="47"/>
        <v>700</v>
      </c>
      <c r="AG97" s="17">
        <f t="shared" si="47"/>
        <v>731</v>
      </c>
      <c r="AH97" s="17">
        <f t="shared" si="47"/>
        <v>762</v>
      </c>
      <c r="AI97" s="17">
        <f t="shared" si="47"/>
        <v>792</v>
      </c>
      <c r="AJ97" s="17">
        <f t="shared" si="47"/>
        <v>823</v>
      </c>
      <c r="AK97" s="17">
        <f t="shared" si="47"/>
        <v>853</v>
      </c>
      <c r="AL97" s="17">
        <f t="shared" si="47"/>
        <v>884</v>
      </c>
      <c r="AM97" s="17">
        <f t="shared" si="47"/>
        <v>915</v>
      </c>
      <c r="AN97" s="17">
        <f t="shared" si="47"/>
        <v>943</v>
      </c>
      <c r="AO97" s="17">
        <f t="shared" si="47"/>
        <v>974</v>
      </c>
      <c r="AP97" s="17">
        <f t="shared" si="47"/>
        <v>1004</v>
      </c>
      <c r="AQ97" s="17">
        <f t="shared" si="47"/>
        <v>1035</v>
      </c>
      <c r="AR97" s="17">
        <f t="shared" si="47"/>
        <v>1065</v>
      </c>
      <c r="AS97" s="17">
        <f t="shared" si="47"/>
        <v>1096</v>
      </c>
    </row>
    <row r="98" spans="2:45" hidden="1" outlineLevel="1" collapsed="1" x14ac:dyDescent="0.15"/>
    <row r="99" spans="2:45" hidden="1" outlineLevel="1" x14ac:dyDescent="0.15">
      <c r="B99" s="16" t="str">
        <f>OBS!B11</f>
        <v>Inventory</v>
      </c>
    </row>
    <row r="100" spans="2:45" hidden="1" outlineLevel="1" x14ac:dyDescent="0.15">
      <c r="B100" s="107" t="s">
        <v>375</v>
      </c>
      <c r="J100" s="14">
        <f>IF(J$8=1,OBS!J11,I112)</f>
        <v>279</v>
      </c>
      <c r="K100" s="14">
        <f ca="1">IF(K$8=1,OBS!K11,J112)</f>
        <v>0</v>
      </c>
      <c r="L100" s="14">
        <f ca="1">IF(L$8=1,OBS!L11,K112)</f>
        <v>0</v>
      </c>
      <c r="M100" s="14">
        <f ca="1">IF(M$8=1,OBS!M11,L112)</f>
        <v>0</v>
      </c>
      <c r="N100" s="14">
        <f ca="1">IF(N$8=1,OBS!N11,M112)</f>
        <v>0</v>
      </c>
      <c r="O100" s="14">
        <f ca="1">IF(O$8=1,OBS!O11,N112)</f>
        <v>0</v>
      </c>
      <c r="P100" s="14">
        <f ca="1">IF(P$8=1,OBS!P11,O112)</f>
        <v>0</v>
      </c>
      <c r="Q100" s="14">
        <f ca="1">IF(Q$8=1,OBS!Q11,P112)</f>
        <v>0</v>
      </c>
      <c r="R100" s="14">
        <f ca="1">IF(R$8=1,OBS!R11,Q112)</f>
        <v>0</v>
      </c>
      <c r="S100" s="14">
        <f ca="1">IF(S$8=1,OBS!S11,R112)</f>
        <v>0</v>
      </c>
      <c r="T100" s="14">
        <f ca="1">IF(T$8=1,OBS!T11,S112)</f>
        <v>0</v>
      </c>
      <c r="U100" s="14">
        <f ca="1">IF(U$8=1,OBS!U11,T112)</f>
        <v>0</v>
      </c>
      <c r="V100" s="14">
        <f ca="1">IF(V$8=1,OBS!V11,U112)</f>
        <v>0</v>
      </c>
      <c r="W100" s="14">
        <f ca="1">IF(W$8=1,OBS!W11,V112)</f>
        <v>0</v>
      </c>
      <c r="X100" s="14">
        <f ca="1">IF(X$8=1,OBS!X11,W112)</f>
        <v>0</v>
      </c>
      <c r="Y100" s="14">
        <f ca="1">IF(Y$8=1,OBS!Y11,X112)</f>
        <v>0</v>
      </c>
      <c r="Z100" s="14">
        <f ca="1">IF(Z$8=1,OBS!Z11,Y112)</f>
        <v>0</v>
      </c>
      <c r="AA100" s="14">
        <f ca="1">IF(AA$8=1,OBS!AA11,Z112)</f>
        <v>0</v>
      </c>
      <c r="AB100" s="14">
        <f ca="1">IF(AB$8=1,OBS!AB11,AA112)</f>
        <v>0</v>
      </c>
      <c r="AC100" s="14">
        <f ca="1">IF(AC$8=1,OBS!AC11,AB112)</f>
        <v>0</v>
      </c>
      <c r="AD100" s="14">
        <f ca="1">IF(AD$8=1,OBS!AD11,AC112)</f>
        <v>0</v>
      </c>
      <c r="AE100" s="14">
        <f ca="1">IF(AE$8=1,OBS!AE11,AD112)</f>
        <v>0</v>
      </c>
      <c r="AF100" s="14">
        <f ca="1">IF(AF$8=1,OBS!AF11,AE112)</f>
        <v>0</v>
      </c>
      <c r="AG100" s="14">
        <f ca="1">IF(AG$8=1,OBS!AG11,AF112)</f>
        <v>0</v>
      </c>
      <c r="AH100" s="14">
        <f ca="1">IF(AH$8=1,OBS!AH11,AG112)</f>
        <v>0</v>
      </c>
      <c r="AI100" s="14">
        <f ca="1">IF(AI$8=1,OBS!AI11,AH112)</f>
        <v>0</v>
      </c>
      <c r="AJ100" s="14">
        <f ca="1">IF(AJ$8=1,OBS!AJ11,AI112)</f>
        <v>0</v>
      </c>
      <c r="AK100" s="14">
        <f ca="1">IF(AK$8=1,OBS!AK11,AJ112)</f>
        <v>0</v>
      </c>
      <c r="AL100" s="14">
        <f ca="1">IF(AL$8=1,OBS!AL11,AK112)</f>
        <v>0</v>
      </c>
      <c r="AM100" s="14">
        <f ca="1">IF(AM$8=1,OBS!AM11,AL112)</f>
        <v>0</v>
      </c>
      <c r="AN100" s="14">
        <f ca="1">IF(AN$8=1,OBS!AN11,AM112)</f>
        <v>0</v>
      </c>
      <c r="AO100" s="14">
        <f ca="1">IF(AO$8=1,OBS!AO11,AN112)</f>
        <v>0</v>
      </c>
      <c r="AP100" s="14">
        <f ca="1">IF(AP$8=1,OBS!AP11,AO112)</f>
        <v>0</v>
      </c>
      <c r="AQ100" s="14">
        <f ca="1">IF(AQ$8=1,OBS!AQ11,AP112)</f>
        <v>0</v>
      </c>
      <c r="AR100" s="14">
        <f ca="1">IF(AR$8=1,OBS!AR11,AQ112)</f>
        <v>0</v>
      </c>
      <c r="AS100" s="14">
        <f ca="1">IF(AS$8=1,OBS!AS11,AR112)</f>
        <v>0</v>
      </c>
    </row>
    <row r="101" spans="2:45" hidden="1" outlineLevel="1" x14ac:dyDescent="0.15">
      <c r="B101" s="107" t="s">
        <v>394</v>
      </c>
      <c r="J101" s="14">
        <f t="shared" ref="J101:AS101" ca="1" si="48">J112-J102-J100</f>
        <v>-279</v>
      </c>
      <c r="K101" s="14">
        <f t="shared" ca="1" si="48"/>
        <v>0</v>
      </c>
      <c r="L101" s="14">
        <f t="shared" ca="1" si="48"/>
        <v>0</v>
      </c>
      <c r="M101" s="14">
        <f t="shared" ca="1" si="48"/>
        <v>0</v>
      </c>
      <c r="N101" s="14">
        <f t="shared" ca="1" si="48"/>
        <v>0</v>
      </c>
      <c r="O101" s="14">
        <f t="shared" ca="1" si="48"/>
        <v>0</v>
      </c>
      <c r="P101" s="14">
        <f t="shared" ca="1" si="48"/>
        <v>0</v>
      </c>
      <c r="Q101" s="14">
        <f t="shared" ca="1" si="48"/>
        <v>0</v>
      </c>
      <c r="R101" s="14">
        <f t="shared" ca="1" si="48"/>
        <v>0</v>
      </c>
      <c r="S101" s="14">
        <f t="shared" ca="1" si="48"/>
        <v>0</v>
      </c>
      <c r="T101" s="14">
        <f t="shared" ca="1" si="48"/>
        <v>0</v>
      </c>
      <c r="U101" s="14">
        <f t="shared" ca="1" si="48"/>
        <v>0</v>
      </c>
      <c r="V101" s="14">
        <f t="shared" ca="1" si="48"/>
        <v>0</v>
      </c>
      <c r="W101" s="14">
        <f t="shared" ca="1" si="48"/>
        <v>0</v>
      </c>
      <c r="X101" s="14">
        <f t="shared" ca="1" si="48"/>
        <v>0</v>
      </c>
      <c r="Y101" s="14">
        <f t="shared" ca="1" si="48"/>
        <v>0</v>
      </c>
      <c r="Z101" s="14">
        <f t="shared" ca="1" si="48"/>
        <v>0</v>
      </c>
      <c r="AA101" s="14">
        <f t="shared" ca="1" si="48"/>
        <v>0</v>
      </c>
      <c r="AB101" s="14">
        <f t="shared" ca="1" si="48"/>
        <v>0</v>
      </c>
      <c r="AC101" s="14">
        <f t="shared" ca="1" si="48"/>
        <v>0</v>
      </c>
      <c r="AD101" s="14">
        <f t="shared" ca="1" si="48"/>
        <v>0</v>
      </c>
      <c r="AE101" s="14">
        <f t="shared" ca="1" si="48"/>
        <v>0</v>
      </c>
      <c r="AF101" s="14">
        <f t="shared" ca="1" si="48"/>
        <v>0</v>
      </c>
      <c r="AG101" s="14">
        <f t="shared" ca="1" si="48"/>
        <v>0</v>
      </c>
      <c r="AH101" s="14">
        <f t="shared" ca="1" si="48"/>
        <v>0</v>
      </c>
      <c r="AI101" s="14">
        <f t="shared" ca="1" si="48"/>
        <v>0</v>
      </c>
      <c r="AJ101" s="14">
        <f t="shared" ca="1" si="48"/>
        <v>0</v>
      </c>
      <c r="AK101" s="14">
        <f t="shared" ca="1" si="48"/>
        <v>0</v>
      </c>
      <c r="AL101" s="14">
        <f t="shared" ca="1" si="48"/>
        <v>0</v>
      </c>
      <c r="AM101" s="14">
        <f t="shared" ca="1" si="48"/>
        <v>0</v>
      </c>
      <c r="AN101" s="14">
        <f t="shared" ca="1" si="48"/>
        <v>0</v>
      </c>
      <c r="AO101" s="14">
        <f t="shared" ca="1" si="48"/>
        <v>0</v>
      </c>
      <c r="AP101" s="14">
        <f t="shared" ca="1" si="48"/>
        <v>0</v>
      </c>
      <c r="AQ101" s="14">
        <f t="shared" ca="1" si="48"/>
        <v>0</v>
      </c>
      <c r="AR101" s="14">
        <f t="shared" ca="1" si="48"/>
        <v>0</v>
      </c>
      <c r="AS101" s="14">
        <f t="shared" ca="1" si="48"/>
        <v>0</v>
      </c>
    </row>
    <row r="102" spans="2:45" hidden="1" outlineLevel="1" x14ac:dyDescent="0.15">
      <c r="B102" s="107" t="s">
        <v>65</v>
      </c>
      <c r="J102" s="14">
        <f>-SUMIF($H$88:$H$90,ROWS(Lookups!$D124:$D$124)+1,J$88:J$90)</f>
        <v>0</v>
      </c>
      <c r="K102" s="14">
        <f>-SUMIF($H$88:$H$90,ROWS(Lookups!$D124:$D$124)+1,K$88:K$90)</f>
        <v>0</v>
      </c>
      <c r="L102" s="14">
        <f>-SUMIF($H$88:$H$90,ROWS(Lookups!$D124:$D$124)+1,L$88:L$90)</f>
        <v>0</v>
      </c>
      <c r="M102" s="14">
        <f>-SUMIF($H$88:$H$90,ROWS(Lookups!$D124:$D$124)+1,M$88:M$90)</f>
        <v>0</v>
      </c>
      <c r="N102" s="14">
        <f>-SUMIF($H$88:$H$90,ROWS(Lookups!$D124:$D$124)+1,N$88:N$90)</f>
        <v>0</v>
      </c>
      <c r="O102" s="14">
        <f>-SUMIF($H$88:$H$90,ROWS(Lookups!$D124:$D$124)+1,O$88:O$90)</f>
        <v>0</v>
      </c>
      <c r="P102" s="14">
        <f>-SUMIF($H$88:$H$90,ROWS(Lookups!$D124:$D$124)+1,P$88:P$90)</f>
        <v>0</v>
      </c>
      <c r="Q102" s="14">
        <f>-SUMIF($H$88:$H$90,ROWS(Lookups!$D124:$D$124)+1,Q$88:Q$90)</f>
        <v>0</v>
      </c>
      <c r="R102" s="14">
        <f>-SUMIF($H$88:$H$90,ROWS(Lookups!$D124:$D$124)+1,R$88:R$90)</f>
        <v>0</v>
      </c>
      <c r="S102" s="14">
        <f>-SUMIF($H$88:$H$90,ROWS(Lookups!$D124:$D$124)+1,S$88:S$90)</f>
        <v>0</v>
      </c>
      <c r="T102" s="14">
        <f>-SUMIF($H$88:$H$90,ROWS(Lookups!$D124:$D$124)+1,T$88:T$90)</f>
        <v>0</v>
      </c>
      <c r="U102" s="14">
        <f>-SUMIF($H$88:$H$90,ROWS(Lookups!$D124:$D$124)+1,U$88:U$90)</f>
        <v>0</v>
      </c>
      <c r="V102" s="14">
        <f>-SUMIF($H$88:$H$90,ROWS(Lookups!$D124:$D$124)+1,V$88:V$90)</f>
        <v>0</v>
      </c>
      <c r="W102" s="14">
        <f>-SUMIF($H$88:$H$90,ROWS(Lookups!$D124:$D$124)+1,W$88:W$90)</f>
        <v>0</v>
      </c>
      <c r="X102" s="14">
        <f>-SUMIF($H$88:$H$90,ROWS(Lookups!$D124:$D$124)+1,X$88:X$90)</f>
        <v>0</v>
      </c>
      <c r="Y102" s="14">
        <f>-SUMIF($H$88:$H$90,ROWS(Lookups!$D124:$D$124)+1,Y$88:Y$90)</f>
        <v>0</v>
      </c>
      <c r="Z102" s="14">
        <f>-SUMIF($H$88:$H$90,ROWS(Lookups!$D124:$D$124)+1,Z$88:Z$90)</f>
        <v>0</v>
      </c>
      <c r="AA102" s="14">
        <f>-SUMIF($H$88:$H$90,ROWS(Lookups!$D124:$D$124)+1,AA$88:AA$90)</f>
        <v>0</v>
      </c>
      <c r="AB102" s="14">
        <f>-SUMIF($H$88:$H$90,ROWS(Lookups!$D124:$D$124)+1,AB$88:AB$90)</f>
        <v>0</v>
      </c>
      <c r="AC102" s="14">
        <f>-SUMIF($H$88:$H$90,ROWS(Lookups!$D124:$D$124)+1,AC$88:AC$90)</f>
        <v>0</v>
      </c>
      <c r="AD102" s="14">
        <f>-SUMIF($H$88:$H$90,ROWS(Lookups!$D124:$D$124)+1,AD$88:AD$90)</f>
        <v>0</v>
      </c>
      <c r="AE102" s="14">
        <f>-SUMIF($H$88:$H$90,ROWS(Lookups!$D124:$D$124)+1,AE$88:AE$90)</f>
        <v>0</v>
      </c>
      <c r="AF102" s="14">
        <f>-SUMIF($H$88:$H$90,ROWS(Lookups!$D124:$D$124)+1,AF$88:AF$90)</f>
        <v>0</v>
      </c>
      <c r="AG102" s="14">
        <f>-SUMIF($H$88:$H$90,ROWS(Lookups!$D124:$D$124)+1,AG$88:AG$90)</f>
        <v>0</v>
      </c>
      <c r="AH102" s="14">
        <f>-SUMIF($H$88:$H$90,ROWS(Lookups!$D124:$D$124)+1,AH$88:AH$90)</f>
        <v>0</v>
      </c>
      <c r="AI102" s="14">
        <f>-SUMIF($H$88:$H$90,ROWS(Lookups!$D124:$D$124)+1,AI$88:AI$90)</f>
        <v>0</v>
      </c>
      <c r="AJ102" s="14">
        <f>-SUMIF($H$88:$H$90,ROWS(Lookups!$D124:$D$124)+1,AJ$88:AJ$90)</f>
        <v>0</v>
      </c>
      <c r="AK102" s="14">
        <f>-SUMIF($H$88:$H$90,ROWS(Lookups!$D124:$D$124)+1,AK$88:AK$90)</f>
        <v>0</v>
      </c>
      <c r="AL102" s="14">
        <f>-SUMIF($H$88:$H$90,ROWS(Lookups!$D124:$D$124)+1,AL$88:AL$90)</f>
        <v>0</v>
      </c>
      <c r="AM102" s="14">
        <f>-SUMIF($H$88:$H$90,ROWS(Lookups!$D124:$D$124)+1,AM$88:AM$90)</f>
        <v>0</v>
      </c>
      <c r="AN102" s="14">
        <f>-SUMIF($H$88:$H$90,ROWS(Lookups!$D124:$D$124)+1,AN$88:AN$90)</f>
        <v>0</v>
      </c>
      <c r="AO102" s="14">
        <f>-SUMIF($H$88:$H$90,ROWS(Lookups!$D124:$D$124)+1,AO$88:AO$90)</f>
        <v>0</v>
      </c>
      <c r="AP102" s="14">
        <f>-SUMIF($H$88:$H$90,ROWS(Lookups!$D124:$D$124)+1,AP$88:AP$90)</f>
        <v>0</v>
      </c>
      <c r="AQ102" s="14">
        <f>-SUMIF($H$88:$H$90,ROWS(Lookups!$D124:$D$124)+1,AQ$88:AQ$90)</f>
        <v>0</v>
      </c>
      <c r="AR102" s="14">
        <f>-SUMIF($H$88:$H$90,ROWS(Lookups!$D124:$D$124)+1,AR$88:AR$90)</f>
        <v>0</v>
      </c>
      <c r="AS102" s="14">
        <f>-SUMIF($H$88:$H$90,ROWS(Lookups!$D124:$D$124)+1,AS$88:AS$90)</f>
        <v>0</v>
      </c>
    </row>
    <row r="103" spans="2:45" hidden="1" outlineLevel="2" x14ac:dyDescent="0.15">
      <c r="C103" s="107" t="s">
        <v>395</v>
      </c>
      <c r="J103" s="41">
        <f t="shared" ref="J103:AS103" si="49">J114</f>
        <v>0</v>
      </c>
      <c r="K103" s="41">
        <f t="shared" si="49"/>
        <v>0</v>
      </c>
      <c r="L103" s="41">
        <f t="shared" si="49"/>
        <v>0</v>
      </c>
      <c r="M103" s="41">
        <f t="shared" si="49"/>
        <v>0</v>
      </c>
      <c r="N103" s="41">
        <f t="shared" si="49"/>
        <v>0</v>
      </c>
      <c r="O103" s="41">
        <f t="shared" si="49"/>
        <v>0</v>
      </c>
      <c r="P103" s="41">
        <f t="shared" si="49"/>
        <v>0</v>
      </c>
      <c r="Q103" s="41">
        <f t="shared" si="49"/>
        <v>0</v>
      </c>
      <c r="R103" s="41">
        <f t="shared" si="49"/>
        <v>0</v>
      </c>
      <c r="S103" s="41">
        <f t="shared" si="49"/>
        <v>0</v>
      </c>
      <c r="T103" s="41">
        <f t="shared" si="49"/>
        <v>0</v>
      </c>
      <c r="U103" s="41">
        <f t="shared" si="49"/>
        <v>0</v>
      </c>
      <c r="V103" s="41">
        <f t="shared" si="49"/>
        <v>0</v>
      </c>
      <c r="W103" s="41">
        <f t="shared" si="49"/>
        <v>0</v>
      </c>
      <c r="X103" s="41">
        <f t="shared" si="49"/>
        <v>0</v>
      </c>
      <c r="Y103" s="41">
        <f t="shared" si="49"/>
        <v>0</v>
      </c>
      <c r="Z103" s="41">
        <f t="shared" si="49"/>
        <v>0</v>
      </c>
      <c r="AA103" s="41">
        <f t="shared" si="49"/>
        <v>0</v>
      </c>
      <c r="AB103" s="41">
        <f t="shared" si="49"/>
        <v>0</v>
      </c>
      <c r="AC103" s="41">
        <f t="shared" si="49"/>
        <v>0</v>
      </c>
      <c r="AD103" s="41">
        <f t="shared" si="49"/>
        <v>0</v>
      </c>
      <c r="AE103" s="41">
        <f t="shared" si="49"/>
        <v>0</v>
      </c>
      <c r="AF103" s="41">
        <f t="shared" si="49"/>
        <v>0</v>
      </c>
      <c r="AG103" s="41">
        <f t="shared" si="49"/>
        <v>0</v>
      </c>
      <c r="AH103" s="41">
        <f t="shared" si="49"/>
        <v>0</v>
      </c>
      <c r="AI103" s="41">
        <f t="shared" si="49"/>
        <v>0</v>
      </c>
      <c r="AJ103" s="41">
        <f t="shared" si="49"/>
        <v>0</v>
      </c>
      <c r="AK103" s="41">
        <f t="shared" si="49"/>
        <v>0</v>
      </c>
      <c r="AL103" s="41">
        <f t="shared" si="49"/>
        <v>0</v>
      </c>
      <c r="AM103" s="41">
        <f t="shared" si="49"/>
        <v>0</v>
      </c>
      <c r="AN103" s="41">
        <f t="shared" si="49"/>
        <v>0</v>
      </c>
      <c r="AO103" s="41">
        <f t="shared" si="49"/>
        <v>0</v>
      </c>
      <c r="AP103" s="41">
        <f t="shared" si="49"/>
        <v>0</v>
      </c>
      <c r="AQ103" s="41">
        <f t="shared" si="49"/>
        <v>0</v>
      </c>
      <c r="AR103" s="41">
        <f t="shared" si="49"/>
        <v>0</v>
      </c>
      <c r="AS103" s="41">
        <f t="shared" si="49"/>
        <v>0</v>
      </c>
    </row>
    <row r="104" spans="2:45" hidden="1" outlineLevel="2" x14ac:dyDescent="0.15">
      <c r="C104" s="107" t="s">
        <v>396</v>
      </c>
      <c r="J104" s="41">
        <f t="shared" ref="J104:AS104" si="50">MAX(J$96,J105-J103)</f>
        <v>31</v>
      </c>
      <c r="K104" s="41">
        <f t="shared" si="50"/>
        <v>61</v>
      </c>
      <c r="L104" s="41">
        <f t="shared" si="50"/>
        <v>92</v>
      </c>
      <c r="M104" s="41">
        <f t="shared" si="50"/>
        <v>122</v>
      </c>
      <c r="N104" s="41">
        <f t="shared" si="50"/>
        <v>153</v>
      </c>
      <c r="O104" s="41">
        <f t="shared" si="50"/>
        <v>184</v>
      </c>
      <c r="P104" s="41">
        <f t="shared" si="50"/>
        <v>213</v>
      </c>
      <c r="Q104" s="41">
        <f t="shared" si="50"/>
        <v>244</v>
      </c>
      <c r="R104" s="41">
        <f t="shared" si="50"/>
        <v>274</v>
      </c>
      <c r="S104" s="41">
        <f t="shared" si="50"/>
        <v>305</v>
      </c>
      <c r="T104" s="41">
        <f t="shared" si="50"/>
        <v>335</v>
      </c>
      <c r="U104" s="41">
        <f t="shared" si="50"/>
        <v>366</v>
      </c>
      <c r="V104" s="41">
        <f t="shared" si="50"/>
        <v>397</v>
      </c>
      <c r="W104" s="41">
        <f t="shared" si="50"/>
        <v>427</v>
      </c>
      <c r="X104" s="41">
        <f t="shared" si="50"/>
        <v>458</v>
      </c>
      <c r="Y104" s="41">
        <f t="shared" si="50"/>
        <v>488</v>
      </c>
      <c r="Z104" s="41">
        <f t="shared" si="50"/>
        <v>519</v>
      </c>
      <c r="AA104" s="41">
        <f t="shared" si="50"/>
        <v>550</v>
      </c>
      <c r="AB104" s="41">
        <f t="shared" si="50"/>
        <v>578</v>
      </c>
      <c r="AC104" s="41">
        <f t="shared" si="50"/>
        <v>609</v>
      </c>
      <c r="AD104" s="41">
        <f t="shared" si="50"/>
        <v>639</v>
      </c>
      <c r="AE104" s="41">
        <f t="shared" si="50"/>
        <v>670</v>
      </c>
      <c r="AF104" s="41">
        <f t="shared" si="50"/>
        <v>700</v>
      </c>
      <c r="AG104" s="41">
        <f t="shared" si="50"/>
        <v>731</v>
      </c>
      <c r="AH104" s="41">
        <f t="shared" si="50"/>
        <v>762</v>
      </c>
      <c r="AI104" s="41">
        <f t="shared" si="50"/>
        <v>792</v>
      </c>
      <c r="AJ104" s="41">
        <f t="shared" si="50"/>
        <v>823</v>
      </c>
      <c r="AK104" s="41">
        <f t="shared" si="50"/>
        <v>853</v>
      </c>
      <c r="AL104" s="41">
        <f t="shared" si="50"/>
        <v>884</v>
      </c>
      <c r="AM104" s="41">
        <f t="shared" si="50"/>
        <v>915</v>
      </c>
      <c r="AN104" s="41">
        <f t="shared" si="50"/>
        <v>943</v>
      </c>
      <c r="AO104" s="41">
        <f t="shared" si="50"/>
        <v>974</v>
      </c>
      <c r="AP104" s="41">
        <f t="shared" si="50"/>
        <v>1004</v>
      </c>
      <c r="AQ104" s="41">
        <f t="shared" si="50"/>
        <v>1035</v>
      </c>
      <c r="AR104" s="41">
        <f t="shared" si="50"/>
        <v>1065</v>
      </c>
      <c r="AS104" s="41">
        <f t="shared" si="50"/>
        <v>1096</v>
      </c>
    </row>
    <row r="105" spans="2:45" hidden="1" outlineLevel="2" x14ac:dyDescent="0.15">
      <c r="C105" s="107" t="s">
        <v>397</v>
      </c>
      <c r="J105" s="42">
        <f t="shared" ref="J105:AS105" si="51">MIN(J$97+J103,MAX($J$97:$AS$97))</f>
        <v>31</v>
      </c>
      <c r="K105" s="42">
        <f t="shared" si="51"/>
        <v>61</v>
      </c>
      <c r="L105" s="42">
        <f t="shared" si="51"/>
        <v>92</v>
      </c>
      <c r="M105" s="42">
        <f t="shared" si="51"/>
        <v>122</v>
      </c>
      <c r="N105" s="42">
        <f t="shared" si="51"/>
        <v>153</v>
      </c>
      <c r="O105" s="42">
        <f t="shared" si="51"/>
        <v>184</v>
      </c>
      <c r="P105" s="42">
        <f t="shared" si="51"/>
        <v>213</v>
      </c>
      <c r="Q105" s="42">
        <f t="shared" si="51"/>
        <v>244</v>
      </c>
      <c r="R105" s="42">
        <f t="shared" si="51"/>
        <v>274</v>
      </c>
      <c r="S105" s="42">
        <f t="shared" si="51"/>
        <v>305</v>
      </c>
      <c r="T105" s="42">
        <f t="shared" si="51"/>
        <v>335</v>
      </c>
      <c r="U105" s="42">
        <f t="shared" si="51"/>
        <v>366</v>
      </c>
      <c r="V105" s="42">
        <f t="shared" si="51"/>
        <v>397</v>
      </c>
      <c r="W105" s="42">
        <f t="shared" si="51"/>
        <v>427</v>
      </c>
      <c r="X105" s="42">
        <f t="shared" si="51"/>
        <v>458</v>
      </c>
      <c r="Y105" s="42">
        <f t="shared" si="51"/>
        <v>488</v>
      </c>
      <c r="Z105" s="42">
        <f t="shared" si="51"/>
        <v>519</v>
      </c>
      <c r="AA105" s="42">
        <f t="shared" si="51"/>
        <v>550</v>
      </c>
      <c r="AB105" s="42">
        <f t="shared" si="51"/>
        <v>578</v>
      </c>
      <c r="AC105" s="42">
        <f t="shared" si="51"/>
        <v>609</v>
      </c>
      <c r="AD105" s="42">
        <f t="shared" si="51"/>
        <v>639</v>
      </c>
      <c r="AE105" s="42">
        <f t="shared" si="51"/>
        <v>670</v>
      </c>
      <c r="AF105" s="42">
        <f t="shared" si="51"/>
        <v>700</v>
      </c>
      <c r="AG105" s="42">
        <f t="shared" si="51"/>
        <v>731</v>
      </c>
      <c r="AH105" s="42">
        <f t="shared" si="51"/>
        <v>762</v>
      </c>
      <c r="AI105" s="42">
        <f t="shared" si="51"/>
        <v>792</v>
      </c>
      <c r="AJ105" s="42">
        <f t="shared" si="51"/>
        <v>823</v>
      </c>
      <c r="AK105" s="42">
        <f t="shared" si="51"/>
        <v>853</v>
      </c>
      <c r="AL105" s="42">
        <f t="shared" si="51"/>
        <v>884</v>
      </c>
      <c r="AM105" s="42">
        <f t="shared" si="51"/>
        <v>915</v>
      </c>
      <c r="AN105" s="42">
        <f t="shared" si="51"/>
        <v>943</v>
      </c>
      <c r="AO105" s="42">
        <f t="shared" si="51"/>
        <v>974</v>
      </c>
      <c r="AP105" s="42">
        <f t="shared" si="51"/>
        <v>1004</v>
      </c>
      <c r="AQ105" s="42">
        <f t="shared" si="51"/>
        <v>1035</v>
      </c>
      <c r="AR105" s="42">
        <f t="shared" si="51"/>
        <v>1065</v>
      </c>
      <c r="AS105" s="42">
        <f t="shared" si="51"/>
        <v>1096</v>
      </c>
    </row>
    <row r="106" spans="2:45" hidden="1" outlineLevel="2" x14ac:dyDescent="0.15">
      <c r="C106" s="107" t="s">
        <v>398</v>
      </c>
      <c r="J106" s="25">
        <f t="shared" ref="J106:AS106" si="52">IF(J105=J104,1,J103/(J105-J104))</f>
        <v>1</v>
      </c>
      <c r="K106" s="25">
        <f t="shared" si="52"/>
        <v>1</v>
      </c>
      <c r="L106" s="25">
        <f t="shared" si="52"/>
        <v>1</v>
      </c>
      <c r="M106" s="25">
        <f t="shared" si="52"/>
        <v>1</v>
      </c>
      <c r="N106" s="25">
        <f t="shared" si="52"/>
        <v>1</v>
      </c>
      <c r="O106" s="25">
        <f t="shared" si="52"/>
        <v>1</v>
      </c>
      <c r="P106" s="25">
        <f t="shared" si="52"/>
        <v>1</v>
      </c>
      <c r="Q106" s="25">
        <f t="shared" si="52"/>
        <v>1</v>
      </c>
      <c r="R106" s="25">
        <f t="shared" si="52"/>
        <v>1</v>
      </c>
      <c r="S106" s="25">
        <f t="shared" si="52"/>
        <v>1</v>
      </c>
      <c r="T106" s="25">
        <f t="shared" si="52"/>
        <v>1</v>
      </c>
      <c r="U106" s="25">
        <f t="shared" si="52"/>
        <v>1</v>
      </c>
      <c r="V106" s="25">
        <f t="shared" si="52"/>
        <v>1</v>
      </c>
      <c r="W106" s="25">
        <f t="shared" si="52"/>
        <v>1</v>
      </c>
      <c r="X106" s="25">
        <f t="shared" si="52"/>
        <v>1</v>
      </c>
      <c r="Y106" s="25">
        <f t="shared" si="52"/>
        <v>1</v>
      </c>
      <c r="Z106" s="25">
        <f t="shared" si="52"/>
        <v>1</v>
      </c>
      <c r="AA106" s="25">
        <f t="shared" si="52"/>
        <v>1</v>
      </c>
      <c r="AB106" s="25">
        <f t="shared" si="52"/>
        <v>1</v>
      </c>
      <c r="AC106" s="25">
        <f t="shared" si="52"/>
        <v>1</v>
      </c>
      <c r="AD106" s="25">
        <f t="shared" si="52"/>
        <v>1</v>
      </c>
      <c r="AE106" s="25">
        <f t="shared" si="52"/>
        <v>1</v>
      </c>
      <c r="AF106" s="25">
        <f t="shared" si="52"/>
        <v>1</v>
      </c>
      <c r="AG106" s="25">
        <f t="shared" si="52"/>
        <v>1</v>
      </c>
      <c r="AH106" s="25">
        <f t="shared" si="52"/>
        <v>1</v>
      </c>
      <c r="AI106" s="25">
        <f t="shared" si="52"/>
        <v>1</v>
      </c>
      <c r="AJ106" s="25">
        <f t="shared" si="52"/>
        <v>1</v>
      </c>
      <c r="AK106" s="25">
        <f t="shared" si="52"/>
        <v>1</v>
      </c>
      <c r="AL106" s="25">
        <f t="shared" si="52"/>
        <v>1</v>
      </c>
      <c r="AM106" s="25">
        <f t="shared" si="52"/>
        <v>1</v>
      </c>
      <c r="AN106" s="25">
        <f t="shared" si="52"/>
        <v>1</v>
      </c>
      <c r="AO106" s="25">
        <f t="shared" si="52"/>
        <v>1</v>
      </c>
      <c r="AP106" s="25">
        <f t="shared" si="52"/>
        <v>1</v>
      </c>
      <c r="AQ106" s="25">
        <f t="shared" si="52"/>
        <v>1</v>
      </c>
      <c r="AR106" s="25">
        <f t="shared" si="52"/>
        <v>1</v>
      </c>
      <c r="AS106" s="25">
        <f t="shared" si="52"/>
        <v>1</v>
      </c>
    </row>
    <row r="107" spans="2:45" hidden="1" outlineLevel="2" x14ac:dyDescent="0.15">
      <c r="C107" s="107" t="s">
        <v>399</v>
      </c>
      <c r="J107" s="41">
        <f t="shared" ref="J107:AS107" si="53">MATCH(J104,$J$96:$AS$96,1)</f>
        <v>2</v>
      </c>
      <c r="K107" s="41">
        <f t="shared" si="53"/>
        <v>3</v>
      </c>
      <c r="L107" s="41">
        <f t="shared" si="53"/>
        <v>4</v>
      </c>
      <c r="M107" s="41">
        <f t="shared" si="53"/>
        <v>5</v>
      </c>
      <c r="N107" s="41">
        <f t="shared" si="53"/>
        <v>6</v>
      </c>
      <c r="O107" s="41">
        <f t="shared" si="53"/>
        <v>7</v>
      </c>
      <c r="P107" s="41">
        <f t="shared" si="53"/>
        <v>8</v>
      </c>
      <c r="Q107" s="41">
        <f t="shared" si="53"/>
        <v>9</v>
      </c>
      <c r="R107" s="41">
        <f t="shared" si="53"/>
        <v>10</v>
      </c>
      <c r="S107" s="41">
        <f t="shared" si="53"/>
        <v>11</v>
      </c>
      <c r="T107" s="41">
        <f t="shared" si="53"/>
        <v>12</v>
      </c>
      <c r="U107" s="41">
        <f t="shared" si="53"/>
        <v>13</v>
      </c>
      <c r="V107" s="41">
        <f t="shared" si="53"/>
        <v>14</v>
      </c>
      <c r="W107" s="41">
        <f t="shared" si="53"/>
        <v>15</v>
      </c>
      <c r="X107" s="41">
        <f t="shared" si="53"/>
        <v>16</v>
      </c>
      <c r="Y107" s="41">
        <f t="shared" si="53"/>
        <v>17</v>
      </c>
      <c r="Z107" s="41">
        <f t="shared" si="53"/>
        <v>18</v>
      </c>
      <c r="AA107" s="41">
        <f t="shared" si="53"/>
        <v>19</v>
      </c>
      <c r="AB107" s="41">
        <f t="shared" si="53"/>
        <v>20</v>
      </c>
      <c r="AC107" s="41">
        <f t="shared" si="53"/>
        <v>21</v>
      </c>
      <c r="AD107" s="41">
        <f t="shared" si="53"/>
        <v>22</v>
      </c>
      <c r="AE107" s="41">
        <f t="shared" si="53"/>
        <v>23</v>
      </c>
      <c r="AF107" s="41">
        <f t="shared" si="53"/>
        <v>24</v>
      </c>
      <c r="AG107" s="41">
        <f t="shared" si="53"/>
        <v>25</v>
      </c>
      <c r="AH107" s="41">
        <f t="shared" si="53"/>
        <v>26</v>
      </c>
      <c r="AI107" s="41">
        <f t="shared" si="53"/>
        <v>27</v>
      </c>
      <c r="AJ107" s="41">
        <f t="shared" si="53"/>
        <v>28</v>
      </c>
      <c r="AK107" s="41">
        <f t="shared" si="53"/>
        <v>29</v>
      </c>
      <c r="AL107" s="41">
        <f t="shared" si="53"/>
        <v>30</v>
      </c>
      <c r="AM107" s="41">
        <f t="shared" si="53"/>
        <v>31</v>
      </c>
      <c r="AN107" s="41">
        <f t="shared" si="53"/>
        <v>32</v>
      </c>
      <c r="AO107" s="41">
        <f t="shared" si="53"/>
        <v>33</v>
      </c>
      <c r="AP107" s="41">
        <f t="shared" si="53"/>
        <v>34</v>
      </c>
      <c r="AQ107" s="41">
        <f t="shared" si="53"/>
        <v>35</v>
      </c>
      <c r="AR107" s="41">
        <f t="shared" si="53"/>
        <v>36</v>
      </c>
      <c r="AS107" s="41">
        <f t="shared" si="53"/>
        <v>36</v>
      </c>
    </row>
    <row r="108" spans="2:45" hidden="1" outlineLevel="2" x14ac:dyDescent="0.15">
      <c r="C108" s="107" t="s">
        <v>400</v>
      </c>
      <c r="J108" s="42">
        <f t="shared" ref="J108:AS108" si="54">MATCH(J105,$J$96:$AS$96,1)</f>
        <v>2</v>
      </c>
      <c r="K108" s="42">
        <f t="shared" si="54"/>
        <v>3</v>
      </c>
      <c r="L108" s="42">
        <f t="shared" si="54"/>
        <v>4</v>
      </c>
      <c r="M108" s="42">
        <f t="shared" si="54"/>
        <v>5</v>
      </c>
      <c r="N108" s="42">
        <f t="shared" si="54"/>
        <v>6</v>
      </c>
      <c r="O108" s="42">
        <f t="shared" si="54"/>
        <v>7</v>
      </c>
      <c r="P108" s="42">
        <f t="shared" si="54"/>
        <v>8</v>
      </c>
      <c r="Q108" s="42">
        <f t="shared" si="54"/>
        <v>9</v>
      </c>
      <c r="R108" s="42">
        <f t="shared" si="54"/>
        <v>10</v>
      </c>
      <c r="S108" s="42">
        <f t="shared" si="54"/>
        <v>11</v>
      </c>
      <c r="T108" s="42">
        <f t="shared" si="54"/>
        <v>12</v>
      </c>
      <c r="U108" s="42">
        <f t="shared" si="54"/>
        <v>13</v>
      </c>
      <c r="V108" s="42">
        <f t="shared" si="54"/>
        <v>14</v>
      </c>
      <c r="W108" s="42">
        <f t="shared" si="54"/>
        <v>15</v>
      </c>
      <c r="X108" s="42">
        <f t="shared" si="54"/>
        <v>16</v>
      </c>
      <c r="Y108" s="42">
        <f t="shared" si="54"/>
        <v>17</v>
      </c>
      <c r="Z108" s="42">
        <f t="shared" si="54"/>
        <v>18</v>
      </c>
      <c r="AA108" s="42">
        <f t="shared" si="54"/>
        <v>19</v>
      </c>
      <c r="AB108" s="42">
        <f t="shared" si="54"/>
        <v>20</v>
      </c>
      <c r="AC108" s="42">
        <f t="shared" si="54"/>
        <v>21</v>
      </c>
      <c r="AD108" s="42">
        <f t="shared" si="54"/>
        <v>22</v>
      </c>
      <c r="AE108" s="42">
        <f t="shared" si="54"/>
        <v>23</v>
      </c>
      <c r="AF108" s="42">
        <f t="shared" si="54"/>
        <v>24</v>
      </c>
      <c r="AG108" s="42">
        <f t="shared" si="54"/>
        <v>25</v>
      </c>
      <c r="AH108" s="42">
        <f t="shared" si="54"/>
        <v>26</v>
      </c>
      <c r="AI108" s="42">
        <f t="shared" si="54"/>
        <v>27</v>
      </c>
      <c r="AJ108" s="42">
        <f t="shared" si="54"/>
        <v>28</v>
      </c>
      <c r="AK108" s="42">
        <f t="shared" si="54"/>
        <v>29</v>
      </c>
      <c r="AL108" s="42">
        <f t="shared" si="54"/>
        <v>30</v>
      </c>
      <c r="AM108" s="42">
        <f t="shared" si="54"/>
        <v>31</v>
      </c>
      <c r="AN108" s="42">
        <f t="shared" si="54"/>
        <v>32</v>
      </c>
      <c r="AO108" s="42">
        <f t="shared" si="54"/>
        <v>33</v>
      </c>
      <c r="AP108" s="42">
        <f t="shared" si="54"/>
        <v>34</v>
      </c>
      <c r="AQ108" s="42">
        <f t="shared" si="54"/>
        <v>35</v>
      </c>
      <c r="AR108" s="42">
        <f t="shared" si="54"/>
        <v>36</v>
      </c>
      <c r="AS108" s="42">
        <f t="shared" si="54"/>
        <v>36</v>
      </c>
    </row>
    <row r="109" spans="2:45" hidden="1" outlineLevel="2" x14ac:dyDescent="0.15">
      <c r="C109" s="107" t="s">
        <v>401</v>
      </c>
      <c r="J109" s="14">
        <f t="shared" ref="J109:AS109" si="55">SUMIF($J$8:$AS$8,J107,$J102:$AS102)/INDEX($J$95:$AS$95,J107)*(MIN(J105,INDEX($J$97:$AS$97,J107))-MAX(J104,INDEX($J$96:$AS$96,J107)))</f>
        <v>0</v>
      </c>
      <c r="K109" s="14">
        <f t="shared" si="55"/>
        <v>0</v>
      </c>
      <c r="L109" s="14">
        <f t="shared" si="55"/>
        <v>0</v>
      </c>
      <c r="M109" s="14">
        <f t="shared" si="55"/>
        <v>0</v>
      </c>
      <c r="N109" s="14">
        <f t="shared" si="55"/>
        <v>0</v>
      </c>
      <c r="O109" s="14">
        <f t="shared" si="55"/>
        <v>0</v>
      </c>
      <c r="P109" s="14">
        <f t="shared" si="55"/>
        <v>0</v>
      </c>
      <c r="Q109" s="14">
        <f t="shared" si="55"/>
        <v>0</v>
      </c>
      <c r="R109" s="14">
        <f t="shared" si="55"/>
        <v>0</v>
      </c>
      <c r="S109" s="14">
        <f t="shared" si="55"/>
        <v>0</v>
      </c>
      <c r="T109" s="14">
        <f t="shared" si="55"/>
        <v>0</v>
      </c>
      <c r="U109" s="14">
        <f t="shared" si="55"/>
        <v>0</v>
      </c>
      <c r="V109" s="14">
        <f t="shared" si="55"/>
        <v>0</v>
      </c>
      <c r="W109" s="14">
        <f t="shared" si="55"/>
        <v>0</v>
      </c>
      <c r="X109" s="14">
        <f t="shared" si="55"/>
        <v>0</v>
      </c>
      <c r="Y109" s="14">
        <f t="shared" si="55"/>
        <v>0</v>
      </c>
      <c r="Z109" s="14">
        <f t="shared" si="55"/>
        <v>0</v>
      </c>
      <c r="AA109" s="14">
        <f t="shared" si="55"/>
        <v>0</v>
      </c>
      <c r="AB109" s="14">
        <f t="shared" si="55"/>
        <v>0</v>
      </c>
      <c r="AC109" s="14">
        <f t="shared" si="55"/>
        <v>0</v>
      </c>
      <c r="AD109" s="14">
        <f t="shared" si="55"/>
        <v>0</v>
      </c>
      <c r="AE109" s="14">
        <f t="shared" si="55"/>
        <v>0</v>
      </c>
      <c r="AF109" s="14">
        <f t="shared" si="55"/>
        <v>0</v>
      </c>
      <c r="AG109" s="14">
        <f t="shared" si="55"/>
        <v>0</v>
      </c>
      <c r="AH109" s="14">
        <f t="shared" si="55"/>
        <v>0</v>
      </c>
      <c r="AI109" s="14">
        <f t="shared" si="55"/>
        <v>0</v>
      </c>
      <c r="AJ109" s="14">
        <f t="shared" si="55"/>
        <v>0</v>
      </c>
      <c r="AK109" s="14">
        <f t="shared" si="55"/>
        <v>0</v>
      </c>
      <c r="AL109" s="14">
        <f t="shared" si="55"/>
        <v>0</v>
      </c>
      <c r="AM109" s="14">
        <f t="shared" si="55"/>
        <v>0</v>
      </c>
      <c r="AN109" s="14">
        <f t="shared" si="55"/>
        <v>0</v>
      </c>
      <c r="AO109" s="14">
        <f t="shared" si="55"/>
        <v>0</v>
      </c>
      <c r="AP109" s="14">
        <f t="shared" si="55"/>
        <v>0</v>
      </c>
      <c r="AQ109" s="14">
        <f t="shared" si="55"/>
        <v>0</v>
      </c>
      <c r="AR109" s="14">
        <f t="shared" si="55"/>
        <v>0</v>
      </c>
      <c r="AS109" s="14">
        <f t="shared" si="55"/>
        <v>0</v>
      </c>
    </row>
    <row r="110" spans="2:45" hidden="1" outlineLevel="2" x14ac:dyDescent="0.15">
      <c r="C110" s="107" t="s">
        <v>402</v>
      </c>
      <c r="J110" s="14">
        <f t="shared" ref="J110:AS110" ca="1" si="56">IF(J108-J107&lt;2,0,SUM(OFFSET($J102,0,J107,1,J108-J107-1)))</f>
        <v>0</v>
      </c>
      <c r="K110" s="14">
        <f t="shared" ca="1" si="56"/>
        <v>0</v>
      </c>
      <c r="L110" s="14">
        <f t="shared" ca="1" si="56"/>
        <v>0</v>
      </c>
      <c r="M110" s="14">
        <f t="shared" ca="1" si="56"/>
        <v>0</v>
      </c>
      <c r="N110" s="14">
        <f t="shared" ca="1" si="56"/>
        <v>0</v>
      </c>
      <c r="O110" s="14">
        <f t="shared" ca="1" si="56"/>
        <v>0</v>
      </c>
      <c r="P110" s="14">
        <f t="shared" ca="1" si="56"/>
        <v>0</v>
      </c>
      <c r="Q110" s="14">
        <f t="shared" ca="1" si="56"/>
        <v>0</v>
      </c>
      <c r="R110" s="14">
        <f t="shared" ca="1" si="56"/>
        <v>0</v>
      </c>
      <c r="S110" s="14">
        <f t="shared" ca="1" si="56"/>
        <v>0</v>
      </c>
      <c r="T110" s="14">
        <f t="shared" ca="1" si="56"/>
        <v>0</v>
      </c>
      <c r="U110" s="14">
        <f t="shared" ca="1" si="56"/>
        <v>0</v>
      </c>
      <c r="V110" s="14">
        <f t="shared" ca="1" si="56"/>
        <v>0</v>
      </c>
      <c r="W110" s="14">
        <f t="shared" ca="1" si="56"/>
        <v>0</v>
      </c>
      <c r="X110" s="14">
        <f t="shared" ca="1" si="56"/>
        <v>0</v>
      </c>
      <c r="Y110" s="14">
        <f t="shared" ca="1" si="56"/>
        <v>0</v>
      </c>
      <c r="Z110" s="14">
        <f t="shared" ca="1" si="56"/>
        <v>0</v>
      </c>
      <c r="AA110" s="14">
        <f t="shared" ca="1" si="56"/>
        <v>0</v>
      </c>
      <c r="AB110" s="14">
        <f t="shared" ca="1" si="56"/>
        <v>0</v>
      </c>
      <c r="AC110" s="14">
        <f t="shared" ca="1" si="56"/>
        <v>0</v>
      </c>
      <c r="AD110" s="14">
        <f t="shared" ca="1" si="56"/>
        <v>0</v>
      </c>
      <c r="AE110" s="14">
        <f t="shared" ca="1" si="56"/>
        <v>0</v>
      </c>
      <c r="AF110" s="14">
        <f t="shared" ca="1" si="56"/>
        <v>0</v>
      </c>
      <c r="AG110" s="14">
        <f t="shared" ca="1" si="56"/>
        <v>0</v>
      </c>
      <c r="AH110" s="14">
        <f t="shared" ca="1" si="56"/>
        <v>0</v>
      </c>
      <c r="AI110" s="14">
        <f t="shared" ca="1" si="56"/>
        <v>0</v>
      </c>
      <c r="AJ110" s="14">
        <f t="shared" ca="1" si="56"/>
        <v>0</v>
      </c>
      <c r="AK110" s="14">
        <f t="shared" ca="1" si="56"/>
        <v>0</v>
      </c>
      <c r="AL110" s="14">
        <f t="shared" ca="1" si="56"/>
        <v>0</v>
      </c>
      <c r="AM110" s="14">
        <f t="shared" ca="1" si="56"/>
        <v>0</v>
      </c>
      <c r="AN110" s="14">
        <f t="shared" ca="1" si="56"/>
        <v>0</v>
      </c>
      <c r="AO110" s="14">
        <f t="shared" ca="1" si="56"/>
        <v>0</v>
      </c>
      <c r="AP110" s="14">
        <f t="shared" ca="1" si="56"/>
        <v>0</v>
      </c>
      <c r="AQ110" s="14">
        <f t="shared" ca="1" si="56"/>
        <v>0</v>
      </c>
      <c r="AR110" s="14">
        <f t="shared" ca="1" si="56"/>
        <v>0</v>
      </c>
      <c r="AS110" s="14">
        <f t="shared" ca="1" si="56"/>
        <v>0</v>
      </c>
    </row>
    <row r="111" spans="2:45" hidden="1" outlineLevel="2" x14ac:dyDescent="0.15">
      <c r="C111" s="107" t="s">
        <v>403</v>
      </c>
      <c r="J111" s="14">
        <f t="shared" ref="J111:AS111" si="57">IF(J108&lt;=J107,0,SUMIF($J$8:$AS$8,J108,$J102:$AS102)/INDEX($J$95:$AS$95,J108))*(MIN(J105,INDEX($J$97:$AS$97,J108))-MAX(J104,INDEX($J$96:$AS$96,J108)))</f>
        <v>0</v>
      </c>
      <c r="K111" s="14">
        <f t="shared" si="57"/>
        <v>0</v>
      </c>
      <c r="L111" s="14">
        <f t="shared" si="57"/>
        <v>0</v>
      </c>
      <c r="M111" s="14">
        <f t="shared" si="57"/>
        <v>0</v>
      </c>
      <c r="N111" s="14">
        <f t="shared" si="57"/>
        <v>0</v>
      </c>
      <c r="O111" s="14">
        <f t="shared" si="57"/>
        <v>0</v>
      </c>
      <c r="P111" s="14">
        <f t="shared" si="57"/>
        <v>0</v>
      </c>
      <c r="Q111" s="14">
        <f t="shared" si="57"/>
        <v>0</v>
      </c>
      <c r="R111" s="14">
        <f t="shared" si="57"/>
        <v>0</v>
      </c>
      <c r="S111" s="14">
        <f t="shared" si="57"/>
        <v>0</v>
      </c>
      <c r="T111" s="14">
        <f t="shared" si="57"/>
        <v>0</v>
      </c>
      <c r="U111" s="14">
        <f t="shared" si="57"/>
        <v>0</v>
      </c>
      <c r="V111" s="14">
        <f t="shared" si="57"/>
        <v>0</v>
      </c>
      <c r="W111" s="14">
        <f t="shared" si="57"/>
        <v>0</v>
      </c>
      <c r="X111" s="14">
        <f t="shared" si="57"/>
        <v>0</v>
      </c>
      <c r="Y111" s="14">
        <f t="shared" si="57"/>
        <v>0</v>
      </c>
      <c r="Z111" s="14">
        <f t="shared" si="57"/>
        <v>0</v>
      </c>
      <c r="AA111" s="14">
        <f t="shared" si="57"/>
        <v>0</v>
      </c>
      <c r="AB111" s="14">
        <f t="shared" si="57"/>
        <v>0</v>
      </c>
      <c r="AC111" s="14">
        <f t="shared" si="57"/>
        <v>0</v>
      </c>
      <c r="AD111" s="14">
        <f t="shared" si="57"/>
        <v>0</v>
      </c>
      <c r="AE111" s="14">
        <f t="shared" si="57"/>
        <v>0</v>
      </c>
      <c r="AF111" s="14">
        <f t="shared" si="57"/>
        <v>0</v>
      </c>
      <c r="AG111" s="14">
        <f t="shared" si="57"/>
        <v>0</v>
      </c>
      <c r="AH111" s="14">
        <f t="shared" si="57"/>
        <v>0</v>
      </c>
      <c r="AI111" s="14">
        <f t="shared" si="57"/>
        <v>0</v>
      </c>
      <c r="AJ111" s="14">
        <f t="shared" si="57"/>
        <v>0</v>
      </c>
      <c r="AK111" s="14">
        <f t="shared" si="57"/>
        <v>0</v>
      </c>
      <c r="AL111" s="14">
        <f t="shared" si="57"/>
        <v>0</v>
      </c>
      <c r="AM111" s="14">
        <f t="shared" si="57"/>
        <v>0</v>
      </c>
      <c r="AN111" s="14">
        <f t="shared" si="57"/>
        <v>0</v>
      </c>
      <c r="AO111" s="14">
        <f t="shared" si="57"/>
        <v>0</v>
      </c>
      <c r="AP111" s="14">
        <f t="shared" si="57"/>
        <v>0</v>
      </c>
      <c r="AQ111" s="14">
        <f t="shared" si="57"/>
        <v>0</v>
      </c>
      <c r="AR111" s="14">
        <f t="shared" si="57"/>
        <v>0</v>
      </c>
      <c r="AS111" s="14">
        <f t="shared" si="57"/>
        <v>0</v>
      </c>
    </row>
    <row r="112" spans="2:45" hidden="1" outlineLevel="1" collapsed="1" x14ac:dyDescent="0.15">
      <c r="B112" s="16" t="s">
        <v>388</v>
      </c>
      <c r="J112" s="18">
        <f t="shared" ref="J112:AS112" ca="1" si="58">-SUM(J109:J111)*J106</f>
        <v>0</v>
      </c>
      <c r="K112" s="18">
        <f t="shared" ca="1" si="58"/>
        <v>0</v>
      </c>
      <c r="L112" s="18">
        <f t="shared" ca="1" si="58"/>
        <v>0</v>
      </c>
      <c r="M112" s="18">
        <f t="shared" ca="1" si="58"/>
        <v>0</v>
      </c>
      <c r="N112" s="18">
        <f t="shared" ca="1" si="58"/>
        <v>0</v>
      </c>
      <c r="O112" s="18">
        <f t="shared" ca="1" si="58"/>
        <v>0</v>
      </c>
      <c r="P112" s="18">
        <f t="shared" ca="1" si="58"/>
        <v>0</v>
      </c>
      <c r="Q112" s="18">
        <f t="shared" ca="1" si="58"/>
        <v>0</v>
      </c>
      <c r="R112" s="18">
        <f t="shared" ca="1" si="58"/>
        <v>0</v>
      </c>
      <c r="S112" s="18">
        <f t="shared" ca="1" si="58"/>
        <v>0</v>
      </c>
      <c r="T112" s="18">
        <f t="shared" ca="1" si="58"/>
        <v>0</v>
      </c>
      <c r="U112" s="18">
        <f t="shared" ca="1" si="58"/>
        <v>0</v>
      </c>
      <c r="V112" s="18">
        <f t="shared" ca="1" si="58"/>
        <v>0</v>
      </c>
      <c r="W112" s="18">
        <f t="shared" ca="1" si="58"/>
        <v>0</v>
      </c>
      <c r="X112" s="18">
        <f t="shared" ca="1" si="58"/>
        <v>0</v>
      </c>
      <c r="Y112" s="18">
        <f t="shared" ca="1" si="58"/>
        <v>0</v>
      </c>
      <c r="Z112" s="18">
        <f t="shared" ca="1" si="58"/>
        <v>0</v>
      </c>
      <c r="AA112" s="18">
        <f t="shared" ca="1" si="58"/>
        <v>0</v>
      </c>
      <c r="AB112" s="18">
        <f t="shared" ca="1" si="58"/>
        <v>0</v>
      </c>
      <c r="AC112" s="18">
        <f t="shared" ca="1" si="58"/>
        <v>0</v>
      </c>
      <c r="AD112" s="18">
        <f t="shared" ca="1" si="58"/>
        <v>0</v>
      </c>
      <c r="AE112" s="18">
        <f t="shared" ca="1" si="58"/>
        <v>0</v>
      </c>
      <c r="AF112" s="18">
        <f t="shared" ca="1" si="58"/>
        <v>0</v>
      </c>
      <c r="AG112" s="18">
        <f t="shared" ca="1" si="58"/>
        <v>0</v>
      </c>
      <c r="AH112" s="18">
        <f t="shared" ca="1" si="58"/>
        <v>0</v>
      </c>
      <c r="AI112" s="18">
        <f t="shared" ca="1" si="58"/>
        <v>0</v>
      </c>
      <c r="AJ112" s="18">
        <f t="shared" ca="1" si="58"/>
        <v>0</v>
      </c>
      <c r="AK112" s="18">
        <f t="shared" ca="1" si="58"/>
        <v>0</v>
      </c>
      <c r="AL112" s="18">
        <f t="shared" ca="1" si="58"/>
        <v>0</v>
      </c>
      <c r="AM112" s="18">
        <f t="shared" ca="1" si="58"/>
        <v>0</v>
      </c>
      <c r="AN112" s="18">
        <f t="shared" ca="1" si="58"/>
        <v>0</v>
      </c>
      <c r="AO112" s="18">
        <f t="shared" ca="1" si="58"/>
        <v>0</v>
      </c>
      <c r="AP112" s="18">
        <f t="shared" ca="1" si="58"/>
        <v>0</v>
      </c>
      <c r="AQ112" s="18">
        <f t="shared" ca="1" si="58"/>
        <v>0</v>
      </c>
      <c r="AR112" s="18">
        <f t="shared" ca="1" si="58"/>
        <v>0</v>
      </c>
      <c r="AS112" s="18">
        <f t="shared" ca="1" si="58"/>
        <v>0</v>
      </c>
    </row>
    <row r="113" spans="2:45" ht="6" hidden="1" customHeight="1" outlineLevel="1" x14ac:dyDescent="0.15"/>
    <row r="114" spans="2:45" hidden="1" outlineLevel="1" x14ac:dyDescent="0.15">
      <c r="B114" s="107" t="s">
        <v>395</v>
      </c>
      <c r="J114" s="166">
        <v>0</v>
      </c>
      <c r="K114" s="166">
        <v>0</v>
      </c>
      <c r="L114" s="166">
        <v>0</v>
      </c>
      <c r="M114" s="166">
        <v>0</v>
      </c>
      <c r="N114" s="166">
        <v>0</v>
      </c>
      <c r="O114" s="166">
        <v>0</v>
      </c>
      <c r="P114" s="166">
        <v>0</v>
      </c>
      <c r="Q114" s="166">
        <v>0</v>
      </c>
      <c r="R114" s="166">
        <v>0</v>
      </c>
      <c r="S114" s="166">
        <v>0</v>
      </c>
      <c r="T114" s="166">
        <v>0</v>
      </c>
      <c r="U114" s="166">
        <v>0</v>
      </c>
      <c r="V114" s="166">
        <v>0</v>
      </c>
      <c r="W114" s="166">
        <v>0</v>
      </c>
      <c r="X114" s="166">
        <v>0</v>
      </c>
      <c r="Y114" s="166">
        <v>0</v>
      </c>
      <c r="Z114" s="166">
        <v>0</v>
      </c>
      <c r="AA114" s="166">
        <v>0</v>
      </c>
      <c r="AB114" s="166">
        <v>0</v>
      </c>
      <c r="AC114" s="166">
        <v>0</v>
      </c>
      <c r="AD114" s="166">
        <v>0</v>
      </c>
      <c r="AE114" s="166">
        <v>0</v>
      </c>
      <c r="AF114" s="166">
        <v>0</v>
      </c>
      <c r="AG114" s="166">
        <v>0</v>
      </c>
      <c r="AH114" s="166">
        <v>0</v>
      </c>
      <c r="AI114" s="166">
        <v>0</v>
      </c>
      <c r="AJ114" s="166">
        <v>0</v>
      </c>
      <c r="AK114" s="166">
        <v>0</v>
      </c>
      <c r="AL114" s="166">
        <v>0</v>
      </c>
      <c r="AM114" s="166">
        <v>0</v>
      </c>
      <c r="AN114" s="166">
        <v>0</v>
      </c>
      <c r="AO114" s="166">
        <v>0</v>
      </c>
      <c r="AP114" s="166">
        <v>0</v>
      </c>
      <c r="AQ114" s="166">
        <v>0</v>
      </c>
      <c r="AR114" s="166">
        <v>0</v>
      </c>
      <c r="AS114" s="166">
        <v>0</v>
      </c>
    </row>
    <row r="115" spans="2:45" hidden="1" outlineLevel="1" x14ac:dyDescent="0.15"/>
    <row r="116" spans="2:45" hidden="1" outlineLevel="1" x14ac:dyDescent="0.15">
      <c r="B116" s="108" t="s">
        <v>59</v>
      </c>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row>
    <row r="117" spans="2:45" hidden="1" outlineLevel="1" x14ac:dyDescent="0.15"/>
    <row r="118" spans="2:45" hidden="1" outlineLevel="2" x14ac:dyDescent="0.15">
      <c r="B118" s="107" t="str">
        <f>B99</f>
        <v>Inventory</v>
      </c>
      <c r="J118" s="24">
        <f t="shared" ref="J118:AS118" si="59">J100</f>
        <v>279</v>
      </c>
      <c r="K118" s="24">
        <f t="shared" ca="1" si="59"/>
        <v>0</v>
      </c>
      <c r="L118" s="24">
        <f t="shared" ca="1" si="59"/>
        <v>0</v>
      </c>
      <c r="M118" s="24">
        <f t="shared" ca="1" si="59"/>
        <v>0</v>
      </c>
      <c r="N118" s="24">
        <f t="shared" ca="1" si="59"/>
        <v>0</v>
      </c>
      <c r="O118" s="24">
        <f t="shared" ca="1" si="59"/>
        <v>0</v>
      </c>
      <c r="P118" s="24">
        <f t="shared" ca="1" si="59"/>
        <v>0</v>
      </c>
      <c r="Q118" s="24">
        <f t="shared" ca="1" si="59"/>
        <v>0</v>
      </c>
      <c r="R118" s="24">
        <f t="shared" ca="1" si="59"/>
        <v>0</v>
      </c>
      <c r="S118" s="24">
        <f t="shared" ca="1" si="59"/>
        <v>0</v>
      </c>
      <c r="T118" s="24">
        <f t="shared" ca="1" si="59"/>
        <v>0</v>
      </c>
      <c r="U118" s="24">
        <f t="shared" ca="1" si="59"/>
        <v>0</v>
      </c>
      <c r="V118" s="24">
        <f t="shared" ca="1" si="59"/>
        <v>0</v>
      </c>
      <c r="W118" s="24">
        <f t="shared" ca="1" si="59"/>
        <v>0</v>
      </c>
      <c r="X118" s="24">
        <f t="shared" ca="1" si="59"/>
        <v>0</v>
      </c>
      <c r="Y118" s="24">
        <f t="shared" ca="1" si="59"/>
        <v>0</v>
      </c>
      <c r="Z118" s="24">
        <f t="shared" ca="1" si="59"/>
        <v>0</v>
      </c>
      <c r="AA118" s="24">
        <f t="shared" ca="1" si="59"/>
        <v>0</v>
      </c>
      <c r="AB118" s="24">
        <f t="shared" ca="1" si="59"/>
        <v>0</v>
      </c>
      <c r="AC118" s="24">
        <f t="shared" ca="1" si="59"/>
        <v>0</v>
      </c>
      <c r="AD118" s="24">
        <f t="shared" ca="1" si="59"/>
        <v>0</v>
      </c>
      <c r="AE118" s="24">
        <f t="shared" ca="1" si="59"/>
        <v>0</v>
      </c>
      <c r="AF118" s="24">
        <f t="shared" ca="1" si="59"/>
        <v>0</v>
      </c>
      <c r="AG118" s="24">
        <f t="shared" ca="1" si="59"/>
        <v>0</v>
      </c>
      <c r="AH118" s="24">
        <f t="shared" ca="1" si="59"/>
        <v>0</v>
      </c>
      <c r="AI118" s="24">
        <f t="shared" ca="1" si="59"/>
        <v>0</v>
      </c>
      <c r="AJ118" s="24">
        <f t="shared" ca="1" si="59"/>
        <v>0</v>
      </c>
      <c r="AK118" s="24">
        <f t="shared" ca="1" si="59"/>
        <v>0</v>
      </c>
      <c r="AL118" s="24">
        <f t="shared" ca="1" si="59"/>
        <v>0</v>
      </c>
      <c r="AM118" s="24">
        <f t="shared" ca="1" si="59"/>
        <v>0</v>
      </c>
      <c r="AN118" s="24">
        <f t="shared" ca="1" si="59"/>
        <v>0</v>
      </c>
      <c r="AO118" s="24">
        <f t="shared" ca="1" si="59"/>
        <v>0</v>
      </c>
      <c r="AP118" s="24">
        <f t="shared" ca="1" si="59"/>
        <v>0</v>
      </c>
      <c r="AQ118" s="24">
        <f t="shared" ca="1" si="59"/>
        <v>0</v>
      </c>
      <c r="AR118" s="24">
        <f t="shared" ca="1" si="59"/>
        <v>0</v>
      </c>
      <c r="AS118" s="24">
        <f t="shared" ca="1" si="59"/>
        <v>0</v>
      </c>
    </row>
    <row r="119" spans="2:45" hidden="1" outlineLevel="1" collapsed="1" x14ac:dyDescent="0.15">
      <c r="B119" s="107" t="s">
        <v>375</v>
      </c>
      <c r="J119" s="14">
        <f t="shared" ref="J119:AS119" si="60">SUM(J118:J118)</f>
        <v>279</v>
      </c>
      <c r="K119" s="14">
        <f t="shared" ca="1" si="60"/>
        <v>0</v>
      </c>
      <c r="L119" s="14">
        <f t="shared" ca="1" si="60"/>
        <v>0</v>
      </c>
      <c r="M119" s="14">
        <f t="shared" ca="1" si="60"/>
        <v>0</v>
      </c>
      <c r="N119" s="14">
        <f t="shared" ca="1" si="60"/>
        <v>0</v>
      </c>
      <c r="O119" s="14">
        <f t="shared" ca="1" si="60"/>
        <v>0</v>
      </c>
      <c r="P119" s="14">
        <f t="shared" ca="1" si="60"/>
        <v>0</v>
      </c>
      <c r="Q119" s="14">
        <f t="shared" ca="1" si="60"/>
        <v>0</v>
      </c>
      <c r="R119" s="14">
        <f t="shared" ca="1" si="60"/>
        <v>0</v>
      </c>
      <c r="S119" s="14">
        <f t="shared" ca="1" si="60"/>
        <v>0</v>
      </c>
      <c r="T119" s="14">
        <f t="shared" ca="1" si="60"/>
        <v>0</v>
      </c>
      <c r="U119" s="14">
        <f t="shared" ca="1" si="60"/>
        <v>0</v>
      </c>
      <c r="V119" s="14">
        <f t="shared" ca="1" si="60"/>
        <v>0</v>
      </c>
      <c r="W119" s="14">
        <f t="shared" ca="1" si="60"/>
        <v>0</v>
      </c>
      <c r="X119" s="14">
        <f t="shared" ca="1" si="60"/>
        <v>0</v>
      </c>
      <c r="Y119" s="14">
        <f t="shared" ca="1" si="60"/>
        <v>0</v>
      </c>
      <c r="Z119" s="14">
        <f t="shared" ca="1" si="60"/>
        <v>0</v>
      </c>
      <c r="AA119" s="14">
        <f t="shared" ca="1" si="60"/>
        <v>0</v>
      </c>
      <c r="AB119" s="14">
        <f t="shared" ca="1" si="60"/>
        <v>0</v>
      </c>
      <c r="AC119" s="14">
        <f t="shared" ca="1" si="60"/>
        <v>0</v>
      </c>
      <c r="AD119" s="14">
        <f t="shared" ca="1" si="60"/>
        <v>0</v>
      </c>
      <c r="AE119" s="14">
        <f t="shared" ca="1" si="60"/>
        <v>0</v>
      </c>
      <c r="AF119" s="14">
        <f t="shared" ca="1" si="60"/>
        <v>0</v>
      </c>
      <c r="AG119" s="14">
        <f t="shared" ca="1" si="60"/>
        <v>0</v>
      </c>
      <c r="AH119" s="14">
        <f t="shared" ca="1" si="60"/>
        <v>0</v>
      </c>
      <c r="AI119" s="14">
        <f t="shared" ca="1" si="60"/>
        <v>0</v>
      </c>
      <c r="AJ119" s="14">
        <f t="shared" ca="1" si="60"/>
        <v>0</v>
      </c>
      <c r="AK119" s="14">
        <f t="shared" ca="1" si="60"/>
        <v>0</v>
      </c>
      <c r="AL119" s="14">
        <f t="shared" ca="1" si="60"/>
        <v>0</v>
      </c>
      <c r="AM119" s="14">
        <f t="shared" ca="1" si="60"/>
        <v>0</v>
      </c>
      <c r="AN119" s="14">
        <f t="shared" ca="1" si="60"/>
        <v>0</v>
      </c>
      <c r="AO119" s="14">
        <f t="shared" ca="1" si="60"/>
        <v>0</v>
      </c>
      <c r="AP119" s="14">
        <f t="shared" ca="1" si="60"/>
        <v>0</v>
      </c>
      <c r="AQ119" s="14">
        <f t="shared" ca="1" si="60"/>
        <v>0</v>
      </c>
      <c r="AR119" s="14">
        <f t="shared" ca="1" si="60"/>
        <v>0</v>
      </c>
      <c r="AS119" s="14">
        <f t="shared" ca="1" si="60"/>
        <v>0</v>
      </c>
    </row>
    <row r="120" spans="2:45" hidden="1" outlineLevel="2" x14ac:dyDescent="0.15"/>
    <row r="121" spans="2:45" hidden="1" outlineLevel="2" x14ac:dyDescent="0.15">
      <c r="B121" s="107" t="str">
        <f>B99</f>
        <v>Inventory</v>
      </c>
      <c r="J121" s="24">
        <f t="shared" ref="J121:AS121" ca="1" si="61">J101</f>
        <v>-279</v>
      </c>
      <c r="K121" s="24">
        <f t="shared" ca="1" si="61"/>
        <v>0</v>
      </c>
      <c r="L121" s="24">
        <f t="shared" ca="1" si="61"/>
        <v>0</v>
      </c>
      <c r="M121" s="24">
        <f t="shared" ca="1" si="61"/>
        <v>0</v>
      </c>
      <c r="N121" s="24">
        <f t="shared" ca="1" si="61"/>
        <v>0</v>
      </c>
      <c r="O121" s="24">
        <f t="shared" ca="1" si="61"/>
        <v>0</v>
      </c>
      <c r="P121" s="24">
        <f t="shared" ca="1" si="61"/>
        <v>0</v>
      </c>
      <c r="Q121" s="24">
        <f t="shared" ca="1" si="61"/>
        <v>0</v>
      </c>
      <c r="R121" s="24">
        <f t="shared" ca="1" si="61"/>
        <v>0</v>
      </c>
      <c r="S121" s="24">
        <f t="shared" ca="1" si="61"/>
        <v>0</v>
      </c>
      <c r="T121" s="24">
        <f t="shared" ca="1" si="61"/>
        <v>0</v>
      </c>
      <c r="U121" s="24">
        <f t="shared" ca="1" si="61"/>
        <v>0</v>
      </c>
      <c r="V121" s="24">
        <f t="shared" ca="1" si="61"/>
        <v>0</v>
      </c>
      <c r="W121" s="24">
        <f t="shared" ca="1" si="61"/>
        <v>0</v>
      </c>
      <c r="X121" s="24">
        <f t="shared" ca="1" si="61"/>
        <v>0</v>
      </c>
      <c r="Y121" s="24">
        <f t="shared" ca="1" si="61"/>
        <v>0</v>
      </c>
      <c r="Z121" s="24">
        <f t="shared" ca="1" si="61"/>
        <v>0</v>
      </c>
      <c r="AA121" s="24">
        <f t="shared" ca="1" si="61"/>
        <v>0</v>
      </c>
      <c r="AB121" s="24">
        <f t="shared" ca="1" si="61"/>
        <v>0</v>
      </c>
      <c r="AC121" s="24">
        <f t="shared" ca="1" si="61"/>
        <v>0</v>
      </c>
      <c r="AD121" s="24">
        <f t="shared" ca="1" si="61"/>
        <v>0</v>
      </c>
      <c r="AE121" s="24">
        <f t="shared" ca="1" si="61"/>
        <v>0</v>
      </c>
      <c r="AF121" s="24">
        <f t="shared" ca="1" si="61"/>
        <v>0</v>
      </c>
      <c r="AG121" s="24">
        <f t="shared" ca="1" si="61"/>
        <v>0</v>
      </c>
      <c r="AH121" s="24">
        <f t="shared" ca="1" si="61"/>
        <v>0</v>
      </c>
      <c r="AI121" s="24">
        <f t="shared" ca="1" si="61"/>
        <v>0</v>
      </c>
      <c r="AJ121" s="24">
        <f t="shared" ca="1" si="61"/>
        <v>0</v>
      </c>
      <c r="AK121" s="24">
        <f t="shared" ca="1" si="61"/>
        <v>0</v>
      </c>
      <c r="AL121" s="24">
        <f t="shared" ca="1" si="61"/>
        <v>0</v>
      </c>
      <c r="AM121" s="24">
        <f t="shared" ca="1" si="61"/>
        <v>0</v>
      </c>
      <c r="AN121" s="24">
        <f t="shared" ca="1" si="61"/>
        <v>0</v>
      </c>
      <c r="AO121" s="24">
        <f t="shared" ca="1" si="61"/>
        <v>0</v>
      </c>
      <c r="AP121" s="24">
        <f t="shared" ca="1" si="61"/>
        <v>0</v>
      </c>
      <c r="AQ121" s="24">
        <f t="shared" ca="1" si="61"/>
        <v>0</v>
      </c>
      <c r="AR121" s="24">
        <f t="shared" ca="1" si="61"/>
        <v>0</v>
      </c>
      <c r="AS121" s="24">
        <f t="shared" ca="1" si="61"/>
        <v>0</v>
      </c>
    </row>
    <row r="122" spans="2:45" hidden="1" outlineLevel="1" collapsed="1" x14ac:dyDescent="0.15">
      <c r="B122" s="107" t="s">
        <v>394</v>
      </c>
      <c r="J122" s="14">
        <f t="shared" ref="J122:AS122" ca="1" si="62">SUM(J121:J121)</f>
        <v>-279</v>
      </c>
      <c r="K122" s="14">
        <f t="shared" ca="1" si="62"/>
        <v>0</v>
      </c>
      <c r="L122" s="14">
        <f t="shared" ca="1" si="62"/>
        <v>0</v>
      </c>
      <c r="M122" s="14">
        <f t="shared" ca="1" si="62"/>
        <v>0</v>
      </c>
      <c r="N122" s="14">
        <f t="shared" ca="1" si="62"/>
        <v>0</v>
      </c>
      <c r="O122" s="14">
        <f t="shared" ca="1" si="62"/>
        <v>0</v>
      </c>
      <c r="P122" s="14">
        <f t="shared" ca="1" si="62"/>
        <v>0</v>
      </c>
      <c r="Q122" s="14">
        <f t="shared" ca="1" si="62"/>
        <v>0</v>
      </c>
      <c r="R122" s="14">
        <f t="shared" ca="1" si="62"/>
        <v>0</v>
      </c>
      <c r="S122" s="14">
        <f t="shared" ca="1" si="62"/>
        <v>0</v>
      </c>
      <c r="T122" s="14">
        <f t="shared" ca="1" si="62"/>
        <v>0</v>
      </c>
      <c r="U122" s="14">
        <f t="shared" ca="1" si="62"/>
        <v>0</v>
      </c>
      <c r="V122" s="14">
        <f t="shared" ca="1" si="62"/>
        <v>0</v>
      </c>
      <c r="W122" s="14">
        <f t="shared" ca="1" si="62"/>
        <v>0</v>
      </c>
      <c r="X122" s="14">
        <f t="shared" ca="1" si="62"/>
        <v>0</v>
      </c>
      <c r="Y122" s="14">
        <f t="shared" ca="1" si="62"/>
        <v>0</v>
      </c>
      <c r="Z122" s="14">
        <f t="shared" ca="1" si="62"/>
        <v>0</v>
      </c>
      <c r="AA122" s="14">
        <f t="shared" ca="1" si="62"/>
        <v>0</v>
      </c>
      <c r="AB122" s="14">
        <f t="shared" ca="1" si="62"/>
        <v>0</v>
      </c>
      <c r="AC122" s="14">
        <f t="shared" ca="1" si="62"/>
        <v>0</v>
      </c>
      <c r="AD122" s="14">
        <f t="shared" ca="1" si="62"/>
        <v>0</v>
      </c>
      <c r="AE122" s="14">
        <f t="shared" ca="1" si="62"/>
        <v>0</v>
      </c>
      <c r="AF122" s="14">
        <f t="shared" ca="1" si="62"/>
        <v>0</v>
      </c>
      <c r="AG122" s="14">
        <f t="shared" ca="1" si="62"/>
        <v>0</v>
      </c>
      <c r="AH122" s="14">
        <f t="shared" ca="1" si="62"/>
        <v>0</v>
      </c>
      <c r="AI122" s="14">
        <f t="shared" ca="1" si="62"/>
        <v>0</v>
      </c>
      <c r="AJ122" s="14">
        <f t="shared" ca="1" si="62"/>
        <v>0</v>
      </c>
      <c r="AK122" s="14">
        <f t="shared" ca="1" si="62"/>
        <v>0</v>
      </c>
      <c r="AL122" s="14">
        <f t="shared" ca="1" si="62"/>
        <v>0</v>
      </c>
      <c r="AM122" s="14">
        <f t="shared" ca="1" si="62"/>
        <v>0</v>
      </c>
      <c r="AN122" s="14">
        <f t="shared" ca="1" si="62"/>
        <v>0</v>
      </c>
      <c r="AO122" s="14">
        <f t="shared" ca="1" si="62"/>
        <v>0</v>
      </c>
      <c r="AP122" s="14">
        <f t="shared" ca="1" si="62"/>
        <v>0</v>
      </c>
      <c r="AQ122" s="14">
        <f t="shared" ca="1" si="62"/>
        <v>0</v>
      </c>
      <c r="AR122" s="14">
        <f t="shared" ca="1" si="62"/>
        <v>0</v>
      </c>
      <c r="AS122" s="14">
        <f t="shared" ca="1" si="62"/>
        <v>0</v>
      </c>
    </row>
    <row r="123" spans="2:45" hidden="1" outlineLevel="2" x14ac:dyDescent="0.15"/>
    <row r="124" spans="2:45" hidden="1" outlineLevel="2" x14ac:dyDescent="0.15">
      <c r="B124" s="107" t="str">
        <f>B99</f>
        <v>Inventory</v>
      </c>
      <c r="J124" s="24">
        <f t="shared" ref="J124:AS124" si="63">J102</f>
        <v>0</v>
      </c>
      <c r="K124" s="24">
        <f t="shared" si="63"/>
        <v>0</v>
      </c>
      <c r="L124" s="24">
        <f t="shared" si="63"/>
        <v>0</v>
      </c>
      <c r="M124" s="24">
        <f t="shared" si="63"/>
        <v>0</v>
      </c>
      <c r="N124" s="24">
        <f t="shared" si="63"/>
        <v>0</v>
      </c>
      <c r="O124" s="24">
        <f t="shared" si="63"/>
        <v>0</v>
      </c>
      <c r="P124" s="24">
        <f t="shared" si="63"/>
        <v>0</v>
      </c>
      <c r="Q124" s="24">
        <f t="shared" si="63"/>
        <v>0</v>
      </c>
      <c r="R124" s="24">
        <f t="shared" si="63"/>
        <v>0</v>
      </c>
      <c r="S124" s="24">
        <f t="shared" si="63"/>
        <v>0</v>
      </c>
      <c r="T124" s="24">
        <f t="shared" si="63"/>
        <v>0</v>
      </c>
      <c r="U124" s="24">
        <f t="shared" si="63"/>
        <v>0</v>
      </c>
      <c r="V124" s="24">
        <f t="shared" si="63"/>
        <v>0</v>
      </c>
      <c r="W124" s="24">
        <f t="shared" si="63"/>
        <v>0</v>
      </c>
      <c r="X124" s="24">
        <f t="shared" si="63"/>
        <v>0</v>
      </c>
      <c r="Y124" s="24">
        <f t="shared" si="63"/>
        <v>0</v>
      </c>
      <c r="Z124" s="24">
        <f t="shared" si="63"/>
        <v>0</v>
      </c>
      <c r="AA124" s="24">
        <f t="shared" si="63"/>
        <v>0</v>
      </c>
      <c r="AB124" s="24">
        <f t="shared" si="63"/>
        <v>0</v>
      </c>
      <c r="AC124" s="24">
        <f t="shared" si="63"/>
        <v>0</v>
      </c>
      <c r="AD124" s="24">
        <f t="shared" si="63"/>
        <v>0</v>
      </c>
      <c r="AE124" s="24">
        <f t="shared" si="63"/>
        <v>0</v>
      </c>
      <c r="AF124" s="24">
        <f t="shared" si="63"/>
        <v>0</v>
      </c>
      <c r="AG124" s="24">
        <f t="shared" si="63"/>
        <v>0</v>
      </c>
      <c r="AH124" s="24">
        <f t="shared" si="63"/>
        <v>0</v>
      </c>
      <c r="AI124" s="24">
        <f t="shared" si="63"/>
        <v>0</v>
      </c>
      <c r="AJ124" s="24">
        <f t="shared" si="63"/>
        <v>0</v>
      </c>
      <c r="AK124" s="24">
        <f t="shared" si="63"/>
        <v>0</v>
      </c>
      <c r="AL124" s="24">
        <f t="shared" si="63"/>
        <v>0</v>
      </c>
      <c r="AM124" s="24">
        <f t="shared" si="63"/>
        <v>0</v>
      </c>
      <c r="AN124" s="24">
        <f t="shared" si="63"/>
        <v>0</v>
      </c>
      <c r="AO124" s="24">
        <f t="shared" si="63"/>
        <v>0</v>
      </c>
      <c r="AP124" s="24">
        <f t="shared" si="63"/>
        <v>0</v>
      </c>
      <c r="AQ124" s="24">
        <f t="shared" si="63"/>
        <v>0</v>
      </c>
      <c r="AR124" s="24">
        <f t="shared" si="63"/>
        <v>0</v>
      </c>
      <c r="AS124" s="24">
        <f t="shared" si="63"/>
        <v>0</v>
      </c>
    </row>
    <row r="125" spans="2:45" hidden="1" outlineLevel="1" collapsed="1" x14ac:dyDescent="0.15">
      <c r="B125" s="107" t="s">
        <v>65</v>
      </c>
      <c r="J125" s="14">
        <f t="shared" ref="J125:AS125" si="64">SUM(J124:J124)</f>
        <v>0</v>
      </c>
      <c r="K125" s="14">
        <f t="shared" si="64"/>
        <v>0</v>
      </c>
      <c r="L125" s="14">
        <f t="shared" si="64"/>
        <v>0</v>
      </c>
      <c r="M125" s="14">
        <f t="shared" si="64"/>
        <v>0</v>
      </c>
      <c r="N125" s="14">
        <f t="shared" si="64"/>
        <v>0</v>
      </c>
      <c r="O125" s="14">
        <f t="shared" si="64"/>
        <v>0</v>
      </c>
      <c r="P125" s="14">
        <f t="shared" si="64"/>
        <v>0</v>
      </c>
      <c r="Q125" s="14">
        <f t="shared" si="64"/>
        <v>0</v>
      </c>
      <c r="R125" s="14">
        <f t="shared" si="64"/>
        <v>0</v>
      </c>
      <c r="S125" s="14">
        <f t="shared" si="64"/>
        <v>0</v>
      </c>
      <c r="T125" s="14">
        <f t="shared" si="64"/>
        <v>0</v>
      </c>
      <c r="U125" s="14">
        <f t="shared" si="64"/>
        <v>0</v>
      </c>
      <c r="V125" s="14">
        <f t="shared" si="64"/>
        <v>0</v>
      </c>
      <c r="W125" s="14">
        <f t="shared" si="64"/>
        <v>0</v>
      </c>
      <c r="X125" s="14">
        <f t="shared" si="64"/>
        <v>0</v>
      </c>
      <c r="Y125" s="14">
        <f t="shared" si="64"/>
        <v>0</v>
      </c>
      <c r="Z125" s="14">
        <f t="shared" si="64"/>
        <v>0</v>
      </c>
      <c r="AA125" s="14">
        <f t="shared" si="64"/>
        <v>0</v>
      </c>
      <c r="AB125" s="14">
        <f t="shared" si="64"/>
        <v>0</v>
      </c>
      <c r="AC125" s="14">
        <f t="shared" si="64"/>
        <v>0</v>
      </c>
      <c r="AD125" s="14">
        <f t="shared" si="64"/>
        <v>0</v>
      </c>
      <c r="AE125" s="14">
        <f t="shared" si="64"/>
        <v>0</v>
      </c>
      <c r="AF125" s="14">
        <f t="shared" si="64"/>
        <v>0</v>
      </c>
      <c r="AG125" s="14">
        <f t="shared" si="64"/>
        <v>0</v>
      </c>
      <c r="AH125" s="14">
        <f t="shared" si="64"/>
        <v>0</v>
      </c>
      <c r="AI125" s="14">
        <f t="shared" si="64"/>
        <v>0</v>
      </c>
      <c r="AJ125" s="14">
        <f t="shared" si="64"/>
        <v>0</v>
      </c>
      <c r="AK125" s="14">
        <f t="shared" si="64"/>
        <v>0</v>
      </c>
      <c r="AL125" s="14">
        <f t="shared" si="64"/>
        <v>0</v>
      </c>
      <c r="AM125" s="14">
        <f t="shared" si="64"/>
        <v>0</v>
      </c>
      <c r="AN125" s="14">
        <f t="shared" si="64"/>
        <v>0</v>
      </c>
      <c r="AO125" s="14">
        <f t="shared" si="64"/>
        <v>0</v>
      </c>
      <c r="AP125" s="14">
        <f t="shared" si="64"/>
        <v>0</v>
      </c>
      <c r="AQ125" s="14">
        <f t="shared" si="64"/>
        <v>0</v>
      </c>
      <c r="AR125" s="14">
        <f t="shared" si="64"/>
        <v>0</v>
      </c>
      <c r="AS125" s="14">
        <f t="shared" si="64"/>
        <v>0</v>
      </c>
    </row>
    <row r="126" spans="2:45" hidden="1" outlineLevel="2" x14ac:dyDescent="0.15"/>
    <row r="127" spans="2:45" hidden="1" outlineLevel="2" x14ac:dyDescent="0.15">
      <c r="B127" s="107" t="str">
        <f>B99</f>
        <v>Inventory</v>
      </c>
      <c r="J127" s="24">
        <f t="shared" ref="J127:AS127" ca="1" si="65">J124+J121</f>
        <v>-279</v>
      </c>
      <c r="K127" s="24">
        <f t="shared" ca="1" si="65"/>
        <v>0</v>
      </c>
      <c r="L127" s="24">
        <f t="shared" ca="1" si="65"/>
        <v>0</v>
      </c>
      <c r="M127" s="24">
        <f t="shared" ca="1" si="65"/>
        <v>0</v>
      </c>
      <c r="N127" s="24">
        <f t="shared" ca="1" si="65"/>
        <v>0</v>
      </c>
      <c r="O127" s="24">
        <f t="shared" ca="1" si="65"/>
        <v>0</v>
      </c>
      <c r="P127" s="24">
        <f t="shared" ca="1" si="65"/>
        <v>0</v>
      </c>
      <c r="Q127" s="24">
        <f t="shared" ca="1" si="65"/>
        <v>0</v>
      </c>
      <c r="R127" s="24">
        <f t="shared" ca="1" si="65"/>
        <v>0</v>
      </c>
      <c r="S127" s="24">
        <f t="shared" ca="1" si="65"/>
        <v>0</v>
      </c>
      <c r="T127" s="24">
        <f t="shared" ca="1" si="65"/>
        <v>0</v>
      </c>
      <c r="U127" s="24">
        <f t="shared" ca="1" si="65"/>
        <v>0</v>
      </c>
      <c r="V127" s="24">
        <f t="shared" ca="1" si="65"/>
        <v>0</v>
      </c>
      <c r="W127" s="24">
        <f t="shared" ca="1" si="65"/>
        <v>0</v>
      </c>
      <c r="X127" s="24">
        <f t="shared" ca="1" si="65"/>
        <v>0</v>
      </c>
      <c r="Y127" s="24">
        <f t="shared" ca="1" si="65"/>
        <v>0</v>
      </c>
      <c r="Z127" s="24">
        <f t="shared" ca="1" si="65"/>
        <v>0</v>
      </c>
      <c r="AA127" s="24">
        <f t="shared" ca="1" si="65"/>
        <v>0</v>
      </c>
      <c r="AB127" s="24">
        <f t="shared" ca="1" si="65"/>
        <v>0</v>
      </c>
      <c r="AC127" s="24">
        <f t="shared" ca="1" si="65"/>
        <v>0</v>
      </c>
      <c r="AD127" s="24">
        <f t="shared" ca="1" si="65"/>
        <v>0</v>
      </c>
      <c r="AE127" s="24">
        <f t="shared" ca="1" si="65"/>
        <v>0</v>
      </c>
      <c r="AF127" s="24">
        <f t="shared" ca="1" si="65"/>
        <v>0</v>
      </c>
      <c r="AG127" s="24">
        <f t="shared" ca="1" si="65"/>
        <v>0</v>
      </c>
      <c r="AH127" s="24">
        <f t="shared" ca="1" si="65"/>
        <v>0</v>
      </c>
      <c r="AI127" s="24">
        <f t="shared" ca="1" si="65"/>
        <v>0</v>
      </c>
      <c r="AJ127" s="24">
        <f t="shared" ca="1" si="65"/>
        <v>0</v>
      </c>
      <c r="AK127" s="24">
        <f t="shared" ca="1" si="65"/>
        <v>0</v>
      </c>
      <c r="AL127" s="24">
        <f t="shared" ca="1" si="65"/>
        <v>0</v>
      </c>
      <c r="AM127" s="24">
        <f t="shared" ca="1" si="65"/>
        <v>0</v>
      </c>
      <c r="AN127" s="24">
        <f t="shared" ca="1" si="65"/>
        <v>0</v>
      </c>
      <c r="AO127" s="24">
        <f t="shared" ca="1" si="65"/>
        <v>0</v>
      </c>
      <c r="AP127" s="24">
        <f t="shared" ca="1" si="65"/>
        <v>0</v>
      </c>
      <c r="AQ127" s="24">
        <f t="shared" ca="1" si="65"/>
        <v>0</v>
      </c>
      <c r="AR127" s="24">
        <f t="shared" ca="1" si="65"/>
        <v>0</v>
      </c>
      <c r="AS127" s="24">
        <f t="shared" ca="1" si="65"/>
        <v>0</v>
      </c>
    </row>
    <row r="128" spans="2:45" hidden="1" outlineLevel="1" collapsed="1" x14ac:dyDescent="0.15">
      <c r="B128" s="107" t="s">
        <v>404</v>
      </c>
      <c r="J128" s="14">
        <f t="shared" ref="J128:AS128" ca="1" si="66">SUM(J127:J127)</f>
        <v>-279</v>
      </c>
      <c r="K128" s="14">
        <f t="shared" ca="1" si="66"/>
        <v>0</v>
      </c>
      <c r="L128" s="14">
        <f t="shared" ca="1" si="66"/>
        <v>0</v>
      </c>
      <c r="M128" s="14">
        <f t="shared" ca="1" si="66"/>
        <v>0</v>
      </c>
      <c r="N128" s="14">
        <f t="shared" ca="1" si="66"/>
        <v>0</v>
      </c>
      <c r="O128" s="14">
        <f t="shared" ca="1" si="66"/>
        <v>0</v>
      </c>
      <c r="P128" s="14">
        <f t="shared" ca="1" si="66"/>
        <v>0</v>
      </c>
      <c r="Q128" s="14">
        <f t="shared" ca="1" si="66"/>
        <v>0</v>
      </c>
      <c r="R128" s="14">
        <f t="shared" ca="1" si="66"/>
        <v>0</v>
      </c>
      <c r="S128" s="14">
        <f t="shared" ca="1" si="66"/>
        <v>0</v>
      </c>
      <c r="T128" s="14">
        <f t="shared" ca="1" si="66"/>
        <v>0</v>
      </c>
      <c r="U128" s="14">
        <f t="shared" ca="1" si="66"/>
        <v>0</v>
      </c>
      <c r="V128" s="14">
        <f t="shared" ca="1" si="66"/>
        <v>0</v>
      </c>
      <c r="W128" s="14">
        <f t="shared" ca="1" si="66"/>
        <v>0</v>
      </c>
      <c r="X128" s="14">
        <f t="shared" ca="1" si="66"/>
        <v>0</v>
      </c>
      <c r="Y128" s="14">
        <f t="shared" ca="1" si="66"/>
        <v>0</v>
      </c>
      <c r="Z128" s="14">
        <f t="shared" ca="1" si="66"/>
        <v>0</v>
      </c>
      <c r="AA128" s="14">
        <f t="shared" ca="1" si="66"/>
        <v>0</v>
      </c>
      <c r="AB128" s="14">
        <f t="shared" ca="1" si="66"/>
        <v>0</v>
      </c>
      <c r="AC128" s="14">
        <f t="shared" ca="1" si="66"/>
        <v>0</v>
      </c>
      <c r="AD128" s="14">
        <f t="shared" ca="1" si="66"/>
        <v>0</v>
      </c>
      <c r="AE128" s="14">
        <f t="shared" ca="1" si="66"/>
        <v>0</v>
      </c>
      <c r="AF128" s="14">
        <f t="shared" ca="1" si="66"/>
        <v>0</v>
      </c>
      <c r="AG128" s="14">
        <f t="shared" ca="1" si="66"/>
        <v>0</v>
      </c>
      <c r="AH128" s="14">
        <f t="shared" ca="1" si="66"/>
        <v>0</v>
      </c>
      <c r="AI128" s="14">
        <f t="shared" ca="1" si="66"/>
        <v>0</v>
      </c>
      <c r="AJ128" s="14">
        <f t="shared" ca="1" si="66"/>
        <v>0</v>
      </c>
      <c r="AK128" s="14">
        <f t="shared" ca="1" si="66"/>
        <v>0</v>
      </c>
      <c r="AL128" s="14">
        <f t="shared" ca="1" si="66"/>
        <v>0</v>
      </c>
      <c r="AM128" s="14">
        <f t="shared" ca="1" si="66"/>
        <v>0</v>
      </c>
      <c r="AN128" s="14">
        <f t="shared" ca="1" si="66"/>
        <v>0</v>
      </c>
      <c r="AO128" s="14">
        <f t="shared" ca="1" si="66"/>
        <v>0</v>
      </c>
      <c r="AP128" s="14">
        <f t="shared" ca="1" si="66"/>
        <v>0</v>
      </c>
      <c r="AQ128" s="14">
        <f t="shared" ca="1" si="66"/>
        <v>0</v>
      </c>
      <c r="AR128" s="14">
        <f t="shared" ca="1" si="66"/>
        <v>0</v>
      </c>
      <c r="AS128" s="14">
        <f t="shared" ca="1" si="66"/>
        <v>0</v>
      </c>
    </row>
    <row r="129" spans="2:45" hidden="1" outlineLevel="2" x14ac:dyDescent="0.15"/>
    <row r="130" spans="2:45" hidden="1" outlineLevel="2" x14ac:dyDescent="0.15">
      <c r="B130" s="107" t="str">
        <f>B99</f>
        <v>Inventory</v>
      </c>
      <c r="J130" s="23">
        <f t="shared" ref="J130:AS130" ca="1" si="67">J112</f>
        <v>0</v>
      </c>
      <c r="K130" s="23">
        <f t="shared" ca="1" si="67"/>
        <v>0</v>
      </c>
      <c r="L130" s="23">
        <f t="shared" ca="1" si="67"/>
        <v>0</v>
      </c>
      <c r="M130" s="23">
        <f t="shared" ca="1" si="67"/>
        <v>0</v>
      </c>
      <c r="N130" s="23">
        <f t="shared" ca="1" si="67"/>
        <v>0</v>
      </c>
      <c r="O130" s="23">
        <f t="shared" ca="1" si="67"/>
        <v>0</v>
      </c>
      <c r="P130" s="23">
        <f t="shared" ca="1" si="67"/>
        <v>0</v>
      </c>
      <c r="Q130" s="23">
        <f t="shared" ca="1" si="67"/>
        <v>0</v>
      </c>
      <c r="R130" s="23">
        <f t="shared" ca="1" si="67"/>
        <v>0</v>
      </c>
      <c r="S130" s="23">
        <f t="shared" ca="1" si="67"/>
        <v>0</v>
      </c>
      <c r="T130" s="23">
        <f t="shared" ca="1" si="67"/>
        <v>0</v>
      </c>
      <c r="U130" s="23">
        <f t="shared" ca="1" si="67"/>
        <v>0</v>
      </c>
      <c r="V130" s="23">
        <f t="shared" ca="1" si="67"/>
        <v>0</v>
      </c>
      <c r="W130" s="23">
        <f t="shared" ca="1" si="67"/>
        <v>0</v>
      </c>
      <c r="X130" s="23">
        <f t="shared" ca="1" si="67"/>
        <v>0</v>
      </c>
      <c r="Y130" s="23">
        <f t="shared" ca="1" si="67"/>
        <v>0</v>
      </c>
      <c r="Z130" s="23">
        <f t="shared" ca="1" si="67"/>
        <v>0</v>
      </c>
      <c r="AA130" s="23">
        <f t="shared" ca="1" si="67"/>
        <v>0</v>
      </c>
      <c r="AB130" s="23">
        <f t="shared" ca="1" si="67"/>
        <v>0</v>
      </c>
      <c r="AC130" s="23">
        <f t="shared" ca="1" si="67"/>
        <v>0</v>
      </c>
      <c r="AD130" s="23">
        <f t="shared" ca="1" si="67"/>
        <v>0</v>
      </c>
      <c r="AE130" s="23">
        <f t="shared" ca="1" si="67"/>
        <v>0</v>
      </c>
      <c r="AF130" s="23">
        <f t="shared" ca="1" si="67"/>
        <v>0</v>
      </c>
      <c r="AG130" s="23">
        <f t="shared" ca="1" si="67"/>
        <v>0</v>
      </c>
      <c r="AH130" s="23">
        <f t="shared" ca="1" si="67"/>
        <v>0</v>
      </c>
      <c r="AI130" s="23">
        <f t="shared" ca="1" si="67"/>
        <v>0</v>
      </c>
      <c r="AJ130" s="23">
        <f t="shared" ca="1" si="67"/>
        <v>0</v>
      </c>
      <c r="AK130" s="23">
        <f t="shared" ca="1" si="67"/>
        <v>0</v>
      </c>
      <c r="AL130" s="23">
        <f t="shared" ca="1" si="67"/>
        <v>0</v>
      </c>
      <c r="AM130" s="23">
        <f t="shared" ca="1" si="67"/>
        <v>0</v>
      </c>
      <c r="AN130" s="23">
        <f t="shared" ca="1" si="67"/>
        <v>0</v>
      </c>
      <c r="AO130" s="23">
        <f t="shared" ca="1" si="67"/>
        <v>0</v>
      </c>
      <c r="AP130" s="23">
        <f t="shared" ca="1" si="67"/>
        <v>0</v>
      </c>
      <c r="AQ130" s="23">
        <f t="shared" ca="1" si="67"/>
        <v>0</v>
      </c>
      <c r="AR130" s="23">
        <f t="shared" ca="1" si="67"/>
        <v>0</v>
      </c>
      <c r="AS130" s="23">
        <f t="shared" ca="1" si="67"/>
        <v>0</v>
      </c>
    </row>
    <row r="131" spans="2:45" hidden="1" outlineLevel="1" collapsed="1" x14ac:dyDescent="0.15">
      <c r="B131" s="16" t="s">
        <v>388</v>
      </c>
      <c r="J131" s="18">
        <f t="shared" ref="J131:AS131" ca="1" si="68">SUM(J130:J130)</f>
        <v>0</v>
      </c>
      <c r="K131" s="18">
        <f t="shared" ca="1" si="68"/>
        <v>0</v>
      </c>
      <c r="L131" s="18">
        <f t="shared" ca="1" si="68"/>
        <v>0</v>
      </c>
      <c r="M131" s="18">
        <f t="shared" ca="1" si="68"/>
        <v>0</v>
      </c>
      <c r="N131" s="18">
        <f t="shared" ca="1" si="68"/>
        <v>0</v>
      </c>
      <c r="O131" s="18">
        <f t="shared" ca="1" si="68"/>
        <v>0</v>
      </c>
      <c r="P131" s="18">
        <f t="shared" ca="1" si="68"/>
        <v>0</v>
      </c>
      <c r="Q131" s="18">
        <f t="shared" ca="1" si="68"/>
        <v>0</v>
      </c>
      <c r="R131" s="18">
        <f t="shared" ca="1" si="68"/>
        <v>0</v>
      </c>
      <c r="S131" s="18">
        <f t="shared" ca="1" si="68"/>
        <v>0</v>
      </c>
      <c r="T131" s="18">
        <f t="shared" ca="1" si="68"/>
        <v>0</v>
      </c>
      <c r="U131" s="18">
        <f t="shared" ca="1" si="68"/>
        <v>0</v>
      </c>
      <c r="V131" s="18">
        <f t="shared" ca="1" si="68"/>
        <v>0</v>
      </c>
      <c r="W131" s="18">
        <f t="shared" ca="1" si="68"/>
        <v>0</v>
      </c>
      <c r="X131" s="18">
        <f t="shared" ca="1" si="68"/>
        <v>0</v>
      </c>
      <c r="Y131" s="18">
        <f t="shared" ca="1" si="68"/>
        <v>0</v>
      </c>
      <c r="Z131" s="18">
        <f t="shared" ca="1" si="68"/>
        <v>0</v>
      </c>
      <c r="AA131" s="18">
        <f t="shared" ca="1" si="68"/>
        <v>0</v>
      </c>
      <c r="AB131" s="18">
        <f t="shared" ca="1" si="68"/>
        <v>0</v>
      </c>
      <c r="AC131" s="18">
        <f t="shared" ca="1" si="68"/>
        <v>0</v>
      </c>
      <c r="AD131" s="18">
        <f t="shared" ca="1" si="68"/>
        <v>0</v>
      </c>
      <c r="AE131" s="18">
        <f t="shared" ca="1" si="68"/>
        <v>0</v>
      </c>
      <c r="AF131" s="18">
        <f t="shared" ca="1" si="68"/>
        <v>0</v>
      </c>
      <c r="AG131" s="18">
        <f t="shared" ca="1" si="68"/>
        <v>0</v>
      </c>
      <c r="AH131" s="18">
        <f t="shared" ca="1" si="68"/>
        <v>0</v>
      </c>
      <c r="AI131" s="18">
        <f t="shared" ca="1" si="68"/>
        <v>0</v>
      </c>
      <c r="AJ131" s="18">
        <f t="shared" ca="1" si="68"/>
        <v>0</v>
      </c>
      <c r="AK131" s="18">
        <f t="shared" ca="1" si="68"/>
        <v>0</v>
      </c>
      <c r="AL131" s="18">
        <f t="shared" ca="1" si="68"/>
        <v>0</v>
      </c>
      <c r="AM131" s="18">
        <f t="shared" ca="1" si="68"/>
        <v>0</v>
      </c>
      <c r="AN131" s="18">
        <f t="shared" ca="1" si="68"/>
        <v>0</v>
      </c>
      <c r="AO131" s="18">
        <f t="shared" ca="1" si="68"/>
        <v>0</v>
      </c>
      <c r="AP131" s="18">
        <f t="shared" ca="1" si="68"/>
        <v>0</v>
      </c>
      <c r="AQ131" s="18">
        <f t="shared" ca="1" si="68"/>
        <v>0</v>
      </c>
      <c r="AR131" s="18">
        <f t="shared" ca="1" si="68"/>
        <v>0</v>
      </c>
      <c r="AS131" s="18">
        <f t="shared" ca="1" si="68"/>
        <v>0</v>
      </c>
    </row>
    <row r="132" spans="2:45" hidden="1" outlineLevel="1" x14ac:dyDescent="0.15"/>
    <row r="133" spans="2:45" hidden="1" outlineLevel="2" x14ac:dyDescent="0.15">
      <c r="C133" s="107" t="s">
        <v>192</v>
      </c>
      <c r="J133" s="17">
        <f t="shared" ref="J133:AS133" ca="1" si="69">IF(ISERROR(J119-J128-J131),1,0)</f>
        <v>0</v>
      </c>
      <c r="K133" s="17">
        <f t="shared" ca="1" si="69"/>
        <v>0</v>
      </c>
      <c r="L133" s="17">
        <f t="shared" ca="1" si="69"/>
        <v>0</v>
      </c>
      <c r="M133" s="17">
        <f t="shared" ca="1" si="69"/>
        <v>0</v>
      </c>
      <c r="N133" s="17">
        <f t="shared" ca="1" si="69"/>
        <v>0</v>
      </c>
      <c r="O133" s="17">
        <f t="shared" ca="1" si="69"/>
        <v>0</v>
      </c>
      <c r="P133" s="17">
        <f t="shared" ca="1" si="69"/>
        <v>0</v>
      </c>
      <c r="Q133" s="17">
        <f t="shared" ca="1" si="69"/>
        <v>0</v>
      </c>
      <c r="R133" s="17">
        <f t="shared" ca="1" si="69"/>
        <v>0</v>
      </c>
      <c r="S133" s="17">
        <f t="shared" ca="1" si="69"/>
        <v>0</v>
      </c>
      <c r="T133" s="17">
        <f t="shared" ca="1" si="69"/>
        <v>0</v>
      </c>
      <c r="U133" s="17">
        <f t="shared" ca="1" si="69"/>
        <v>0</v>
      </c>
      <c r="V133" s="17">
        <f t="shared" ca="1" si="69"/>
        <v>0</v>
      </c>
      <c r="W133" s="17">
        <f t="shared" ca="1" si="69"/>
        <v>0</v>
      </c>
      <c r="X133" s="17">
        <f t="shared" ca="1" si="69"/>
        <v>0</v>
      </c>
      <c r="Y133" s="17">
        <f t="shared" ca="1" si="69"/>
        <v>0</v>
      </c>
      <c r="Z133" s="17">
        <f t="shared" ca="1" si="69"/>
        <v>0</v>
      </c>
      <c r="AA133" s="17">
        <f t="shared" ca="1" si="69"/>
        <v>0</v>
      </c>
      <c r="AB133" s="17">
        <f t="shared" ca="1" si="69"/>
        <v>0</v>
      </c>
      <c r="AC133" s="17">
        <f t="shared" ca="1" si="69"/>
        <v>0</v>
      </c>
      <c r="AD133" s="17">
        <f t="shared" ca="1" si="69"/>
        <v>0</v>
      </c>
      <c r="AE133" s="17">
        <f t="shared" ca="1" si="69"/>
        <v>0</v>
      </c>
      <c r="AF133" s="17">
        <f t="shared" ca="1" si="69"/>
        <v>0</v>
      </c>
      <c r="AG133" s="17">
        <f t="shared" ca="1" si="69"/>
        <v>0</v>
      </c>
      <c r="AH133" s="17">
        <f t="shared" ca="1" si="69"/>
        <v>0</v>
      </c>
      <c r="AI133" s="17">
        <f t="shared" ca="1" si="69"/>
        <v>0</v>
      </c>
      <c r="AJ133" s="17">
        <f t="shared" ca="1" si="69"/>
        <v>0</v>
      </c>
      <c r="AK133" s="17">
        <f t="shared" ca="1" si="69"/>
        <v>0</v>
      </c>
      <c r="AL133" s="17">
        <f t="shared" ca="1" si="69"/>
        <v>0</v>
      </c>
      <c r="AM133" s="17">
        <f t="shared" ca="1" si="69"/>
        <v>0</v>
      </c>
      <c r="AN133" s="17">
        <f t="shared" ca="1" si="69"/>
        <v>0</v>
      </c>
      <c r="AO133" s="17">
        <f t="shared" ca="1" si="69"/>
        <v>0</v>
      </c>
      <c r="AP133" s="17">
        <f t="shared" ca="1" si="69"/>
        <v>0</v>
      </c>
      <c r="AQ133" s="17">
        <f t="shared" ca="1" si="69"/>
        <v>0</v>
      </c>
      <c r="AR133" s="17">
        <f t="shared" ca="1" si="69"/>
        <v>0</v>
      </c>
      <c r="AS133" s="17">
        <f t="shared" ca="1" si="69"/>
        <v>0</v>
      </c>
    </row>
    <row r="134" spans="2:45" hidden="1" outlineLevel="2" x14ac:dyDescent="0.15">
      <c r="C134" s="107" t="s">
        <v>305</v>
      </c>
      <c r="J134" s="42">
        <f t="shared" ref="J134:AS134" ca="1" si="70">IF(J133&lt;&gt;0,0,IF(ROUND(J131-J128-J119,5)&lt;&gt;0,1,0))</f>
        <v>0</v>
      </c>
      <c r="K134" s="42">
        <f t="shared" ca="1" si="70"/>
        <v>0</v>
      </c>
      <c r="L134" s="42">
        <f t="shared" ca="1" si="70"/>
        <v>0</v>
      </c>
      <c r="M134" s="42">
        <f t="shared" ca="1" si="70"/>
        <v>0</v>
      </c>
      <c r="N134" s="42">
        <f t="shared" ca="1" si="70"/>
        <v>0</v>
      </c>
      <c r="O134" s="42">
        <f t="shared" ca="1" si="70"/>
        <v>0</v>
      </c>
      <c r="P134" s="42">
        <f t="shared" ca="1" si="70"/>
        <v>0</v>
      </c>
      <c r="Q134" s="42">
        <f t="shared" ca="1" si="70"/>
        <v>0</v>
      </c>
      <c r="R134" s="42">
        <f t="shared" ca="1" si="70"/>
        <v>0</v>
      </c>
      <c r="S134" s="42">
        <f t="shared" ca="1" si="70"/>
        <v>0</v>
      </c>
      <c r="T134" s="42">
        <f t="shared" ca="1" si="70"/>
        <v>0</v>
      </c>
      <c r="U134" s="42">
        <f t="shared" ca="1" si="70"/>
        <v>0</v>
      </c>
      <c r="V134" s="42">
        <f t="shared" ca="1" si="70"/>
        <v>0</v>
      </c>
      <c r="W134" s="42">
        <f t="shared" ca="1" si="70"/>
        <v>0</v>
      </c>
      <c r="X134" s="42">
        <f t="shared" ca="1" si="70"/>
        <v>0</v>
      </c>
      <c r="Y134" s="42">
        <f t="shared" ca="1" si="70"/>
        <v>0</v>
      </c>
      <c r="Z134" s="42">
        <f t="shared" ca="1" si="70"/>
        <v>0</v>
      </c>
      <c r="AA134" s="42">
        <f t="shared" ca="1" si="70"/>
        <v>0</v>
      </c>
      <c r="AB134" s="42">
        <f t="shared" ca="1" si="70"/>
        <v>0</v>
      </c>
      <c r="AC134" s="42">
        <f t="shared" ca="1" si="70"/>
        <v>0</v>
      </c>
      <c r="AD134" s="42">
        <f t="shared" ca="1" si="70"/>
        <v>0</v>
      </c>
      <c r="AE134" s="42">
        <f t="shared" ca="1" si="70"/>
        <v>0</v>
      </c>
      <c r="AF134" s="42">
        <f t="shared" ca="1" si="70"/>
        <v>0</v>
      </c>
      <c r="AG134" s="42">
        <f t="shared" ca="1" si="70"/>
        <v>0</v>
      </c>
      <c r="AH134" s="42">
        <f t="shared" ca="1" si="70"/>
        <v>0</v>
      </c>
      <c r="AI134" s="42">
        <f t="shared" ca="1" si="70"/>
        <v>0</v>
      </c>
      <c r="AJ134" s="42">
        <f t="shared" ca="1" si="70"/>
        <v>0</v>
      </c>
      <c r="AK134" s="42">
        <f t="shared" ca="1" si="70"/>
        <v>0</v>
      </c>
      <c r="AL134" s="42">
        <f t="shared" ca="1" si="70"/>
        <v>0</v>
      </c>
      <c r="AM134" s="42">
        <f t="shared" ca="1" si="70"/>
        <v>0</v>
      </c>
      <c r="AN134" s="42">
        <f t="shared" ca="1" si="70"/>
        <v>0</v>
      </c>
      <c r="AO134" s="42">
        <f t="shared" ca="1" si="70"/>
        <v>0</v>
      </c>
      <c r="AP134" s="42">
        <f t="shared" ca="1" si="70"/>
        <v>0</v>
      </c>
      <c r="AQ134" s="42">
        <f t="shared" ca="1" si="70"/>
        <v>0</v>
      </c>
      <c r="AR134" s="42">
        <f t="shared" ca="1" si="70"/>
        <v>0</v>
      </c>
      <c r="AS134" s="42">
        <f t="shared" ca="1" si="70"/>
        <v>0</v>
      </c>
    </row>
    <row r="135" spans="2:45" hidden="1" outlineLevel="1" collapsed="1" x14ac:dyDescent="0.15">
      <c r="B135" s="107" t="s">
        <v>335</v>
      </c>
      <c r="I135" s="22">
        <f ca="1">IF(ISERROR(SUM(J135:AS135)),1,MIN(SUM(J135:AS135),1))</f>
        <v>0</v>
      </c>
      <c r="J135" s="17">
        <f t="shared" ref="J135:AS135" ca="1" si="71">MIN(SUM(J133:J134),1)</f>
        <v>0</v>
      </c>
      <c r="K135" s="17">
        <f t="shared" ca="1" si="71"/>
        <v>0</v>
      </c>
      <c r="L135" s="17">
        <f t="shared" ca="1" si="71"/>
        <v>0</v>
      </c>
      <c r="M135" s="17">
        <f t="shared" ca="1" si="71"/>
        <v>0</v>
      </c>
      <c r="N135" s="17">
        <f t="shared" ca="1" si="71"/>
        <v>0</v>
      </c>
      <c r="O135" s="17">
        <f t="shared" ca="1" si="71"/>
        <v>0</v>
      </c>
      <c r="P135" s="17">
        <f t="shared" ca="1" si="71"/>
        <v>0</v>
      </c>
      <c r="Q135" s="17">
        <f t="shared" ca="1" si="71"/>
        <v>0</v>
      </c>
      <c r="R135" s="17">
        <f t="shared" ca="1" si="71"/>
        <v>0</v>
      </c>
      <c r="S135" s="17">
        <f t="shared" ca="1" si="71"/>
        <v>0</v>
      </c>
      <c r="T135" s="17">
        <f t="shared" ca="1" si="71"/>
        <v>0</v>
      </c>
      <c r="U135" s="17">
        <f t="shared" ca="1" si="71"/>
        <v>0</v>
      </c>
      <c r="V135" s="17">
        <f t="shared" ca="1" si="71"/>
        <v>0</v>
      </c>
      <c r="W135" s="17">
        <f t="shared" ca="1" si="71"/>
        <v>0</v>
      </c>
      <c r="X135" s="17">
        <f t="shared" ca="1" si="71"/>
        <v>0</v>
      </c>
      <c r="Y135" s="17">
        <f t="shared" ca="1" si="71"/>
        <v>0</v>
      </c>
      <c r="Z135" s="17">
        <f t="shared" ca="1" si="71"/>
        <v>0</v>
      </c>
      <c r="AA135" s="17">
        <f t="shared" ca="1" si="71"/>
        <v>0</v>
      </c>
      <c r="AB135" s="17">
        <f t="shared" ca="1" si="71"/>
        <v>0</v>
      </c>
      <c r="AC135" s="17">
        <f t="shared" ca="1" si="71"/>
        <v>0</v>
      </c>
      <c r="AD135" s="17">
        <f t="shared" ca="1" si="71"/>
        <v>0</v>
      </c>
      <c r="AE135" s="17">
        <f t="shared" ca="1" si="71"/>
        <v>0</v>
      </c>
      <c r="AF135" s="17">
        <f t="shared" ca="1" si="71"/>
        <v>0</v>
      </c>
      <c r="AG135" s="17">
        <f t="shared" ca="1" si="71"/>
        <v>0</v>
      </c>
      <c r="AH135" s="17">
        <f t="shared" ca="1" si="71"/>
        <v>0</v>
      </c>
      <c r="AI135" s="17">
        <f t="shared" ca="1" si="71"/>
        <v>0</v>
      </c>
      <c r="AJ135" s="17">
        <f t="shared" ca="1" si="71"/>
        <v>0</v>
      </c>
      <c r="AK135" s="17">
        <f t="shared" ca="1" si="71"/>
        <v>0</v>
      </c>
      <c r="AL135" s="17">
        <f t="shared" ca="1" si="71"/>
        <v>0</v>
      </c>
      <c r="AM135" s="17">
        <f t="shared" ca="1" si="71"/>
        <v>0</v>
      </c>
      <c r="AN135" s="17">
        <f t="shared" ca="1" si="71"/>
        <v>0</v>
      </c>
      <c r="AO135" s="17">
        <f t="shared" ca="1" si="71"/>
        <v>0</v>
      </c>
      <c r="AP135" s="17">
        <f t="shared" ca="1" si="71"/>
        <v>0</v>
      </c>
      <c r="AQ135" s="17">
        <f t="shared" ca="1" si="71"/>
        <v>0</v>
      </c>
      <c r="AR135" s="17">
        <f t="shared" ca="1" si="71"/>
        <v>0</v>
      </c>
      <c r="AS135" s="17">
        <f t="shared" ca="1" si="71"/>
        <v>0</v>
      </c>
    </row>
    <row r="136" spans="2:45" ht="6" hidden="1" customHeight="1" outlineLevel="2" x14ac:dyDescent="0.15"/>
    <row r="137" spans="2:45" hidden="1" outlineLevel="2" x14ac:dyDescent="0.15">
      <c r="C137" s="107" t="s">
        <v>405</v>
      </c>
      <c r="J137" s="17">
        <f t="shared" ref="J137:AS137" ca="1" si="72">IF(J135&lt;&gt;0,0,IF(ROUND(MIN(J130:J130),5)&lt;0,1,0))</f>
        <v>0</v>
      </c>
      <c r="K137" s="17">
        <f t="shared" ca="1" si="72"/>
        <v>0</v>
      </c>
      <c r="L137" s="17">
        <f t="shared" ca="1" si="72"/>
        <v>0</v>
      </c>
      <c r="M137" s="17">
        <f t="shared" ca="1" si="72"/>
        <v>0</v>
      </c>
      <c r="N137" s="17">
        <f t="shared" ca="1" si="72"/>
        <v>0</v>
      </c>
      <c r="O137" s="17">
        <f t="shared" ca="1" si="72"/>
        <v>0</v>
      </c>
      <c r="P137" s="17">
        <f t="shared" ca="1" si="72"/>
        <v>0</v>
      </c>
      <c r="Q137" s="17">
        <f t="shared" ca="1" si="72"/>
        <v>0</v>
      </c>
      <c r="R137" s="17">
        <f t="shared" ca="1" si="72"/>
        <v>0</v>
      </c>
      <c r="S137" s="17">
        <f t="shared" ca="1" si="72"/>
        <v>0</v>
      </c>
      <c r="T137" s="17">
        <f t="shared" ca="1" si="72"/>
        <v>0</v>
      </c>
      <c r="U137" s="17">
        <f t="shared" ca="1" si="72"/>
        <v>0</v>
      </c>
      <c r="V137" s="17">
        <f t="shared" ca="1" si="72"/>
        <v>0</v>
      </c>
      <c r="W137" s="17">
        <f t="shared" ca="1" si="72"/>
        <v>0</v>
      </c>
      <c r="X137" s="17">
        <f t="shared" ca="1" si="72"/>
        <v>0</v>
      </c>
      <c r="Y137" s="17">
        <f t="shared" ca="1" si="72"/>
        <v>0</v>
      </c>
      <c r="Z137" s="17">
        <f t="shared" ca="1" si="72"/>
        <v>0</v>
      </c>
      <c r="AA137" s="17">
        <f t="shared" ca="1" si="72"/>
        <v>0</v>
      </c>
      <c r="AB137" s="17">
        <f t="shared" ca="1" si="72"/>
        <v>0</v>
      </c>
      <c r="AC137" s="17">
        <f t="shared" ca="1" si="72"/>
        <v>0</v>
      </c>
      <c r="AD137" s="17">
        <f t="shared" ca="1" si="72"/>
        <v>0</v>
      </c>
      <c r="AE137" s="17">
        <f t="shared" ca="1" si="72"/>
        <v>0</v>
      </c>
      <c r="AF137" s="17">
        <f t="shared" ca="1" si="72"/>
        <v>0</v>
      </c>
      <c r="AG137" s="17">
        <f t="shared" ca="1" si="72"/>
        <v>0</v>
      </c>
      <c r="AH137" s="17">
        <f t="shared" ca="1" si="72"/>
        <v>0</v>
      </c>
      <c r="AI137" s="17">
        <f t="shared" ca="1" si="72"/>
        <v>0</v>
      </c>
      <c r="AJ137" s="17">
        <f t="shared" ca="1" si="72"/>
        <v>0</v>
      </c>
      <c r="AK137" s="17">
        <f t="shared" ca="1" si="72"/>
        <v>0</v>
      </c>
      <c r="AL137" s="17">
        <f t="shared" ca="1" si="72"/>
        <v>0</v>
      </c>
      <c r="AM137" s="17">
        <f t="shared" ca="1" si="72"/>
        <v>0</v>
      </c>
      <c r="AN137" s="17">
        <f t="shared" ca="1" si="72"/>
        <v>0</v>
      </c>
      <c r="AO137" s="17">
        <f t="shared" ca="1" si="72"/>
        <v>0</v>
      </c>
      <c r="AP137" s="17">
        <f t="shared" ca="1" si="72"/>
        <v>0</v>
      </c>
      <c r="AQ137" s="17">
        <f t="shared" ca="1" si="72"/>
        <v>0</v>
      </c>
      <c r="AR137" s="17">
        <f t="shared" ca="1" si="72"/>
        <v>0</v>
      </c>
      <c r="AS137" s="17">
        <f t="shared" ca="1" si="72"/>
        <v>0</v>
      </c>
    </row>
    <row r="138" spans="2:45" hidden="1" outlineLevel="2" x14ac:dyDescent="0.15">
      <c r="C138" s="107" t="s">
        <v>406</v>
      </c>
      <c r="J138" s="42">
        <f t="shared" ref="J138:AS138" ca="1" si="73">IF(J135&lt;&gt;0,0,IF(ROUND(MIN(J121:J121),5)&lt;0,1,0))</f>
        <v>1</v>
      </c>
      <c r="K138" s="42">
        <f t="shared" ca="1" si="73"/>
        <v>0</v>
      </c>
      <c r="L138" s="42">
        <f t="shared" ca="1" si="73"/>
        <v>0</v>
      </c>
      <c r="M138" s="42">
        <f t="shared" ca="1" si="73"/>
        <v>0</v>
      </c>
      <c r="N138" s="42">
        <f t="shared" ca="1" si="73"/>
        <v>0</v>
      </c>
      <c r="O138" s="42">
        <f t="shared" ca="1" si="73"/>
        <v>0</v>
      </c>
      <c r="P138" s="42">
        <f t="shared" ca="1" si="73"/>
        <v>0</v>
      </c>
      <c r="Q138" s="42">
        <f t="shared" ca="1" si="73"/>
        <v>0</v>
      </c>
      <c r="R138" s="42">
        <f t="shared" ca="1" si="73"/>
        <v>0</v>
      </c>
      <c r="S138" s="42">
        <f t="shared" ca="1" si="73"/>
        <v>0</v>
      </c>
      <c r="T138" s="42">
        <f t="shared" ca="1" si="73"/>
        <v>0</v>
      </c>
      <c r="U138" s="42">
        <f t="shared" ca="1" si="73"/>
        <v>0</v>
      </c>
      <c r="V138" s="42">
        <f t="shared" ca="1" si="73"/>
        <v>0</v>
      </c>
      <c r="W138" s="42">
        <f t="shared" ca="1" si="73"/>
        <v>0</v>
      </c>
      <c r="X138" s="42">
        <f t="shared" ca="1" si="73"/>
        <v>0</v>
      </c>
      <c r="Y138" s="42">
        <f t="shared" ca="1" si="73"/>
        <v>0</v>
      </c>
      <c r="Z138" s="42">
        <f t="shared" ca="1" si="73"/>
        <v>0</v>
      </c>
      <c r="AA138" s="42">
        <f t="shared" ca="1" si="73"/>
        <v>0</v>
      </c>
      <c r="AB138" s="42">
        <f t="shared" ca="1" si="73"/>
        <v>0</v>
      </c>
      <c r="AC138" s="42">
        <f t="shared" ca="1" si="73"/>
        <v>0</v>
      </c>
      <c r="AD138" s="42">
        <f t="shared" ca="1" si="73"/>
        <v>0</v>
      </c>
      <c r="AE138" s="42">
        <f t="shared" ca="1" si="73"/>
        <v>0</v>
      </c>
      <c r="AF138" s="42">
        <f t="shared" ca="1" si="73"/>
        <v>0</v>
      </c>
      <c r="AG138" s="42">
        <f t="shared" ca="1" si="73"/>
        <v>0</v>
      </c>
      <c r="AH138" s="42">
        <f t="shared" ca="1" si="73"/>
        <v>0</v>
      </c>
      <c r="AI138" s="42">
        <f t="shared" ca="1" si="73"/>
        <v>0</v>
      </c>
      <c r="AJ138" s="42">
        <f t="shared" ca="1" si="73"/>
        <v>0</v>
      </c>
      <c r="AK138" s="42">
        <f t="shared" ca="1" si="73"/>
        <v>0</v>
      </c>
      <c r="AL138" s="42">
        <f t="shared" ca="1" si="73"/>
        <v>0</v>
      </c>
      <c r="AM138" s="42">
        <f t="shared" ca="1" si="73"/>
        <v>0</v>
      </c>
      <c r="AN138" s="42">
        <f t="shared" ca="1" si="73"/>
        <v>0</v>
      </c>
      <c r="AO138" s="42">
        <f t="shared" ca="1" si="73"/>
        <v>0</v>
      </c>
      <c r="AP138" s="42">
        <f t="shared" ca="1" si="73"/>
        <v>0</v>
      </c>
      <c r="AQ138" s="42">
        <f t="shared" ca="1" si="73"/>
        <v>0</v>
      </c>
      <c r="AR138" s="42">
        <f t="shared" ca="1" si="73"/>
        <v>0</v>
      </c>
      <c r="AS138" s="42">
        <f t="shared" ca="1" si="73"/>
        <v>0</v>
      </c>
    </row>
    <row r="139" spans="2:45" hidden="1" outlineLevel="1" collapsed="1" x14ac:dyDescent="0.15">
      <c r="B139" s="107" t="s">
        <v>392</v>
      </c>
      <c r="I139" s="22">
        <f ca="1">IF(ISERROR(SUM(J139:AS139)),1,MIN(SUM(J139:AS139),1))</f>
        <v>1</v>
      </c>
      <c r="J139" s="17">
        <f t="shared" ref="J139:AS139" ca="1" si="74">MIN(SUM(J137:J138),1)</f>
        <v>1</v>
      </c>
      <c r="K139" s="17">
        <f t="shared" ca="1" si="74"/>
        <v>0</v>
      </c>
      <c r="L139" s="17">
        <f t="shared" ca="1" si="74"/>
        <v>0</v>
      </c>
      <c r="M139" s="17">
        <f t="shared" ca="1" si="74"/>
        <v>0</v>
      </c>
      <c r="N139" s="17">
        <f t="shared" ca="1" si="74"/>
        <v>0</v>
      </c>
      <c r="O139" s="17">
        <f t="shared" ca="1" si="74"/>
        <v>0</v>
      </c>
      <c r="P139" s="17">
        <f t="shared" ca="1" si="74"/>
        <v>0</v>
      </c>
      <c r="Q139" s="17">
        <f t="shared" ca="1" si="74"/>
        <v>0</v>
      </c>
      <c r="R139" s="17">
        <f t="shared" ca="1" si="74"/>
        <v>0</v>
      </c>
      <c r="S139" s="17">
        <f t="shared" ca="1" si="74"/>
        <v>0</v>
      </c>
      <c r="T139" s="17">
        <f t="shared" ca="1" si="74"/>
        <v>0</v>
      </c>
      <c r="U139" s="17">
        <f t="shared" ca="1" si="74"/>
        <v>0</v>
      </c>
      <c r="V139" s="17">
        <f t="shared" ca="1" si="74"/>
        <v>0</v>
      </c>
      <c r="W139" s="17">
        <f t="shared" ca="1" si="74"/>
        <v>0</v>
      </c>
      <c r="X139" s="17">
        <f t="shared" ca="1" si="74"/>
        <v>0</v>
      </c>
      <c r="Y139" s="17">
        <f t="shared" ca="1" si="74"/>
        <v>0</v>
      </c>
      <c r="Z139" s="17">
        <f t="shared" ca="1" si="74"/>
        <v>0</v>
      </c>
      <c r="AA139" s="17">
        <f t="shared" ca="1" si="74"/>
        <v>0</v>
      </c>
      <c r="AB139" s="17">
        <f t="shared" ca="1" si="74"/>
        <v>0</v>
      </c>
      <c r="AC139" s="17">
        <f t="shared" ca="1" si="74"/>
        <v>0</v>
      </c>
      <c r="AD139" s="17">
        <f t="shared" ca="1" si="74"/>
        <v>0</v>
      </c>
      <c r="AE139" s="17">
        <f t="shared" ca="1" si="74"/>
        <v>0</v>
      </c>
      <c r="AF139" s="17">
        <f t="shared" ca="1" si="74"/>
        <v>0</v>
      </c>
      <c r="AG139" s="17">
        <f t="shared" ca="1" si="74"/>
        <v>0</v>
      </c>
      <c r="AH139" s="17">
        <f t="shared" ca="1" si="74"/>
        <v>0</v>
      </c>
      <c r="AI139" s="17">
        <f t="shared" ca="1" si="74"/>
        <v>0</v>
      </c>
      <c r="AJ139" s="17">
        <f t="shared" ca="1" si="74"/>
        <v>0</v>
      </c>
      <c r="AK139" s="17">
        <f t="shared" ca="1" si="74"/>
        <v>0</v>
      </c>
      <c r="AL139" s="17">
        <f t="shared" ca="1" si="74"/>
        <v>0</v>
      </c>
      <c r="AM139" s="17">
        <f t="shared" ca="1" si="74"/>
        <v>0</v>
      </c>
      <c r="AN139" s="17">
        <f t="shared" ca="1" si="74"/>
        <v>0</v>
      </c>
      <c r="AO139" s="17">
        <f t="shared" ca="1" si="74"/>
        <v>0</v>
      </c>
      <c r="AP139" s="17">
        <f t="shared" ca="1" si="74"/>
        <v>0</v>
      </c>
      <c r="AQ139" s="17">
        <f t="shared" ca="1" si="74"/>
        <v>0</v>
      </c>
      <c r="AR139" s="17">
        <f t="shared" ca="1" si="74"/>
        <v>0</v>
      </c>
      <c r="AS139" s="17">
        <f t="shared" ca="1" si="74"/>
        <v>0</v>
      </c>
    </row>
    <row r="140" spans="2:45" collapsed="1" x14ac:dyDescent="0.15"/>
    <row r="141" spans="2:45" x14ac:dyDescent="0.15">
      <c r="B141" s="1" t="s">
        <v>294</v>
      </c>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2:45" outlineLevel="1" x14ac:dyDescent="0.15"/>
    <row r="143" spans="2:45" outlineLevel="1" x14ac:dyDescent="0.15">
      <c r="B143" s="108" t="s">
        <v>407</v>
      </c>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row>
    <row r="144" spans="2:45" outlineLevel="1" x14ac:dyDescent="0.15"/>
    <row r="145" spans="2:45" outlineLevel="1" x14ac:dyDescent="0.15">
      <c r="B145" s="16" t="s">
        <v>408</v>
      </c>
      <c r="H145" s="16" t="s">
        <v>368</v>
      </c>
    </row>
    <row r="146" spans="2:45" outlineLevel="1" x14ac:dyDescent="0.15">
      <c r="B146" s="339" t="str">
        <f>Tax!B189</f>
        <v>Instructor Grants</v>
      </c>
      <c r="C146" s="339"/>
      <c r="D146" s="339"/>
      <c r="E146" s="339"/>
      <c r="F146" s="339"/>
      <c r="G146" s="339"/>
      <c r="H146" s="4">
        <v>3</v>
      </c>
      <c r="J146" s="14">
        <f>Tax!J189</f>
        <v>769.57999999999981</v>
      </c>
      <c r="K146" s="14">
        <f>Tax!K189</f>
        <v>702.66</v>
      </c>
      <c r="L146" s="14">
        <f>Tax!L189</f>
        <v>736.12</v>
      </c>
      <c r="M146" s="14">
        <f>Tax!M189</f>
        <v>736.12</v>
      </c>
      <c r="N146" s="14">
        <f>Tax!N189</f>
        <v>702.66</v>
      </c>
      <c r="O146" s="14">
        <f>Tax!O189</f>
        <v>769.57999999999981</v>
      </c>
      <c r="P146" s="14">
        <f>Tax!P189</f>
        <v>702.66</v>
      </c>
      <c r="Q146" s="14">
        <f>Tax!Q189</f>
        <v>702.66</v>
      </c>
      <c r="R146" s="14">
        <f>Tax!R189</f>
        <v>736.12</v>
      </c>
      <c r="S146" s="14">
        <f>Tax!S189</f>
        <v>769.57999999999981</v>
      </c>
      <c r="T146" s="14">
        <f>Tax!T189</f>
        <v>669.19999999999993</v>
      </c>
      <c r="U146" s="14">
        <f>Tax!U189</f>
        <v>769.57999999999981</v>
      </c>
      <c r="V146" s="14">
        <f>Tax!V189</f>
        <v>841.28</v>
      </c>
      <c r="W146" s="14">
        <f>Tax!W189</f>
        <v>803.04</v>
      </c>
      <c r="X146" s="14">
        <f>Tax!X189</f>
        <v>879.51999999999987</v>
      </c>
      <c r="Y146" s="14">
        <f>Tax!Y189</f>
        <v>803.04</v>
      </c>
      <c r="Z146" s="14">
        <f>Tax!Z189</f>
        <v>841.28</v>
      </c>
      <c r="AA146" s="14">
        <f>Tax!AA189</f>
        <v>879.51999999999987</v>
      </c>
      <c r="AB146" s="14">
        <f>Tax!AB189</f>
        <v>764.8</v>
      </c>
      <c r="AC146" s="14">
        <f>Tax!AC189</f>
        <v>903.42000000000007</v>
      </c>
      <c r="AD146" s="14">
        <f>Tax!AD189</f>
        <v>946.43999999999994</v>
      </c>
      <c r="AE146" s="14">
        <f>Tax!AE189</f>
        <v>946.43999999999994</v>
      </c>
      <c r="AF146" s="14">
        <f>Tax!AF189</f>
        <v>903.42000000000007</v>
      </c>
      <c r="AG146" s="14">
        <f>Tax!AG189</f>
        <v>989.45999999999992</v>
      </c>
      <c r="AH146" s="14">
        <f>Tax!AH189</f>
        <v>903.42000000000007</v>
      </c>
      <c r="AI146" s="14">
        <f>Tax!AI189</f>
        <v>946.43999999999994</v>
      </c>
      <c r="AJ146" s="14">
        <f>Tax!AJ189</f>
        <v>989.45999999999992</v>
      </c>
      <c r="AK146" s="14">
        <f>Tax!AK189</f>
        <v>860.4</v>
      </c>
      <c r="AL146" s="14">
        <f>Tax!AL189</f>
        <v>989.45999999999992</v>
      </c>
      <c r="AM146" s="14">
        <f>Tax!AM189</f>
        <v>1051.5999999999999</v>
      </c>
      <c r="AN146" s="14">
        <f>Tax!AN189</f>
        <v>956</v>
      </c>
      <c r="AO146" s="14">
        <f>Tax!AO189</f>
        <v>1051.5999999999999</v>
      </c>
      <c r="AP146" s="14">
        <f>Tax!AP189</f>
        <v>1051.5999999999999</v>
      </c>
      <c r="AQ146" s="14">
        <f>Tax!AQ189</f>
        <v>1003.8</v>
      </c>
      <c r="AR146" s="14">
        <f>Tax!AR189</f>
        <v>1051.5999999999999</v>
      </c>
      <c r="AS146" s="14">
        <f>Tax!AS189</f>
        <v>1099.3999999999999</v>
      </c>
    </row>
    <row r="147" spans="2:45" outlineLevel="1" x14ac:dyDescent="0.15">
      <c r="B147" s="339" t="str">
        <f>Tax!B190</f>
        <v>Merch CoGS</v>
      </c>
      <c r="C147" s="339"/>
      <c r="D147" s="339"/>
      <c r="E147" s="339"/>
      <c r="F147" s="339"/>
      <c r="G147" s="339"/>
      <c r="H147" s="4">
        <v>1</v>
      </c>
      <c r="J147" s="14">
        <f>Tax!J190</f>
        <v>50</v>
      </c>
      <c r="K147" s="14">
        <f>Tax!K190</f>
        <v>51.666666666666671</v>
      </c>
      <c r="L147" s="14">
        <f>Tax!L190</f>
        <v>53.333333333333336</v>
      </c>
      <c r="M147" s="14">
        <f>Tax!M190</f>
        <v>55</v>
      </c>
      <c r="N147" s="14">
        <f>Tax!N190</f>
        <v>56.666666666666671</v>
      </c>
      <c r="O147" s="14">
        <f>Tax!O190</f>
        <v>58.333333333333336</v>
      </c>
      <c r="P147" s="14">
        <f>Tax!P190</f>
        <v>60</v>
      </c>
      <c r="Q147" s="14">
        <f>Tax!Q190</f>
        <v>61.666666666666671</v>
      </c>
      <c r="R147" s="14">
        <f>Tax!R190</f>
        <v>63.333333333333336</v>
      </c>
      <c r="S147" s="14">
        <f>Tax!S190</f>
        <v>65</v>
      </c>
      <c r="T147" s="14">
        <f>Tax!T190</f>
        <v>66.666666666666671</v>
      </c>
      <c r="U147" s="14">
        <f>Tax!U190</f>
        <v>68.333333333333343</v>
      </c>
      <c r="V147" s="14">
        <f>Tax!V190</f>
        <v>70</v>
      </c>
      <c r="W147" s="14">
        <f>Tax!W190</f>
        <v>71.666666666666671</v>
      </c>
      <c r="X147" s="14">
        <f>Tax!X190</f>
        <v>73.333333333333343</v>
      </c>
      <c r="Y147" s="14">
        <f>Tax!Y190</f>
        <v>75</v>
      </c>
      <c r="Z147" s="14">
        <f>Tax!Z190</f>
        <v>76.666666666666671</v>
      </c>
      <c r="AA147" s="14">
        <f>Tax!AA190</f>
        <v>78.333333333333343</v>
      </c>
      <c r="AB147" s="14">
        <f>Tax!AB190</f>
        <v>80</v>
      </c>
      <c r="AC147" s="14">
        <f>Tax!AC190</f>
        <v>81.666666666666671</v>
      </c>
      <c r="AD147" s="14">
        <f>Tax!AD190</f>
        <v>83.333333333333343</v>
      </c>
      <c r="AE147" s="14">
        <f>Tax!AE190</f>
        <v>85</v>
      </c>
      <c r="AF147" s="14">
        <f>Tax!AF190</f>
        <v>86.666666666666671</v>
      </c>
      <c r="AG147" s="14">
        <f>Tax!AG190</f>
        <v>88.333333333333343</v>
      </c>
      <c r="AH147" s="14">
        <f>Tax!AH190</f>
        <v>90</v>
      </c>
      <c r="AI147" s="14">
        <f>Tax!AI190</f>
        <v>91.666666666666671</v>
      </c>
      <c r="AJ147" s="14">
        <f>Tax!AJ190</f>
        <v>93.333333333333343</v>
      </c>
      <c r="AK147" s="14">
        <f>Tax!AK190</f>
        <v>95</v>
      </c>
      <c r="AL147" s="14">
        <f>Tax!AL190</f>
        <v>96.666666666666671</v>
      </c>
      <c r="AM147" s="14">
        <f>Tax!AM190</f>
        <v>98.333333333333343</v>
      </c>
      <c r="AN147" s="14">
        <f>Tax!AN190</f>
        <v>100</v>
      </c>
      <c r="AO147" s="14">
        <f>Tax!AO190</f>
        <v>101.66666666666667</v>
      </c>
      <c r="AP147" s="14">
        <f>Tax!AP190</f>
        <v>103.33333333333334</v>
      </c>
      <c r="AQ147" s="14">
        <f>Tax!AQ190</f>
        <v>105</v>
      </c>
      <c r="AR147" s="14">
        <f>Tax!AR190</f>
        <v>106.66666666666667</v>
      </c>
      <c r="AS147" s="14">
        <f>Tax!AS190</f>
        <v>108.33333333333334</v>
      </c>
    </row>
    <row r="148" spans="2:45" outlineLevel="1" x14ac:dyDescent="0.15">
      <c r="B148" s="339" t="str">
        <f>Tax!B191</f>
        <v>Discounts (Gift Cards)</v>
      </c>
      <c r="C148" s="339"/>
      <c r="D148" s="339"/>
      <c r="E148" s="339"/>
      <c r="F148" s="339"/>
      <c r="G148" s="339"/>
      <c r="H148" s="4">
        <v>1</v>
      </c>
      <c r="J148" s="14">
        <f>Tax!J191</f>
        <v>34.734867096774195</v>
      </c>
      <c r="K148" s="14">
        <f>Tax!K191</f>
        <v>63.939631559999988</v>
      </c>
      <c r="L148" s="14">
        <f>Tax!L191</f>
        <v>66.546122322580658</v>
      </c>
      <c r="M148" s="14">
        <f>Tax!M191</f>
        <v>81.500033999999999</v>
      </c>
      <c r="N148" s="14">
        <f>Tax!N191</f>
        <v>27.577545212903217</v>
      </c>
      <c r="O148" s="14">
        <f>Tax!O191</f>
        <v>60.543239806451609</v>
      </c>
      <c r="P148" s="14">
        <f>Tax!P191</f>
        <v>66.120364800000004</v>
      </c>
      <c r="Q148" s="14">
        <f>Tax!Q191</f>
        <v>65.541072890322582</v>
      </c>
      <c r="R148" s="14">
        <f>Tax!R191</f>
        <v>49.384559840000001</v>
      </c>
      <c r="S148" s="14">
        <f>Tax!S191</f>
        <v>60.309754490322568</v>
      </c>
      <c r="T148" s="14">
        <f>Tax!T191</f>
        <v>59.090080000000007</v>
      </c>
      <c r="U148" s="14">
        <f>Tax!U191</f>
        <v>53.187536206451611</v>
      </c>
      <c r="V148" s="14">
        <f>Tax!V191</f>
        <v>46.514517677419356</v>
      </c>
      <c r="W148" s="14">
        <f>Tax!W191</f>
        <v>88.690456679999997</v>
      </c>
      <c r="X148" s="14">
        <f>Tax!X191</f>
        <v>95.660050838709665</v>
      </c>
      <c r="Y148" s="14">
        <f>Tax!Y191</f>
        <v>106.08475499999999</v>
      </c>
      <c r="Z148" s="14">
        <f>Tax!Z191</f>
        <v>39.087501058064511</v>
      </c>
      <c r="AA148" s="14">
        <f>Tax!AA191</f>
        <v>81.300922025806443</v>
      </c>
      <c r="AB148" s="14">
        <f>Tax!AB191</f>
        <v>83.962367999999998</v>
      </c>
      <c r="AC148" s="14">
        <f>Tax!AC191</f>
        <v>86.797637070967752</v>
      </c>
      <c r="AD148" s="14">
        <f>Tax!AD191</f>
        <v>64.979684000000006</v>
      </c>
      <c r="AE148" s="14">
        <f>Tax!AE191</f>
        <v>75.437619329032259</v>
      </c>
      <c r="AF148" s="14">
        <f>Tax!AF191</f>
        <v>80.657959200000008</v>
      </c>
      <c r="AG148" s="14">
        <f>Tax!AG191</f>
        <v>68.754619974193531</v>
      </c>
      <c r="AH148" s="14">
        <f>Tax!AH191</f>
        <v>57.085998967741943</v>
      </c>
      <c r="AI148" s="14">
        <f>Tax!AI191</f>
        <v>118.84324760000001</v>
      </c>
      <c r="AJ148" s="14">
        <f>Tax!AJ191</f>
        <v>121.74915561290324</v>
      </c>
      <c r="AK148" s="14">
        <f>Tax!AK191</f>
        <v>120.96000000000001</v>
      </c>
      <c r="AL148" s="14">
        <f>Tax!AL191</f>
        <v>51.524433212903205</v>
      </c>
      <c r="AM148" s="14">
        <f>Tax!AM191</f>
        <v>97.621273625806467</v>
      </c>
      <c r="AN148" s="14">
        <f>Tax!AN191</f>
        <v>104.95295999999999</v>
      </c>
      <c r="AO148" s="14">
        <f>Tax!AO191</f>
        <v>113.19963940645162</v>
      </c>
      <c r="AP148" s="14">
        <f>Tax!AP191</f>
        <v>80.574808160000003</v>
      </c>
      <c r="AQ148" s="14">
        <f>Tax!AQ191</f>
        <v>88.951845251612909</v>
      </c>
      <c r="AR148" s="14">
        <f>Tax!AR191</f>
        <v>103.99854080000001</v>
      </c>
      <c r="AS148" s="14">
        <f>Tax!AS191</f>
        <v>84.32170374193548</v>
      </c>
    </row>
    <row r="149" spans="2:45" outlineLevel="1" x14ac:dyDescent="0.15">
      <c r="B149" s="339" t="str">
        <f>Tax!B199</f>
        <v>Rent</v>
      </c>
      <c r="C149" s="339"/>
      <c r="D149" s="339"/>
      <c r="E149" s="339"/>
      <c r="F149" s="339"/>
      <c r="G149" s="339"/>
      <c r="H149" s="4">
        <v>3</v>
      </c>
      <c r="J149" s="14">
        <f>Tax!J199</f>
        <v>7000.0000000000009</v>
      </c>
      <c r="K149" s="14">
        <f>Tax!K199</f>
        <v>7000.0000000000009</v>
      </c>
      <c r="L149" s="14">
        <f>Tax!L199</f>
        <v>7000.0000000000009</v>
      </c>
      <c r="M149" s="14">
        <f>Tax!M199</f>
        <v>7000.0000000000009</v>
      </c>
      <c r="N149" s="14">
        <f>Tax!N199</f>
        <v>7000.0000000000009</v>
      </c>
      <c r="O149" s="14">
        <f>Tax!O199</f>
        <v>7000.0000000000009</v>
      </c>
      <c r="P149" s="14">
        <f>Tax!P199</f>
        <v>7000.0000000000009</v>
      </c>
      <c r="Q149" s="14">
        <f>Tax!Q199</f>
        <v>7000.0000000000009</v>
      </c>
      <c r="R149" s="14">
        <f>Tax!R199</f>
        <v>7000.0000000000009</v>
      </c>
      <c r="S149" s="14">
        <f>Tax!S199</f>
        <v>7000.0000000000009</v>
      </c>
      <c r="T149" s="14">
        <f>Tax!T199</f>
        <v>7000.0000000000009</v>
      </c>
      <c r="U149" s="14">
        <f>Tax!U199</f>
        <v>7000.0000000000009</v>
      </c>
      <c r="V149" s="14">
        <f>Tax!V199</f>
        <v>7000.0000000000009</v>
      </c>
      <c r="W149" s="14">
        <f>Tax!W199</f>
        <v>7000.0000000000009</v>
      </c>
      <c r="X149" s="14">
        <f>Tax!X199</f>
        <v>7000.0000000000009</v>
      </c>
      <c r="Y149" s="14">
        <f>Tax!Y199</f>
        <v>7000.0000000000009</v>
      </c>
      <c r="Z149" s="14">
        <f>Tax!Z199</f>
        <v>7000.0000000000009</v>
      </c>
      <c r="AA149" s="14">
        <f>Tax!AA199</f>
        <v>7000.0000000000009</v>
      </c>
      <c r="AB149" s="14">
        <f>Tax!AB199</f>
        <v>7000.0000000000009</v>
      </c>
      <c r="AC149" s="14">
        <f>Tax!AC199</f>
        <v>7000.0000000000009</v>
      </c>
      <c r="AD149" s="14">
        <f>Tax!AD199</f>
        <v>7000.0000000000009</v>
      </c>
      <c r="AE149" s="14">
        <f>Tax!AE199</f>
        <v>7000.0000000000009</v>
      </c>
      <c r="AF149" s="14">
        <f>Tax!AF199</f>
        <v>7000.0000000000009</v>
      </c>
      <c r="AG149" s="14">
        <f>Tax!AG199</f>
        <v>7000.0000000000009</v>
      </c>
      <c r="AH149" s="14">
        <f>Tax!AH199</f>
        <v>7000.0000000000009</v>
      </c>
      <c r="AI149" s="14">
        <f>Tax!AI199</f>
        <v>7000.0000000000009</v>
      </c>
      <c r="AJ149" s="14">
        <f>Tax!AJ199</f>
        <v>7000.0000000000009</v>
      </c>
      <c r="AK149" s="14">
        <f>Tax!AK199</f>
        <v>7000.0000000000009</v>
      </c>
      <c r="AL149" s="14">
        <f>Tax!AL199</f>
        <v>7000.0000000000009</v>
      </c>
      <c r="AM149" s="14">
        <f>Tax!AM199</f>
        <v>7000.0000000000009</v>
      </c>
      <c r="AN149" s="14">
        <f>Tax!AN199</f>
        <v>7000.0000000000009</v>
      </c>
      <c r="AO149" s="14">
        <f>Tax!AO199</f>
        <v>7000.0000000000009</v>
      </c>
      <c r="AP149" s="14">
        <f>Tax!AP199</f>
        <v>7000.0000000000009</v>
      </c>
      <c r="AQ149" s="14">
        <f>Tax!AQ199</f>
        <v>7000.0000000000009</v>
      </c>
      <c r="AR149" s="14">
        <f>Tax!AR199</f>
        <v>7000.0000000000009</v>
      </c>
      <c r="AS149" s="14">
        <f>Tax!AS199</f>
        <v>7000.0000000000009</v>
      </c>
    </row>
    <row r="150" spans="2:45" outlineLevel="1" x14ac:dyDescent="0.15">
      <c r="B150" s="339" t="str">
        <f>Tax!B200</f>
        <v>Rates</v>
      </c>
      <c r="C150" s="339"/>
      <c r="D150" s="339"/>
      <c r="E150" s="339"/>
      <c r="F150" s="339"/>
      <c r="G150" s="339"/>
      <c r="H150" s="4">
        <v>3</v>
      </c>
      <c r="J150" s="14">
        <f>Tax!J200</f>
        <v>272.50000000000006</v>
      </c>
      <c r="K150" s="14">
        <f>Tax!K200</f>
        <v>272.50000000000006</v>
      </c>
      <c r="L150" s="14">
        <f>Tax!L200</f>
        <v>272.50000000000006</v>
      </c>
      <c r="M150" s="14">
        <f>Tax!M200</f>
        <v>272.50000000000006</v>
      </c>
      <c r="N150" s="14">
        <f>Tax!N200</f>
        <v>272.50000000000006</v>
      </c>
      <c r="O150" s="14">
        <f>Tax!O200</f>
        <v>272.50000000000006</v>
      </c>
      <c r="P150" s="14">
        <f>Tax!P200</f>
        <v>272.50000000000006</v>
      </c>
      <c r="Q150" s="14">
        <f>Tax!Q200</f>
        <v>272.50000000000006</v>
      </c>
      <c r="R150" s="14">
        <f>Tax!R200</f>
        <v>272.50000000000006</v>
      </c>
      <c r="S150" s="14">
        <f>Tax!S200</f>
        <v>272.50000000000006</v>
      </c>
      <c r="T150" s="14">
        <f>Tax!T200</f>
        <v>272.50000000000006</v>
      </c>
      <c r="U150" s="14">
        <f>Tax!U200</f>
        <v>272.50000000000006</v>
      </c>
      <c r="V150" s="14">
        <f>Tax!V200</f>
        <v>272.50000000000006</v>
      </c>
      <c r="W150" s="14">
        <f>Tax!W200</f>
        <v>272.50000000000006</v>
      </c>
      <c r="X150" s="14">
        <f>Tax!X200</f>
        <v>272.50000000000006</v>
      </c>
      <c r="Y150" s="14">
        <f>Tax!Y200</f>
        <v>272.50000000000006</v>
      </c>
      <c r="Z150" s="14">
        <f>Tax!Z200</f>
        <v>272.50000000000006</v>
      </c>
      <c r="AA150" s="14">
        <f>Tax!AA200</f>
        <v>272.50000000000006</v>
      </c>
      <c r="AB150" s="14">
        <f>Tax!AB200</f>
        <v>272.50000000000006</v>
      </c>
      <c r="AC150" s="14">
        <f>Tax!AC200</f>
        <v>272.50000000000006</v>
      </c>
      <c r="AD150" s="14">
        <f>Tax!AD200</f>
        <v>272.50000000000006</v>
      </c>
      <c r="AE150" s="14">
        <f>Tax!AE200</f>
        <v>272.50000000000006</v>
      </c>
      <c r="AF150" s="14">
        <f>Tax!AF200</f>
        <v>272.50000000000006</v>
      </c>
      <c r="AG150" s="14">
        <f>Tax!AG200</f>
        <v>272.50000000000006</v>
      </c>
      <c r="AH150" s="14">
        <f>Tax!AH200</f>
        <v>272.50000000000006</v>
      </c>
      <c r="AI150" s="14">
        <f>Tax!AI200</f>
        <v>272.50000000000006</v>
      </c>
      <c r="AJ150" s="14">
        <f>Tax!AJ200</f>
        <v>272.50000000000006</v>
      </c>
      <c r="AK150" s="14">
        <f>Tax!AK200</f>
        <v>272.50000000000006</v>
      </c>
      <c r="AL150" s="14">
        <f>Tax!AL200</f>
        <v>272.50000000000006</v>
      </c>
      <c r="AM150" s="14">
        <f>Tax!AM200</f>
        <v>272.50000000000006</v>
      </c>
      <c r="AN150" s="14">
        <f>Tax!AN200</f>
        <v>272.50000000000006</v>
      </c>
      <c r="AO150" s="14">
        <f>Tax!AO200</f>
        <v>272.50000000000006</v>
      </c>
      <c r="AP150" s="14">
        <f>Tax!AP200</f>
        <v>272.50000000000006</v>
      </c>
      <c r="AQ150" s="14">
        <f>Tax!AQ200</f>
        <v>272.50000000000006</v>
      </c>
      <c r="AR150" s="14">
        <f>Tax!AR200</f>
        <v>272.50000000000006</v>
      </c>
      <c r="AS150" s="14">
        <f>Tax!AS200</f>
        <v>272.50000000000006</v>
      </c>
    </row>
    <row r="151" spans="2:45" outlineLevel="1" x14ac:dyDescent="0.15">
      <c r="B151" s="339" t="str">
        <f>Tax!B201</f>
        <v>Staff Cost</v>
      </c>
      <c r="C151" s="339"/>
      <c r="D151" s="339"/>
      <c r="E151" s="339"/>
      <c r="F151" s="339"/>
      <c r="G151" s="339"/>
      <c r="H151" s="4">
        <v>1</v>
      </c>
      <c r="J151" s="14">
        <f>Tax!J201</f>
        <v>0</v>
      </c>
      <c r="K151" s="14">
        <f>Tax!K201</f>
        <v>0</v>
      </c>
      <c r="L151" s="14">
        <f>Tax!L201</f>
        <v>0</v>
      </c>
      <c r="M151" s="14">
        <f>Tax!M201</f>
        <v>0</v>
      </c>
      <c r="N151" s="14">
        <f>Tax!N201</f>
        <v>0</v>
      </c>
      <c r="O151" s="14">
        <f>Tax!O201</f>
        <v>0</v>
      </c>
      <c r="P151" s="14">
        <f>Tax!P201</f>
        <v>1338.1200000000001</v>
      </c>
      <c r="Q151" s="14">
        <f>Tax!Q201</f>
        <v>1338.1200000000001</v>
      </c>
      <c r="R151" s="14">
        <f>Tax!R201</f>
        <v>1401.84</v>
      </c>
      <c r="S151" s="14">
        <f>Tax!S201</f>
        <v>1465.56</v>
      </c>
      <c r="T151" s="14">
        <f>Tax!T201</f>
        <v>1274.3999999999999</v>
      </c>
      <c r="U151" s="14">
        <f>Tax!U201</f>
        <v>1465.56</v>
      </c>
      <c r="V151" s="14">
        <f>Tax!V201</f>
        <v>1401.84</v>
      </c>
      <c r="W151" s="14">
        <f>Tax!W201</f>
        <v>1338.1200000000001</v>
      </c>
      <c r="X151" s="14">
        <f>Tax!X201</f>
        <v>1465.56</v>
      </c>
      <c r="Y151" s="14">
        <f>Tax!Y201</f>
        <v>1338.1200000000001</v>
      </c>
      <c r="Z151" s="14">
        <f>Tax!Z201</f>
        <v>1401.84</v>
      </c>
      <c r="AA151" s="14">
        <f>Tax!AA201</f>
        <v>1465.56</v>
      </c>
      <c r="AB151" s="14">
        <f>Tax!AB201</f>
        <v>1274.3999999999999</v>
      </c>
      <c r="AC151" s="14">
        <f>Tax!AC201</f>
        <v>1338.1200000000001</v>
      </c>
      <c r="AD151" s="14">
        <f>Tax!AD201</f>
        <v>1401.84</v>
      </c>
      <c r="AE151" s="14">
        <f>Tax!AE201</f>
        <v>1401.84</v>
      </c>
      <c r="AF151" s="14">
        <f>Tax!AF201</f>
        <v>1338.1200000000001</v>
      </c>
      <c r="AG151" s="14">
        <f>Tax!AG201</f>
        <v>1465.56</v>
      </c>
      <c r="AH151" s="14">
        <f>Tax!AH201</f>
        <v>1338.1200000000001</v>
      </c>
      <c r="AI151" s="14">
        <f>Tax!AI201</f>
        <v>1401.84</v>
      </c>
      <c r="AJ151" s="14">
        <f>Tax!AJ201</f>
        <v>1465.56</v>
      </c>
      <c r="AK151" s="14">
        <f>Tax!AK201</f>
        <v>1274.3999999999999</v>
      </c>
      <c r="AL151" s="14">
        <f>Tax!AL201</f>
        <v>1465.56</v>
      </c>
      <c r="AM151" s="14">
        <f>Tax!AM201</f>
        <v>1401.84</v>
      </c>
      <c r="AN151" s="14">
        <f>Tax!AN201</f>
        <v>1274.3999999999999</v>
      </c>
      <c r="AO151" s="14">
        <f>Tax!AO201</f>
        <v>1401.84</v>
      </c>
      <c r="AP151" s="14">
        <f>Tax!AP201</f>
        <v>1401.84</v>
      </c>
      <c r="AQ151" s="14">
        <f>Tax!AQ201</f>
        <v>1338.1200000000001</v>
      </c>
      <c r="AR151" s="14">
        <f>Tax!AR201</f>
        <v>1401.84</v>
      </c>
      <c r="AS151" s="14">
        <f>Tax!AS201</f>
        <v>1465.56</v>
      </c>
    </row>
    <row r="152" spans="2:45" outlineLevel="1" x14ac:dyDescent="0.15">
      <c r="B152" s="339" t="str">
        <f>Tax!B202</f>
        <v>Utilities</v>
      </c>
      <c r="C152" s="339"/>
      <c r="D152" s="339"/>
      <c r="E152" s="339"/>
      <c r="F152" s="339"/>
      <c r="G152" s="339"/>
      <c r="H152" s="4">
        <v>2</v>
      </c>
      <c r="J152" s="14">
        <f>Tax!J202</f>
        <v>120</v>
      </c>
      <c r="K152" s="14">
        <f>Tax!K202</f>
        <v>120</v>
      </c>
      <c r="L152" s="14">
        <f>Tax!L202</f>
        <v>120</v>
      </c>
      <c r="M152" s="14">
        <f>Tax!M202</f>
        <v>120</v>
      </c>
      <c r="N152" s="14">
        <f>Tax!N202</f>
        <v>120</v>
      </c>
      <c r="O152" s="14">
        <f>Tax!O202</f>
        <v>120</v>
      </c>
      <c r="P152" s="14">
        <f>Tax!P202</f>
        <v>120</v>
      </c>
      <c r="Q152" s="14">
        <f>Tax!Q202</f>
        <v>120</v>
      </c>
      <c r="R152" s="14">
        <f>Tax!R202</f>
        <v>120</v>
      </c>
      <c r="S152" s="14">
        <f>Tax!S202</f>
        <v>120</v>
      </c>
      <c r="T152" s="14">
        <f>Tax!T202</f>
        <v>120</v>
      </c>
      <c r="U152" s="14">
        <f>Tax!U202</f>
        <v>120</v>
      </c>
      <c r="V152" s="14">
        <f>Tax!V202</f>
        <v>120</v>
      </c>
      <c r="W152" s="14">
        <f>Tax!W202</f>
        <v>120</v>
      </c>
      <c r="X152" s="14">
        <f>Tax!X202</f>
        <v>120</v>
      </c>
      <c r="Y152" s="14">
        <f>Tax!Y202</f>
        <v>120</v>
      </c>
      <c r="Z152" s="14">
        <f>Tax!Z202</f>
        <v>120</v>
      </c>
      <c r="AA152" s="14">
        <f>Tax!AA202</f>
        <v>120</v>
      </c>
      <c r="AB152" s="14">
        <f>Tax!AB202</f>
        <v>120</v>
      </c>
      <c r="AC152" s="14">
        <f>Tax!AC202</f>
        <v>120</v>
      </c>
      <c r="AD152" s="14">
        <f>Tax!AD202</f>
        <v>120</v>
      </c>
      <c r="AE152" s="14">
        <f>Tax!AE202</f>
        <v>120</v>
      </c>
      <c r="AF152" s="14">
        <f>Tax!AF202</f>
        <v>120</v>
      </c>
      <c r="AG152" s="14">
        <f>Tax!AG202</f>
        <v>120</v>
      </c>
      <c r="AH152" s="14">
        <f>Tax!AH202</f>
        <v>120</v>
      </c>
      <c r="AI152" s="14">
        <f>Tax!AI202</f>
        <v>120</v>
      </c>
      <c r="AJ152" s="14">
        <f>Tax!AJ202</f>
        <v>120</v>
      </c>
      <c r="AK152" s="14">
        <f>Tax!AK202</f>
        <v>120</v>
      </c>
      <c r="AL152" s="14">
        <f>Tax!AL202</f>
        <v>120</v>
      </c>
      <c r="AM152" s="14">
        <f>Tax!AM202</f>
        <v>120</v>
      </c>
      <c r="AN152" s="14">
        <f>Tax!AN202</f>
        <v>120</v>
      </c>
      <c r="AO152" s="14">
        <f>Tax!AO202</f>
        <v>120</v>
      </c>
      <c r="AP152" s="14">
        <f>Tax!AP202</f>
        <v>120</v>
      </c>
      <c r="AQ152" s="14">
        <f>Tax!AQ202</f>
        <v>120</v>
      </c>
      <c r="AR152" s="14">
        <f>Tax!AR202</f>
        <v>120</v>
      </c>
      <c r="AS152" s="14">
        <f>Tax!AS202</f>
        <v>120</v>
      </c>
    </row>
    <row r="153" spans="2:45" outlineLevel="1" x14ac:dyDescent="0.15">
      <c r="B153" s="339" t="str">
        <f>Tax!B203</f>
        <v>Insurance</v>
      </c>
      <c r="C153" s="339"/>
      <c r="D153" s="339"/>
      <c r="E153" s="339"/>
      <c r="F153" s="339"/>
      <c r="G153" s="339"/>
      <c r="H153" s="4">
        <v>2</v>
      </c>
      <c r="J153" s="14">
        <f>Tax!J203</f>
        <v>199.99999999999997</v>
      </c>
      <c r="K153" s="14">
        <f>Tax!K203</f>
        <v>199.99999999999997</v>
      </c>
      <c r="L153" s="14">
        <f>Tax!L203</f>
        <v>199.99999999999997</v>
      </c>
      <c r="M153" s="14">
        <f>Tax!M203</f>
        <v>199.99999999999997</v>
      </c>
      <c r="N153" s="14">
        <f>Tax!N203</f>
        <v>199.99999999999997</v>
      </c>
      <c r="O153" s="14">
        <f>Tax!O203</f>
        <v>199.99999999999997</v>
      </c>
      <c r="P153" s="14">
        <f>Tax!P203</f>
        <v>199.99999999999997</v>
      </c>
      <c r="Q153" s="14">
        <f>Tax!Q203</f>
        <v>199.99999999999997</v>
      </c>
      <c r="R153" s="14">
        <f>Tax!R203</f>
        <v>199.99999999999997</v>
      </c>
      <c r="S153" s="14">
        <f>Tax!S203</f>
        <v>199.99999999999997</v>
      </c>
      <c r="T153" s="14">
        <f>Tax!T203</f>
        <v>199.99999999999997</v>
      </c>
      <c r="U153" s="14">
        <f>Tax!U203</f>
        <v>199.99999999999997</v>
      </c>
      <c r="V153" s="14">
        <f>Tax!V203</f>
        <v>199.99999999999997</v>
      </c>
      <c r="W153" s="14">
        <f>Tax!W203</f>
        <v>199.99999999999997</v>
      </c>
      <c r="X153" s="14">
        <f>Tax!X203</f>
        <v>199.99999999999997</v>
      </c>
      <c r="Y153" s="14">
        <f>Tax!Y203</f>
        <v>199.99999999999997</v>
      </c>
      <c r="Z153" s="14">
        <f>Tax!Z203</f>
        <v>199.99999999999997</v>
      </c>
      <c r="AA153" s="14">
        <f>Tax!AA203</f>
        <v>199.99999999999997</v>
      </c>
      <c r="AB153" s="14">
        <f>Tax!AB203</f>
        <v>199.99999999999997</v>
      </c>
      <c r="AC153" s="14">
        <f>Tax!AC203</f>
        <v>199.99999999999997</v>
      </c>
      <c r="AD153" s="14">
        <f>Tax!AD203</f>
        <v>199.99999999999997</v>
      </c>
      <c r="AE153" s="14">
        <f>Tax!AE203</f>
        <v>199.99999999999997</v>
      </c>
      <c r="AF153" s="14">
        <f>Tax!AF203</f>
        <v>199.99999999999997</v>
      </c>
      <c r="AG153" s="14">
        <f>Tax!AG203</f>
        <v>199.99999999999997</v>
      </c>
      <c r="AH153" s="14">
        <f>Tax!AH203</f>
        <v>199.99999999999997</v>
      </c>
      <c r="AI153" s="14">
        <f>Tax!AI203</f>
        <v>199.99999999999997</v>
      </c>
      <c r="AJ153" s="14">
        <f>Tax!AJ203</f>
        <v>199.99999999999997</v>
      </c>
      <c r="AK153" s="14">
        <f>Tax!AK203</f>
        <v>199.99999999999997</v>
      </c>
      <c r="AL153" s="14">
        <f>Tax!AL203</f>
        <v>199.99999999999997</v>
      </c>
      <c r="AM153" s="14">
        <f>Tax!AM203</f>
        <v>199.99999999999997</v>
      </c>
      <c r="AN153" s="14">
        <f>Tax!AN203</f>
        <v>199.99999999999997</v>
      </c>
      <c r="AO153" s="14">
        <f>Tax!AO203</f>
        <v>199.99999999999997</v>
      </c>
      <c r="AP153" s="14">
        <f>Tax!AP203</f>
        <v>199.99999999999997</v>
      </c>
      <c r="AQ153" s="14">
        <f>Tax!AQ203</f>
        <v>199.99999999999997</v>
      </c>
      <c r="AR153" s="14">
        <f>Tax!AR203</f>
        <v>199.99999999999997</v>
      </c>
      <c r="AS153" s="14">
        <f>Tax!AS203</f>
        <v>199.99999999999997</v>
      </c>
    </row>
    <row r="154" spans="2:45" outlineLevel="1" x14ac:dyDescent="0.15">
      <c r="B154" s="339" t="str">
        <f>Tax!B204</f>
        <v>HEMA Insurance</v>
      </c>
      <c r="C154" s="339"/>
      <c r="D154" s="339"/>
      <c r="E154" s="339"/>
      <c r="F154" s="339"/>
      <c r="G154" s="339"/>
      <c r="H154" s="4">
        <v>1</v>
      </c>
      <c r="J154" s="14">
        <f>Tax!J204</f>
        <v>75</v>
      </c>
      <c r="K154" s="14">
        <f>Tax!K204</f>
        <v>77.5</v>
      </c>
      <c r="L154" s="14">
        <f>Tax!L204</f>
        <v>80</v>
      </c>
      <c r="M154" s="14">
        <f>Tax!M204</f>
        <v>82.5</v>
      </c>
      <c r="N154" s="14">
        <f>Tax!N204</f>
        <v>85</v>
      </c>
      <c r="O154" s="14">
        <f>Tax!O204</f>
        <v>87.5</v>
      </c>
      <c r="P154" s="14">
        <f>Tax!P204</f>
        <v>90</v>
      </c>
      <c r="Q154" s="14">
        <f>Tax!Q204</f>
        <v>92.5</v>
      </c>
      <c r="R154" s="14">
        <f>Tax!R204</f>
        <v>95</v>
      </c>
      <c r="S154" s="14">
        <f>Tax!S204</f>
        <v>97.5</v>
      </c>
      <c r="T154" s="14">
        <f>Tax!T204</f>
        <v>100</v>
      </c>
      <c r="U154" s="14">
        <f>Tax!U204</f>
        <v>102.5</v>
      </c>
      <c r="V154" s="14">
        <f>Tax!V204</f>
        <v>105</v>
      </c>
      <c r="W154" s="14">
        <f>Tax!W204</f>
        <v>107.5</v>
      </c>
      <c r="X154" s="14">
        <f>Tax!X204</f>
        <v>110</v>
      </c>
      <c r="Y154" s="14">
        <f>Tax!Y204</f>
        <v>112.5</v>
      </c>
      <c r="Z154" s="14">
        <f>Tax!Z204</f>
        <v>115</v>
      </c>
      <c r="AA154" s="14">
        <f>Tax!AA204</f>
        <v>117.5</v>
      </c>
      <c r="AB154" s="14">
        <f>Tax!AB204</f>
        <v>120</v>
      </c>
      <c r="AC154" s="14">
        <f>Tax!AC204</f>
        <v>122.5</v>
      </c>
      <c r="AD154" s="14">
        <f>Tax!AD204</f>
        <v>125</v>
      </c>
      <c r="AE154" s="14">
        <f>Tax!AE204</f>
        <v>127.5</v>
      </c>
      <c r="AF154" s="14">
        <f>Tax!AF204</f>
        <v>130</v>
      </c>
      <c r="AG154" s="14">
        <f>Tax!AG204</f>
        <v>132.5</v>
      </c>
      <c r="AH154" s="14">
        <f>Tax!AH204</f>
        <v>135</v>
      </c>
      <c r="AI154" s="14">
        <f>Tax!AI204</f>
        <v>137.5</v>
      </c>
      <c r="AJ154" s="14">
        <f>Tax!AJ204</f>
        <v>140</v>
      </c>
      <c r="AK154" s="14">
        <f>Tax!AK204</f>
        <v>142.5</v>
      </c>
      <c r="AL154" s="14">
        <f>Tax!AL204</f>
        <v>145</v>
      </c>
      <c r="AM154" s="14">
        <f>Tax!AM204</f>
        <v>147.5</v>
      </c>
      <c r="AN154" s="14">
        <f>Tax!AN204</f>
        <v>150</v>
      </c>
      <c r="AO154" s="14">
        <f>Tax!AO204</f>
        <v>152.5</v>
      </c>
      <c r="AP154" s="14">
        <f>Tax!AP204</f>
        <v>155</v>
      </c>
      <c r="AQ154" s="14">
        <f>Tax!AQ204</f>
        <v>157.5</v>
      </c>
      <c r="AR154" s="14">
        <f>Tax!AR204</f>
        <v>160</v>
      </c>
      <c r="AS154" s="14">
        <f>Tax!AS204</f>
        <v>162.5</v>
      </c>
    </row>
    <row r="155" spans="2:45" outlineLevel="1" x14ac:dyDescent="0.15">
      <c r="B155" s="339" t="str">
        <f>Tax!B205</f>
        <v>Credit Card Fees</v>
      </c>
      <c r="C155" s="339"/>
      <c r="D155" s="339"/>
      <c r="E155" s="339"/>
      <c r="F155" s="339"/>
      <c r="G155" s="339"/>
      <c r="H155" s="4">
        <v>1</v>
      </c>
      <c r="J155" s="14">
        <f>Tax!J205</f>
        <v>88.996035096774179</v>
      </c>
      <c r="K155" s="14">
        <f>Tax!K205</f>
        <v>144.15587665599995</v>
      </c>
      <c r="L155" s="14">
        <f>Tax!L205</f>
        <v>149.37897352258065</v>
      </c>
      <c r="M155" s="14">
        <f>Tax!M205</f>
        <v>177.88577839999999</v>
      </c>
      <c r="N155" s="14">
        <f>Tax!N205</f>
        <v>76.511370972903208</v>
      </c>
      <c r="O155" s="14">
        <f>Tax!O205</f>
        <v>138.9832522064516</v>
      </c>
      <c r="P155" s="14">
        <f>Tax!P205</f>
        <v>160.36811648</v>
      </c>
      <c r="Q155" s="14">
        <f>Tax!Q205</f>
        <v>159.58373745032256</v>
      </c>
      <c r="R155" s="14">
        <f>Tax!R205</f>
        <v>129.42516998400001</v>
      </c>
      <c r="S155" s="14">
        <f>Tax!S205</f>
        <v>150.33496561032254</v>
      </c>
      <c r="T155" s="14">
        <f>Tax!T205</f>
        <v>148.34300799999997</v>
      </c>
      <c r="U155" s="14">
        <f>Tax!U205</f>
        <v>137.52049684645158</v>
      </c>
      <c r="V155" s="14">
        <f>Tax!V205</f>
        <v>125.24509047741935</v>
      </c>
      <c r="W155" s="14">
        <f>Tax!W205</f>
        <v>205.08486116799997</v>
      </c>
      <c r="X155" s="14">
        <f>Tax!X205</f>
        <v>218.53552443870959</v>
      </c>
      <c r="Y155" s="14">
        <f>Tax!Y205</f>
        <v>238.50153799999995</v>
      </c>
      <c r="Z155" s="14">
        <f>Tax!Z205</f>
        <v>112.47185913806449</v>
      </c>
      <c r="AA155" s="14">
        <f>Tax!AA205</f>
        <v>192.38231010580645</v>
      </c>
      <c r="AB155" s="14">
        <f>Tax!AB205</f>
        <v>208.26903679999998</v>
      </c>
      <c r="AC155" s="14">
        <f>Tax!AC205</f>
        <v>213.92354419096773</v>
      </c>
      <c r="AD155" s="14">
        <f>Tax!AD205</f>
        <v>173.08911839999999</v>
      </c>
      <c r="AE155" s="14">
        <f>Tax!AE205</f>
        <v>193.11779644903226</v>
      </c>
      <c r="AF155" s="14">
        <f>Tax!AF205</f>
        <v>203.26986592</v>
      </c>
      <c r="AG155" s="14">
        <f>Tax!AG205</f>
        <v>181.13156909419351</v>
      </c>
      <c r="AH155" s="14">
        <f>Tax!AH205</f>
        <v>159.43588376774196</v>
      </c>
      <c r="AI155" s="14">
        <f>Tax!AI205</f>
        <v>276.20040976000001</v>
      </c>
      <c r="AJ155" s="14">
        <f>Tax!AJ205</f>
        <v>281.9881220129032</v>
      </c>
      <c r="AK155" s="14">
        <f>Tax!AK205</f>
        <v>280.80799999999994</v>
      </c>
      <c r="AL155" s="14">
        <f>Tax!AL205</f>
        <v>150.18035977290316</v>
      </c>
      <c r="AM155" s="14">
        <f>Tax!AM205</f>
        <v>237.41383026580644</v>
      </c>
      <c r="AN155" s="14">
        <f>Tax!AN205</f>
        <v>251.54729599999999</v>
      </c>
      <c r="AO155" s="14">
        <f>Tax!AO205</f>
        <v>267.40617716645158</v>
      </c>
      <c r="AP155" s="14">
        <f>Tax!AP205</f>
        <v>206.19306681599997</v>
      </c>
      <c r="AQ155" s="14">
        <f>Tax!AQ205</f>
        <v>222.29776533161288</v>
      </c>
      <c r="AR155" s="14">
        <f>Tax!AR205</f>
        <v>250.97953408000001</v>
      </c>
      <c r="AS155" s="14">
        <f>Tax!AS205</f>
        <v>214.18264134193547</v>
      </c>
    </row>
    <row r="156" spans="2:45" outlineLevel="1" x14ac:dyDescent="0.15">
      <c r="B156" s="339" t="str">
        <f>Tax!B206</f>
        <v>Cleaning &amp; Other</v>
      </c>
      <c r="C156" s="339"/>
      <c r="D156" s="339"/>
      <c r="E156" s="339"/>
      <c r="F156" s="339"/>
      <c r="G156" s="339"/>
      <c r="H156" s="4">
        <v>1</v>
      </c>
      <c r="J156" s="14">
        <f>Tax!J206</f>
        <v>240</v>
      </c>
      <c r="K156" s="14">
        <f>Tax!K206</f>
        <v>240</v>
      </c>
      <c r="L156" s="14">
        <f>Tax!L206</f>
        <v>240</v>
      </c>
      <c r="M156" s="14">
        <f>Tax!M206</f>
        <v>240</v>
      </c>
      <c r="N156" s="14">
        <f>Tax!N206</f>
        <v>240</v>
      </c>
      <c r="O156" s="14">
        <f>Tax!O206</f>
        <v>240</v>
      </c>
      <c r="P156" s="14">
        <f>Tax!P206</f>
        <v>240</v>
      </c>
      <c r="Q156" s="14">
        <f>Tax!Q206</f>
        <v>240</v>
      </c>
      <c r="R156" s="14">
        <f>Tax!R206</f>
        <v>240</v>
      </c>
      <c r="S156" s="14">
        <f>Tax!S206</f>
        <v>240</v>
      </c>
      <c r="T156" s="14">
        <f>Tax!T206</f>
        <v>240</v>
      </c>
      <c r="U156" s="14">
        <f>Tax!U206</f>
        <v>240</v>
      </c>
      <c r="V156" s="14">
        <f>Tax!V206</f>
        <v>240</v>
      </c>
      <c r="W156" s="14">
        <f>Tax!W206</f>
        <v>240</v>
      </c>
      <c r="X156" s="14">
        <f>Tax!X206</f>
        <v>240</v>
      </c>
      <c r="Y156" s="14">
        <f>Tax!Y206</f>
        <v>240</v>
      </c>
      <c r="Z156" s="14">
        <f>Tax!Z206</f>
        <v>240</v>
      </c>
      <c r="AA156" s="14">
        <f>Tax!AA206</f>
        <v>240</v>
      </c>
      <c r="AB156" s="14">
        <f>Tax!AB206</f>
        <v>240</v>
      </c>
      <c r="AC156" s="14">
        <f>Tax!AC206</f>
        <v>240</v>
      </c>
      <c r="AD156" s="14">
        <f>Tax!AD206</f>
        <v>240</v>
      </c>
      <c r="AE156" s="14">
        <f>Tax!AE206</f>
        <v>240</v>
      </c>
      <c r="AF156" s="14">
        <f>Tax!AF206</f>
        <v>240</v>
      </c>
      <c r="AG156" s="14">
        <f>Tax!AG206</f>
        <v>240</v>
      </c>
      <c r="AH156" s="14">
        <f>Tax!AH206</f>
        <v>240</v>
      </c>
      <c r="AI156" s="14">
        <f>Tax!AI206</f>
        <v>240</v>
      </c>
      <c r="AJ156" s="14">
        <f>Tax!AJ206</f>
        <v>240</v>
      </c>
      <c r="AK156" s="14">
        <f>Tax!AK206</f>
        <v>240</v>
      </c>
      <c r="AL156" s="14">
        <f>Tax!AL206</f>
        <v>240</v>
      </c>
      <c r="AM156" s="14">
        <f>Tax!AM206</f>
        <v>240</v>
      </c>
      <c r="AN156" s="14">
        <f>Tax!AN206</f>
        <v>240</v>
      </c>
      <c r="AO156" s="14">
        <f>Tax!AO206</f>
        <v>240</v>
      </c>
      <c r="AP156" s="14">
        <f>Tax!AP206</f>
        <v>240</v>
      </c>
      <c r="AQ156" s="14">
        <f>Tax!AQ206</f>
        <v>240</v>
      </c>
      <c r="AR156" s="14">
        <f>Tax!AR206</f>
        <v>240</v>
      </c>
      <c r="AS156" s="14">
        <f>Tax!AS206</f>
        <v>240</v>
      </c>
    </row>
    <row r="157" spans="2:45" outlineLevel="1" x14ac:dyDescent="0.15">
      <c r="B157" s="339" t="str">
        <f>Tax!B210</f>
        <v>Other Expenses Category</v>
      </c>
      <c r="C157" s="339"/>
      <c r="D157" s="339"/>
      <c r="E157" s="339"/>
      <c r="F157" s="339"/>
      <c r="G157" s="339"/>
      <c r="H157" s="4">
        <v>1</v>
      </c>
      <c r="J157" s="14">
        <f>Tax!J210</f>
        <v>0</v>
      </c>
      <c r="K157" s="14">
        <f>Tax!K210</f>
        <v>0</v>
      </c>
      <c r="L157" s="14">
        <f>Tax!L210</f>
        <v>0</v>
      </c>
      <c r="M157" s="14">
        <f>Tax!M210</f>
        <v>0</v>
      </c>
      <c r="N157" s="14">
        <f>Tax!N210</f>
        <v>0</v>
      </c>
      <c r="O157" s="14">
        <f>Tax!O210</f>
        <v>0</v>
      </c>
      <c r="P157" s="14">
        <f>Tax!P210</f>
        <v>0</v>
      </c>
      <c r="Q157" s="14">
        <f>Tax!Q210</f>
        <v>0</v>
      </c>
      <c r="R157" s="14">
        <f>Tax!R210</f>
        <v>0</v>
      </c>
      <c r="S157" s="14">
        <f>Tax!S210</f>
        <v>0</v>
      </c>
      <c r="T157" s="14">
        <f>Tax!T210</f>
        <v>0</v>
      </c>
      <c r="U157" s="14">
        <f>Tax!U210</f>
        <v>0</v>
      </c>
      <c r="V157" s="14">
        <f>Tax!V210</f>
        <v>0</v>
      </c>
      <c r="W157" s="14">
        <f>Tax!W210</f>
        <v>0</v>
      </c>
      <c r="X157" s="14">
        <f>Tax!X210</f>
        <v>0</v>
      </c>
      <c r="Y157" s="14">
        <f>Tax!Y210</f>
        <v>0</v>
      </c>
      <c r="Z157" s="14">
        <f>Tax!Z210</f>
        <v>0</v>
      </c>
      <c r="AA157" s="14">
        <f>Tax!AA210</f>
        <v>0</v>
      </c>
      <c r="AB157" s="14">
        <f>Tax!AB210</f>
        <v>0</v>
      </c>
      <c r="AC157" s="14">
        <f>Tax!AC210</f>
        <v>0</v>
      </c>
      <c r="AD157" s="14">
        <f>Tax!AD210</f>
        <v>0</v>
      </c>
      <c r="AE157" s="14">
        <f>Tax!AE210</f>
        <v>0</v>
      </c>
      <c r="AF157" s="14">
        <f>Tax!AF210</f>
        <v>0</v>
      </c>
      <c r="AG157" s="14">
        <f>Tax!AG210</f>
        <v>0</v>
      </c>
      <c r="AH157" s="14">
        <f>Tax!AH210</f>
        <v>0</v>
      </c>
      <c r="AI157" s="14">
        <f>Tax!AI210</f>
        <v>0</v>
      </c>
      <c r="AJ157" s="14">
        <f>Tax!AJ210</f>
        <v>0</v>
      </c>
      <c r="AK157" s="14">
        <f>Tax!AK210</f>
        <v>0</v>
      </c>
      <c r="AL157" s="14">
        <f>Tax!AL210</f>
        <v>0</v>
      </c>
      <c r="AM157" s="14">
        <f>Tax!AM210</f>
        <v>0</v>
      </c>
      <c r="AN157" s="14">
        <f>Tax!AN210</f>
        <v>0</v>
      </c>
      <c r="AO157" s="14">
        <f>Tax!AO210</f>
        <v>0</v>
      </c>
      <c r="AP157" s="14">
        <f>Tax!AP210</f>
        <v>0</v>
      </c>
      <c r="AQ157" s="14">
        <f>Tax!AQ210</f>
        <v>0</v>
      </c>
      <c r="AR157" s="14">
        <f>Tax!AR210</f>
        <v>0</v>
      </c>
      <c r="AS157" s="14">
        <f>Tax!AS210</f>
        <v>0</v>
      </c>
    </row>
    <row r="158" spans="2:45" outlineLevel="1" x14ac:dyDescent="0.15"/>
    <row r="159" spans="2:45" outlineLevel="1" x14ac:dyDescent="0.15">
      <c r="B159" s="108" t="s">
        <v>369</v>
      </c>
      <c r="C159" s="108"/>
      <c r="D159" s="108"/>
      <c r="E159" s="108"/>
      <c r="F159" s="108"/>
      <c r="G159" s="108"/>
      <c r="H159" s="108"/>
      <c r="I159" s="12" t="s">
        <v>370</v>
      </c>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row>
    <row r="160" spans="2:45" hidden="1" outlineLevel="2" x14ac:dyDescent="0.15"/>
    <row r="161" spans="2:45" hidden="1" outlineLevel="2" x14ac:dyDescent="0.15">
      <c r="B161" s="16" t="s">
        <v>371</v>
      </c>
    </row>
    <row r="162" spans="2:45" hidden="1" outlineLevel="2" x14ac:dyDescent="0.15">
      <c r="B162" s="107" t="s">
        <v>372</v>
      </c>
      <c r="J162" s="17">
        <f t="shared" ref="J162:AS162" si="75">J$7-J$6+1</f>
        <v>31</v>
      </c>
      <c r="K162" s="17">
        <f t="shared" si="75"/>
        <v>30</v>
      </c>
      <c r="L162" s="17">
        <f t="shared" si="75"/>
        <v>31</v>
      </c>
      <c r="M162" s="17">
        <f t="shared" si="75"/>
        <v>30</v>
      </c>
      <c r="N162" s="17">
        <f t="shared" si="75"/>
        <v>31</v>
      </c>
      <c r="O162" s="17">
        <f t="shared" si="75"/>
        <v>31</v>
      </c>
      <c r="P162" s="17">
        <f t="shared" si="75"/>
        <v>29</v>
      </c>
      <c r="Q162" s="17">
        <f t="shared" si="75"/>
        <v>31</v>
      </c>
      <c r="R162" s="17">
        <f t="shared" si="75"/>
        <v>30</v>
      </c>
      <c r="S162" s="17">
        <f t="shared" si="75"/>
        <v>31</v>
      </c>
      <c r="T162" s="17">
        <f t="shared" si="75"/>
        <v>30</v>
      </c>
      <c r="U162" s="17">
        <f t="shared" si="75"/>
        <v>31</v>
      </c>
      <c r="V162" s="17">
        <f t="shared" si="75"/>
        <v>31</v>
      </c>
      <c r="W162" s="17">
        <f t="shared" si="75"/>
        <v>30</v>
      </c>
      <c r="X162" s="17">
        <f t="shared" si="75"/>
        <v>31</v>
      </c>
      <c r="Y162" s="17">
        <f t="shared" si="75"/>
        <v>30</v>
      </c>
      <c r="Z162" s="17">
        <f t="shared" si="75"/>
        <v>31</v>
      </c>
      <c r="AA162" s="17">
        <f t="shared" si="75"/>
        <v>31</v>
      </c>
      <c r="AB162" s="17">
        <f t="shared" si="75"/>
        <v>28</v>
      </c>
      <c r="AC162" s="17">
        <f t="shared" si="75"/>
        <v>31</v>
      </c>
      <c r="AD162" s="17">
        <f t="shared" si="75"/>
        <v>30</v>
      </c>
      <c r="AE162" s="17">
        <f t="shared" si="75"/>
        <v>31</v>
      </c>
      <c r="AF162" s="17">
        <f t="shared" si="75"/>
        <v>30</v>
      </c>
      <c r="AG162" s="17">
        <f t="shared" si="75"/>
        <v>31</v>
      </c>
      <c r="AH162" s="17">
        <f t="shared" si="75"/>
        <v>31</v>
      </c>
      <c r="AI162" s="17">
        <f t="shared" si="75"/>
        <v>30</v>
      </c>
      <c r="AJ162" s="17">
        <f t="shared" si="75"/>
        <v>31</v>
      </c>
      <c r="AK162" s="17">
        <f t="shared" si="75"/>
        <v>30</v>
      </c>
      <c r="AL162" s="17">
        <f t="shared" si="75"/>
        <v>31</v>
      </c>
      <c r="AM162" s="17">
        <f t="shared" si="75"/>
        <v>31</v>
      </c>
      <c r="AN162" s="17">
        <f t="shared" si="75"/>
        <v>28</v>
      </c>
      <c r="AO162" s="17">
        <f t="shared" si="75"/>
        <v>31</v>
      </c>
      <c r="AP162" s="17">
        <f t="shared" si="75"/>
        <v>30</v>
      </c>
      <c r="AQ162" s="17">
        <f t="shared" si="75"/>
        <v>31</v>
      </c>
      <c r="AR162" s="17">
        <f t="shared" si="75"/>
        <v>30</v>
      </c>
      <c r="AS162" s="17">
        <f t="shared" si="75"/>
        <v>31</v>
      </c>
    </row>
    <row r="163" spans="2:45" hidden="1" outlineLevel="2" x14ac:dyDescent="0.15">
      <c r="B163" s="107" t="s">
        <v>373</v>
      </c>
      <c r="J163" s="17">
        <f t="shared" ref="J163:AS163" si="76">IF(J$8=1,0,I164)</f>
        <v>0</v>
      </c>
      <c r="K163" s="17">
        <f t="shared" si="76"/>
        <v>31</v>
      </c>
      <c r="L163" s="17">
        <f t="shared" si="76"/>
        <v>61</v>
      </c>
      <c r="M163" s="17">
        <f t="shared" si="76"/>
        <v>92</v>
      </c>
      <c r="N163" s="17">
        <f t="shared" si="76"/>
        <v>122</v>
      </c>
      <c r="O163" s="17">
        <f t="shared" si="76"/>
        <v>153</v>
      </c>
      <c r="P163" s="17">
        <f t="shared" si="76"/>
        <v>184</v>
      </c>
      <c r="Q163" s="17">
        <f t="shared" si="76"/>
        <v>213</v>
      </c>
      <c r="R163" s="17">
        <f t="shared" si="76"/>
        <v>244</v>
      </c>
      <c r="S163" s="17">
        <f t="shared" si="76"/>
        <v>274</v>
      </c>
      <c r="T163" s="17">
        <f t="shared" si="76"/>
        <v>305</v>
      </c>
      <c r="U163" s="17">
        <f t="shared" si="76"/>
        <v>335</v>
      </c>
      <c r="V163" s="17">
        <f t="shared" si="76"/>
        <v>366</v>
      </c>
      <c r="W163" s="17">
        <f t="shared" si="76"/>
        <v>397</v>
      </c>
      <c r="X163" s="17">
        <f t="shared" si="76"/>
        <v>427</v>
      </c>
      <c r="Y163" s="17">
        <f t="shared" si="76"/>
        <v>458</v>
      </c>
      <c r="Z163" s="17">
        <f t="shared" si="76"/>
        <v>488</v>
      </c>
      <c r="AA163" s="17">
        <f t="shared" si="76"/>
        <v>519</v>
      </c>
      <c r="AB163" s="17">
        <f t="shared" si="76"/>
        <v>550</v>
      </c>
      <c r="AC163" s="17">
        <f t="shared" si="76"/>
        <v>578</v>
      </c>
      <c r="AD163" s="17">
        <f t="shared" si="76"/>
        <v>609</v>
      </c>
      <c r="AE163" s="17">
        <f t="shared" si="76"/>
        <v>639</v>
      </c>
      <c r="AF163" s="17">
        <f t="shared" si="76"/>
        <v>670</v>
      </c>
      <c r="AG163" s="17">
        <f t="shared" si="76"/>
        <v>700</v>
      </c>
      <c r="AH163" s="17">
        <f t="shared" si="76"/>
        <v>731</v>
      </c>
      <c r="AI163" s="17">
        <f t="shared" si="76"/>
        <v>762</v>
      </c>
      <c r="AJ163" s="17">
        <f t="shared" si="76"/>
        <v>792</v>
      </c>
      <c r="AK163" s="17">
        <f t="shared" si="76"/>
        <v>823</v>
      </c>
      <c r="AL163" s="17">
        <f t="shared" si="76"/>
        <v>853</v>
      </c>
      <c r="AM163" s="17">
        <f t="shared" si="76"/>
        <v>884</v>
      </c>
      <c r="AN163" s="17">
        <f t="shared" si="76"/>
        <v>915</v>
      </c>
      <c r="AO163" s="17">
        <f t="shared" si="76"/>
        <v>943</v>
      </c>
      <c r="AP163" s="17">
        <f t="shared" si="76"/>
        <v>974</v>
      </c>
      <c r="AQ163" s="17">
        <f t="shared" si="76"/>
        <v>1004</v>
      </c>
      <c r="AR163" s="17">
        <f t="shared" si="76"/>
        <v>1035</v>
      </c>
      <c r="AS163" s="17">
        <f t="shared" si="76"/>
        <v>1065</v>
      </c>
    </row>
    <row r="164" spans="2:45" hidden="1" outlineLevel="2" x14ac:dyDescent="0.15">
      <c r="B164" s="107" t="s">
        <v>374</v>
      </c>
      <c r="J164" s="17">
        <f t="shared" ref="J164:AS164" si="77">J163+J162</f>
        <v>31</v>
      </c>
      <c r="K164" s="17">
        <f t="shared" si="77"/>
        <v>61</v>
      </c>
      <c r="L164" s="17">
        <f t="shared" si="77"/>
        <v>92</v>
      </c>
      <c r="M164" s="17">
        <f t="shared" si="77"/>
        <v>122</v>
      </c>
      <c r="N164" s="17">
        <f t="shared" si="77"/>
        <v>153</v>
      </c>
      <c r="O164" s="17">
        <f t="shared" si="77"/>
        <v>184</v>
      </c>
      <c r="P164" s="17">
        <f t="shared" si="77"/>
        <v>213</v>
      </c>
      <c r="Q164" s="17">
        <f t="shared" si="77"/>
        <v>244</v>
      </c>
      <c r="R164" s="17">
        <f t="shared" si="77"/>
        <v>274</v>
      </c>
      <c r="S164" s="17">
        <f t="shared" si="77"/>
        <v>305</v>
      </c>
      <c r="T164" s="17">
        <f t="shared" si="77"/>
        <v>335</v>
      </c>
      <c r="U164" s="17">
        <f t="shared" si="77"/>
        <v>366</v>
      </c>
      <c r="V164" s="17">
        <f t="shared" si="77"/>
        <v>397</v>
      </c>
      <c r="W164" s="17">
        <f t="shared" si="77"/>
        <v>427</v>
      </c>
      <c r="X164" s="17">
        <f t="shared" si="77"/>
        <v>458</v>
      </c>
      <c r="Y164" s="17">
        <f t="shared" si="77"/>
        <v>488</v>
      </c>
      <c r="Z164" s="17">
        <f t="shared" si="77"/>
        <v>519</v>
      </c>
      <c r="AA164" s="17">
        <f t="shared" si="77"/>
        <v>550</v>
      </c>
      <c r="AB164" s="17">
        <f t="shared" si="77"/>
        <v>578</v>
      </c>
      <c r="AC164" s="17">
        <f t="shared" si="77"/>
        <v>609</v>
      </c>
      <c r="AD164" s="17">
        <f t="shared" si="77"/>
        <v>639</v>
      </c>
      <c r="AE164" s="17">
        <f t="shared" si="77"/>
        <v>670</v>
      </c>
      <c r="AF164" s="17">
        <f t="shared" si="77"/>
        <v>700</v>
      </c>
      <c r="AG164" s="17">
        <f t="shared" si="77"/>
        <v>731</v>
      </c>
      <c r="AH164" s="17">
        <f t="shared" si="77"/>
        <v>762</v>
      </c>
      <c r="AI164" s="17">
        <f t="shared" si="77"/>
        <v>792</v>
      </c>
      <c r="AJ164" s="17">
        <f t="shared" si="77"/>
        <v>823</v>
      </c>
      <c r="AK164" s="17">
        <f t="shared" si="77"/>
        <v>853</v>
      </c>
      <c r="AL164" s="17">
        <f t="shared" si="77"/>
        <v>884</v>
      </c>
      <c r="AM164" s="17">
        <f t="shared" si="77"/>
        <v>915</v>
      </c>
      <c r="AN164" s="17">
        <f t="shared" si="77"/>
        <v>943</v>
      </c>
      <c r="AO164" s="17">
        <f t="shared" si="77"/>
        <v>974</v>
      </c>
      <c r="AP164" s="17">
        <f t="shared" si="77"/>
        <v>1004</v>
      </c>
      <c r="AQ164" s="17">
        <f t="shared" si="77"/>
        <v>1035</v>
      </c>
      <c r="AR164" s="17">
        <f t="shared" si="77"/>
        <v>1065</v>
      </c>
      <c r="AS164" s="17">
        <f t="shared" si="77"/>
        <v>1096</v>
      </c>
    </row>
    <row r="165" spans="2:45" outlineLevel="1" collapsed="1" x14ac:dyDescent="0.15"/>
    <row r="166" spans="2:45" outlineLevel="1" x14ac:dyDescent="0.15">
      <c r="B166" s="16" t="str">
        <f>OBS!B30</f>
        <v>Creditors (Monthly)</v>
      </c>
    </row>
    <row r="167" spans="2:45" outlineLevel="1" x14ac:dyDescent="0.15">
      <c r="B167" s="107" t="s">
        <v>375</v>
      </c>
      <c r="J167" s="14">
        <f>IF(J$8=1,OBS!J30,I183)</f>
        <v>5154</v>
      </c>
      <c r="K167" s="14">
        <f>IF(K$8=1,OBS!K30,J183)</f>
        <v>309.677419354839</v>
      </c>
      <c r="L167" s="14">
        <f>IF(L$8=1,OBS!L30,K183)</f>
        <v>320.00000000000028</v>
      </c>
      <c r="M167" s="14">
        <f>IF(M$8=1,OBS!M30,L183)</f>
        <v>309.677419354839</v>
      </c>
      <c r="N167" s="14">
        <f>IF(N$8=1,OBS!N30,M183)</f>
        <v>320.00000000000028</v>
      </c>
      <c r="O167" s="14">
        <f>IF(O$8=1,OBS!O30,N183)</f>
        <v>309.677419354839</v>
      </c>
      <c r="P167" s="14">
        <f>IF(P$8=1,OBS!P30,O183)</f>
        <v>309.677419354839</v>
      </c>
      <c r="Q167" s="14">
        <f>IF(Q$8=1,OBS!Q30,P183)</f>
        <v>330.32258064516157</v>
      </c>
      <c r="R167" s="14">
        <f>IF(R$8=1,OBS!R30,Q183)</f>
        <v>309.677419354839</v>
      </c>
      <c r="S167" s="14">
        <f>IF(S$8=1,OBS!S30,R183)</f>
        <v>320.00000000000028</v>
      </c>
      <c r="T167" s="14">
        <f>IF(T$8=1,OBS!T30,S183)</f>
        <v>309.677419354839</v>
      </c>
      <c r="U167" s="14">
        <f>IF(U$8=1,OBS!U30,T183)</f>
        <v>320.00000000000028</v>
      </c>
      <c r="V167" s="14">
        <f>IF(V$8=1,OBS!V30,U183)</f>
        <v>309.677419354839</v>
      </c>
      <c r="W167" s="14">
        <f>IF(W$8=1,OBS!W30,V183)</f>
        <v>309.677419354839</v>
      </c>
      <c r="X167" s="14">
        <f>IF(X$8=1,OBS!X30,W183)</f>
        <v>320.00000000000028</v>
      </c>
      <c r="Y167" s="14">
        <f>IF(Y$8=1,OBS!Y30,X183)</f>
        <v>309.677419354839</v>
      </c>
      <c r="Z167" s="14">
        <f>IF(Z$8=1,OBS!Z30,Y183)</f>
        <v>320.00000000000028</v>
      </c>
      <c r="AA167" s="14">
        <f>IF(AA$8=1,OBS!AA30,Z183)</f>
        <v>309.677419354839</v>
      </c>
      <c r="AB167" s="14">
        <f>IF(AB$8=1,OBS!AB30,AA183)</f>
        <v>309.677419354839</v>
      </c>
      <c r="AC167" s="14">
        <f>IF(AC$8=1,OBS!AC30,AB183)</f>
        <v>340.6451612903229</v>
      </c>
      <c r="AD167" s="14">
        <f>IF(AD$8=1,OBS!AD30,AC183)</f>
        <v>309.67741935483906</v>
      </c>
      <c r="AE167" s="14">
        <f>IF(AE$8=1,OBS!AE30,AD183)</f>
        <v>320.00000000000034</v>
      </c>
      <c r="AF167" s="14">
        <f>IF(AF$8=1,OBS!AF30,AE183)</f>
        <v>309.67741935483906</v>
      </c>
      <c r="AG167" s="14">
        <f>IF(AG$8=1,OBS!AG30,AF183)</f>
        <v>320.00000000000034</v>
      </c>
      <c r="AH167" s="14">
        <f>IF(AH$8=1,OBS!AH30,AG183)</f>
        <v>309.67741935483906</v>
      </c>
      <c r="AI167" s="14">
        <f>IF(AI$8=1,OBS!AI30,AH183)</f>
        <v>309.67741935483906</v>
      </c>
      <c r="AJ167" s="14">
        <f>IF(AJ$8=1,OBS!AJ30,AI183)</f>
        <v>320.00000000000034</v>
      </c>
      <c r="AK167" s="14">
        <f>IF(AK$8=1,OBS!AK30,AJ183)</f>
        <v>309.67741935483906</v>
      </c>
      <c r="AL167" s="14">
        <f>IF(AL$8=1,OBS!AL30,AK183)</f>
        <v>320.00000000000034</v>
      </c>
      <c r="AM167" s="14">
        <f>IF(AM$8=1,OBS!AM30,AL183)</f>
        <v>309.67741935483906</v>
      </c>
      <c r="AN167" s="14">
        <f>IF(AN$8=1,OBS!AN30,AM183)</f>
        <v>309.67741935483906</v>
      </c>
      <c r="AO167" s="14">
        <f>IF(AO$8=1,OBS!AO30,AN183)</f>
        <v>340.64516129032296</v>
      </c>
      <c r="AP167" s="14">
        <f>IF(AP$8=1,OBS!AP30,AO183)</f>
        <v>309.67741935483912</v>
      </c>
      <c r="AQ167" s="14">
        <f>IF(AQ$8=1,OBS!AQ30,AP183)</f>
        <v>320.0000000000004</v>
      </c>
      <c r="AR167" s="14">
        <f>IF(AR$8=1,OBS!AR30,AQ183)</f>
        <v>309.67741935483912</v>
      </c>
      <c r="AS167" s="14">
        <f>IF(AS$8=1,OBS!AS30,AR183)</f>
        <v>320.0000000000004</v>
      </c>
    </row>
    <row r="168" spans="2:45" outlineLevel="1" x14ac:dyDescent="0.15">
      <c r="B168" s="107" t="s">
        <v>159</v>
      </c>
      <c r="J168" s="14">
        <f>SUMIF($H$146:$H$157,ROWS(Lookups!$D131:$D$131)+1,J$146:J$157)</f>
        <v>320</v>
      </c>
      <c r="K168" s="14">
        <f>SUMIF($H$146:$H$157,ROWS(Lookups!$D131:$D$131)+1,K$146:K$157)</f>
        <v>320</v>
      </c>
      <c r="L168" s="14">
        <f>SUMIF($H$146:$H$157,ROWS(Lookups!$D131:$D$131)+1,L$146:L$157)</f>
        <v>320</v>
      </c>
      <c r="M168" s="14">
        <f>SUMIF($H$146:$H$157,ROWS(Lookups!$D131:$D$131)+1,M$146:M$157)</f>
        <v>320</v>
      </c>
      <c r="N168" s="14">
        <f>SUMIF($H$146:$H$157,ROWS(Lookups!$D131:$D$131)+1,N$146:N$157)</f>
        <v>320</v>
      </c>
      <c r="O168" s="14">
        <f>SUMIF($H$146:$H$157,ROWS(Lookups!$D131:$D$131)+1,O$146:O$157)</f>
        <v>320</v>
      </c>
      <c r="P168" s="14">
        <f>SUMIF($H$146:$H$157,ROWS(Lookups!$D131:$D$131)+1,P$146:P$157)</f>
        <v>320</v>
      </c>
      <c r="Q168" s="14">
        <f>SUMIF($H$146:$H$157,ROWS(Lookups!$D131:$D$131)+1,Q$146:Q$157)</f>
        <v>320</v>
      </c>
      <c r="R168" s="14">
        <f>SUMIF($H$146:$H$157,ROWS(Lookups!$D131:$D$131)+1,R$146:R$157)</f>
        <v>320</v>
      </c>
      <c r="S168" s="14">
        <f>SUMIF($H$146:$H$157,ROWS(Lookups!$D131:$D$131)+1,S$146:S$157)</f>
        <v>320</v>
      </c>
      <c r="T168" s="14">
        <f>SUMIF($H$146:$H$157,ROWS(Lookups!$D131:$D$131)+1,T$146:T$157)</f>
        <v>320</v>
      </c>
      <c r="U168" s="14">
        <f>SUMIF($H$146:$H$157,ROWS(Lookups!$D131:$D$131)+1,U$146:U$157)</f>
        <v>320</v>
      </c>
      <c r="V168" s="14">
        <f>SUMIF($H$146:$H$157,ROWS(Lookups!$D131:$D$131)+1,V$146:V$157)</f>
        <v>320</v>
      </c>
      <c r="W168" s="14">
        <f>SUMIF($H$146:$H$157,ROWS(Lookups!$D131:$D$131)+1,W$146:W$157)</f>
        <v>320</v>
      </c>
      <c r="X168" s="14">
        <f>SUMIF($H$146:$H$157,ROWS(Lookups!$D131:$D$131)+1,X$146:X$157)</f>
        <v>320</v>
      </c>
      <c r="Y168" s="14">
        <f>SUMIF($H$146:$H$157,ROWS(Lookups!$D131:$D$131)+1,Y$146:Y$157)</f>
        <v>320</v>
      </c>
      <c r="Z168" s="14">
        <f>SUMIF($H$146:$H$157,ROWS(Lookups!$D131:$D$131)+1,Z$146:Z$157)</f>
        <v>320</v>
      </c>
      <c r="AA168" s="14">
        <f>SUMIF($H$146:$H$157,ROWS(Lookups!$D131:$D$131)+1,AA$146:AA$157)</f>
        <v>320</v>
      </c>
      <c r="AB168" s="14">
        <f>SUMIF($H$146:$H$157,ROWS(Lookups!$D131:$D$131)+1,AB$146:AB$157)</f>
        <v>320</v>
      </c>
      <c r="AC168" s="14">
        <f>SUMIF($H$146:$H$157,ROWS(Lookups!$D131:$D$131)+1,AC$146:AC$157)</f>
        <v>320</v>
      </c>
      <c r="AD168" s="14">
        <f>SUMIF($H$146:$H$157,ROWS(Lookups!$D131:$D$131)+1,AD$146:AD$157)</f>
        <v>320</v>
      </c>
      <c r="AE168" s="14">
        <f>SUMIF($H$146:$H$157,ROWS(Lookups!$D131:$D$131)+1,AE$146:AE$157)</f>
        <v>320</v>
      </c>
      <c r="AF168" s="14">
        <f>SUMIF($H$146:$H$157,ROWS(Lookups!$D131:$D$131)+1,AF$146:AF$157)</f>
        <v>320</v>
      </c>
      <c r="AG168" s="14">
        <f>SUMIF($H$146:$H$157,ROWS(Lookups!$D131:$D$131)+1,AG$146:AG$157)</f>
        <v>320</v>
      </c>
      <c r="AH168" s="14">
        <f>SUMIF($H$146:$H$157,ROWS(Lookups!$D131:$D$131)+1,AH$146:AH$157)</f>
        <v>320</v>
      </c>
      <c r="AI168" s="14">
        <f>SUMIF($H$146:$H$157,ROWS(Lookups!$D131:$D$131)+1,AI$146:AI$157)</f>
        <v>320</v>
      </c>
      <c r="AJ168" s="14">
        <f>SUMIF($H$146:$H$157,ROWS(Lookups!$D131:$D$131)+1,AJ$146:AJ$157)</f>
        <v>320</v>
      </c>
      <c r="AK168" s="14">
        <f>SUMIF($H$146:$H$157,ROWS(Lookups!$D131:$D$131)+1,AK$146:AK$157)</f>
        <v>320</v>
      </c>
      <c r="AL168" s="14">
        <f>SUMIF($H$146:$H$157,ROWS(Lookups!$D131:$D$131)+1,AL$146:AL$157)</f>
        <v>320</v>
      </c>
      <c r="AM168" s="14">
        <f>SUMIF($H$146:$H$157,ROWS(Lookups!$D131:$D$131)+1,AM$146:AM$157)</f>
        <v>320</v>
      </c>
      <c r="AN168" s="14">
        <f>SUMIF($H$146:$H$157,ROWS(Lookups!$D131:$D$131)+1,AN$146:AN$157)</f>
        <v>320</v>
      </c>
      <c r="AO168" s="14">
        <f>SUMIF($H$146:$H$157,ROWS(Lookups!$D131:$D$131)+1,AO$146:AO$157)</f>
        <v>320</v>
      </c>
      <c r="AP168" s="14">
        <f>SUMIF($H$146:$H$157,ROWS(Lookups!$D131:$D$131)+1,AP$146:AP$157)</f>
        <v>320</v>
      </c>
      <c r="AQ168" s="14">
        <f>SUMIF($H$146:$H$157,ROWS(Lookups!$D131:$D$131)+1,AQ$146:AQ$157)</f>
        <v>320</v>
      </c>
      <c r="AR168" s="14">
        <f>SUMIF($H$146:$H$157,ROWS(Lookups!$D131:$D$131)+1,AR$146:AR$157)</f>
        <v>320</v>
      </c>
      <c r="AS168" s="14">
        <f>SUMIF($H$146:$H$157,ROWS(Lookups!$D131:$D$131)+1,AS$146:AS$157)</f>
        <v>320</v>
      </c>
    </row>
    <row r="169" spans="2:45" hidden="1" outlineLevel="2" x14ac:dyDescent="0.15">
      <c r="F169" s="107" t="s">
        <v>409</v>
      </c>
      <c r="J169" s="40">
        <f t="shared" ref="J169:AS169" si="78">IF($I185=0,0,(MIN($I185,J$164)-MIN($I185,J$163))/$I185)</f>
        <v>1</v>
      </c>
      <c r="K169" s="40">
        <f t="shared" si="78"/>
        <v>0</v>
      </c>
      <c r="L169" s="40">
        <f t="shared" si="78"/>
        <v>0</v>
      </c>
      <c r="M169" s="40">
        <f t="shared" si="78"/>
        <v>0</v>
      </c>
      <c r="N169" s="40">
        <f t="shared" si="78"/>
        <v>0</v>
      </c>
      <c r="O169" s="40">
        <f t="shared" si="78"/>
        <v>0</v>
      </c>
      <c r="P169" s="40">
        <f t="shared" si="78"/>
        <v>0</v>
      </c>
      <c r="Q169" s="40">
        <f t="shared" si="78"/>
        <v>0</v>
      </c>
      <c r="R169" s="40">
        <f t="shared" si="78"/>
        <v>0</v>
      </c>
      <c r="S169" s="40">
        <f t="shared" si="78"/>
        <v>0</v>
      </c>
      <c r="T169" s="40">
        <f t="shared" si="78"/>
        <v>0</v>
      </c>
      <c r="U169" s="40">
        <f t="shared" si="78"/>
        <v>0</v>
      </c>
      <c r="V169" s="40">
        <f t="shared" si="78"/>
        <v>0</v>
      </c>
      <c r="W169" s="40">
        <f t="shared" si="78"/>
        <v>0</v>
      </c>
      <c r="X169" s="40">
        <f t="shared" si="78"/>
        <v>0</v>
      </c>
      <c r="Y169" s="40">
        <f t="shared" si="78"/>
        <v>0</v>
      </c>
      <c r="Z169" s="40">
        <f t="shared" si="78"/>
        <v>0</v>
      </c>
      <c r="AA169" s="40">
        <f t="shared" si="78"/>
        <v>0</v>
      </c>
      <c r="AB169" s="40">
        <f t="shared" si="78"/>
        <v>0</v>
      </c>
      <c r="AC169" s="40">
        <f t="shared" si="78"/>
        <v>0</v>
      </c>
      <c r="AD169" s="40">
        <f t="shared" si="78"/>
        <v>0</v>
      </c>
      <c r="AE169" s="40">
        <f t="shared" si="78"/>
        <v>0</v>
      </c>
      <c r="AF169" s="40">
        <f t="shared" si="78"/>
        <v>0</v>
      </c>
      <c r="AG169" s="40">
        <f t="shared" si="78"/>
        <v>0</v>
      </c>
      <c r="AH169" s="40">
        <f t="shared" si="78"/>
        <v>0</v>
      </c>
      <c r="AI169" s="40">
        <f t="shared" si="78"/>
        <v>0</v>
      </c>
      <c r="AJ169" s="40">
        <f t="shared" si="78"/>
        <v>0</v>
      </c>
      <c r="AK169" s="40">
        <f t="shared" si="78"/>
        <v>0</v>
      </c>
      <c r="AL169" s="40">
        <f t="shared" si="78"/>
        <v>0</v>
      </c>
      <c r="AM169" s="40">
        <f t="shared" si="78"/>
        <v>0</v>
      </c>
      <c r="AN169" s="40">
        <f t="shared" si="78"/>
        <v>0</v>
      </c>
      <c r="AO169" s="40">
        <f t="shared" si="78"/>
        <v>0</v>
      </c>
      <c r="AP169" s="40">
        <f t="shared" si="78"/>
        <v>0</v>
      </c>
      <c r="AQ169" s="40">
        <f t="shared" si="78"/>
        <v>0</v>
      </c>
      <c r="AR169" s="40">
        <f t="shared" si="78"/>
        <v>0</v>
      </c>
      <c r="AS169" s="40">
        <f t="shared" si="78"/>
        <v>0</v>
      </c>
    </row>
    <row r="170" spans="2:45" hidden="1" outlineLevel="2" x14ac:dyDescent="0.15">
      <c r="C170" s="107" t="s">
        <v>410</v>
      </c>
      <c r="J170" s="24">
        <f t="shared" ref="J170:AS170" si="79">-$J167*J169</f>
        <v>-5154</v>
      </c>
      <c r="K170" s="24">
        <f t="shared" si="79"/>
        <v>0</v>
      </c>
      <c r="L170" s="24">
        <f t="shared" si="79"/>
        <v>0</v>
      </c>
      <c r="M170" s="24">
        <f t="shared" si="79"/>
        <v>0</v>
      </c>
      <c r="N170" s="24">
        <f t="shared" si="79"/>
        <v>0</v>
      </c>
      <c r="O170" s="24">
        <f t="shared" si="79"/>
        <v>0</v>
      </c>
      <c r="P170" s="24">
        <f t="shared" si="79"/>
        <v>0</v>
      </c>
      <c r="Q170" s="24">
        <f t="shared" si="79"/>
        <v>0</v>
      </c>
      <c r="R170" s="24">
        <f t="shared" si="79"/>
        <v>0</v>
      </c>
      <c r="S170" s="24">
        <f t="shared" si="79"/>
        <v>0</v>
      </c>
      <c r="T170" s="24">
        <f t="shared" si="79"/>
        <v>0</v>
      </c>
      <c r="U170" s="24">
        <f t="shared" si="79"/>
        <v>0</v>
      </c>
      <c r="V170" s="24">
        <f t="shared" si="79"/>
        <v>0</v>
      </c>
      <c r="W170" s="24">
        <f t="shared" si="79"/>
        <v>0</v>
      </c>
      <c r="X170" s="24">
        <f t="shared" si="79"/>
        <v>0</v>
      </c>
      <c r="Y170" s="24">
        <f t="shared" si="79"/>
        <v>0</v>
      </c>
      <c r="Z170" s="24">
        <f t="shared" si="79"/>
        <v>0</v>
      </c>
      <c r="AA170" s="24">
        <f t="shared" si="79"/>
        <v>0</v>
      </c>
      <c r="AB170" s="24">
        <f t="shared" si="79"/>
        <v>0</v>
      </c>
      <c r="AC170" s="24">
        <f t="shared" si="79"/>
        <v>0</v>
      </c>
      <c r="AD170" s="24">
        <f t="shared" si="79"/>
        <v>0</v>
      </c>
      <c r="AE170" s="24">
        <f t="shared" si="79"/>
        <v>0</v>
      </c>
      <c r="AF170" s="24">
        <f t="shared" si="79"/>
        <v>0</v>
      </c>
      <c r="AG170" s="24">
        <f t="shared" si="79"/>
        <v>0</v>
      </c>
      <c r="AH170" s="24">
        <f t="shared" si="79"/>
        <v>0</v>
      </c>
      <c r="AI170" s="24">
        <f t="shared" si="79"/>
        <v>0</v>
      </c>
      <c r="AJ170" s="24">
        <f t="shared" si="79"/>
        <v>0</v>
      </c>
      <c r="AK170" s="24">
        <f t="shared" si="79"/>
        <v>0</v>
      </c>
      <c r="AL170" s="24">
        <f t="shared" si="79"/>
        <v>0</v>
      </c>
      <c r="AM170" s="24">
        <f t="shared" si="79"/>
        <v>0</v>
      </c>
      <c r="AN170" s="24">
        <f t="shared" si="79"/>
        <v>0</v>
      </c>
      <c r="AO170" s="24">
        <f t="shared" si="79"/>
        <v>0</v>
      </c>
      <c r="AP170" s="24">
        <f t="shared" si="79"/>
        <v>0</v>
      </c>
      <c r="AQ170" s="24">
        <f t="shared" si="79"/>
        <v>0</v>
      </c>
      <c r="AR170" s="24">
        <f t="shared" si="79"/>
        <v>0</v>
      </c>
      <c r="AS170" s="24">
        <f t="shared" si="79"/>
        <v>0</v>
      </c>
    </row>
    <row r="171" spans="2:45" hidden="1" outlineLevel="2" x14ac:dyDescent="0.15">
      <c r="F171" s="107" t="str">
        <f>B185</f>
        <v>Cash Payment Delay (Days)</v>
      </c>
      <c r="J171" s="17">
        <f t="shared" ref="J171:AS171" si="80">J185</f>
        <v>30</v>
      </c>
      <c r="K171" s="17">
        <f t="shared" si="80"/>
        <v>30</v>
      </c>
      <c r="L171" s="17">
        <f t="shared" si="80"/>
        <v>30</v>
      </c>
      <c r="M171" s="17">
        <f t="shared" si="80"/>
        <v>30</v>
      </c>
      <c r="N171" s="17">
        <f t="shared" si="80"/>
        <v>30</v>
      </c>
      <c r="O171" s="17">
        <f t="shared" si="80"/>
        <v>30</v>
      </c>
      <c r="P171" s="17">
        <f t="shared" si="80"/>
        <v>30</v>
      </c>
      <c r="Q171" s="17">
        <f t="shared" si="80"/>
        <v>30</v>
      </c>
      <c r="R171" s="17">
        <f t="shared" si="80"/>
        <v>30</v>
      </c>
      <c r="S171" s="17">
        <f t="shared" si="80"/>
        <v>30</v>
      </c>
      <c r="T171" s="17">
        <f t="shared" si="80"/>
        <v>30</v>
      </c>
      <c r="U171" s="17">
        <f t="shared" si="80"/>
        <v>30</v>
      </c>
      <c r="V171" s="17">
        <f t="shared" si="80"/>
        <v>30</v>
      </c>
      <c r="W171" s="17">
        <f t="shared" si="80"/>
        <v>30</v>
      </c>
      <c r="X171" s="17">
        <f t="shared" si="80"/>
        <v>30</v>
      </c>
      <c r="Y171" s="17">
        <f t="shared" si="80"/>
        <v>30</v>
      </c>
      <c r="Z171" s="17">
        <f t="shared" si="80"/>
        <v>30</v>
      </c>
      <c r="AA171" s="17">
        <f t="shared" si="80"/>
        <v>30</v>
      </c>
      <c r="AB171" s="17">
        <f t="shared" si="80"/>
        <v>30</v>
      </c>
      <c r="AC171" s="17">
        <f t="shared" si="80"/>
        <v>30</v>
      </c>
      <c r="AD171" s="17">
        <f t="shared" si="80"/>
        <v>30</v>
      </c>
      <c r="AE171" s="17">
        <f t="shared" si="80"/>
        <v>30</v>
      </c>
      <c r="AF171" s="17">
        <f t="shared" si="80"/>
        <v>30</v>
      </c>
      <c r="AG171" s="17">
        <f t="shared" si="80"/>
        <v>30</v>
      </c>
      <c r="AH171" s="17">
        <f t="shared" si="80"/>
        <v>30</v>
      </c>
      <c r="AI171" s="17">
        <f t="shared" si="80"/>
        <v>30</v>
      </c>
      <c r="AJ171" s="17">
        <f t="shared" si="80"/>
        <v>30</v>
      </c>
      <c r="AK171" s="17">
        <f t="shared" si="80"/>
        <v>30</v>
      </c>
      <c r="AL171" s="17">
        <f t="shared" si="80"/>
        <v>30</v>
      </c>
      <c r="AM171" s="17">
        <f t="shared" si="80"/>
        <v>30</v>
      </c>
      <c r="AN171" s="17">
        <f t="shared" si="80"/>
        <v>30</v>
      </c>
      <c r="AO171" s="17">
        <f t="shared" si="80"/>
        <v>30</v>
      </c>
      <c r="AP171" s="17">
        <f t="shared" si="80"/>
        <v>30</v>
      </c>
      <c r="AQ171" s="17">
        <f t="shared" si="80"/>
        <v>30</v>
      </c>
      <c r="AR171" s="17">
        <f t="shared" si="80"/>
        <v>30</v>
      </c>
      <c r="AS171" s="17">
        <f t="shared" si="80"/>
        <v>30</v>
      </c>
    </row>
    <row r="172" spans="2:45" hidden="1" outlineLevel="2" x14ac:dyDescent="0.15">
      <c r="F172" s="107" t="s">
        <v>411</v>
      </c>
      <c r="J172" s="17">
        <f t="shared" ref="J172:AS172" si="81">J$163+J171</f>
        <v>30</v>
      </c>
      <c r="K172" s="17">
        <f t="shared" si="81"/>
        <v>61</v>
      </c>
      <c r="L172" s="17">
        <f t="shared" si="81"/>
        <v>91</v>
      </c>
      <c r="M172" s="17">
        <f t="shared" si="81"/>
        <v>122</v>
      </c>
      <c r="N172" s="17">
        <f t="shared" si="81"/>
        <v>152</v>
      </c>
      <c r="O172" s="17">
        <f t="shared" si="81"/>
        <v>183</v>
      </c>
      <c r="P172" s="17">
        <f t="shared" si="81"/>
        <v>214</v>
      </c>
      <c r="Q172" s="17">
        <f t="shared" si="81"/>
        <v>243</v>
      </c>
      <c r="R172" s="17">
        <f t="shared" si="81"/>
        <v>274</v>
      </c>
      <c r="S172" s="17">
        <f t="shared" si="81"/>
        <v>304</v>
      </c>
      <c r="T172" s="17">
        <f t="shared" si="81"/>
        <v>335</v>
      </c>
      <c r="U172" s="17">
        <f t="shared" si="81"/>
        <v>365</v>
      </c>
      <c r="V172" s="17">
        <f t="shared" si="81"/>
        <v>396</v>
      </c>
      <c r="W172" s="17">
        <f t="shared" si="81"/>
        <v>427</v>
      </c>
      <c r="X172" s="17">
        <f t="shared" si="81"/>
        <v>457</v>
      </c>
      <c r="Y172" s="17">
        <f t="shared" si="81"/>
        <v>488</v>
      </c>
      <c r="Z172" s="17">
        <f t="shared" si="81"/>
        <v>518</v>
      </c>
      <c r="AA172" s="17">
        <f t="shared" si="81"/>
        <v>549</v>
      </c>
      <c r="AB172" s="17">
        <f t="shared" si="81"/>
        <v>580</v>
      </c>
      <c r="AC172" s="17">
        <f t="shared" si="81"/>
        <v>608</v>
      </c>
      <c r="AD172" s="17">
        <f t="shared" si="81"/>
        <v>639</v>
      </c>
      <c r="AE172" s="17">
        <f t="shared" si="81"/>
        <v>669</v>
      </c>
      <c r="AF172" s="17">
        <f t="shared" si="81"/>
        <v>700</v>
      </c>
      <c r="AG172" s="17">
        <f t="shared" si="81"/>
        <v>730</v>
      </c>
      <c r="AH172" s="17">
        <f t="shared" si="81"/>
        <v>761</v>
      </c>
      <c r="AI172" s="17">
        <f t="shared" si="81"/>
        <v>792</v>
      </c>
      <c r="AJ172" s="17">
        <f t="shared" si="81"/>
        <v>822</v>
      </c>
      <c r="AK172" s="17">
        <f t="shared" si="81"/>
        <v>853</v>
      </c>
      <c r="AL172" s="17">
        <f t="shared" si="81"/>
        <v>883</v>
      </c>
      <c r="AM172" s="17">
        <f t="shared" si="81"/>
        <v>914</v>
      </c>
      <c r="AN172" s="17">
        <f t="shared" si="81"/>
        <v>945</v>
      </c>
      <c r="AO172" s="17">
        <f t="shared" si="81"/>
        <v>973</v>
      </c>
      <c r="AP172" s="17">
        <f t="shared" si="81"/>
        <v>1004</v>
      </c>
      <c r="AQ172" s="17">
        <f t="shared" si="81"/>
        <v>1034</v>
      </c>
      <c r="AR172" s="17">
        <f t="shared" si="81"/>
        <v>1065</v>
      </c>
      <c r="AS172" s="17">
        <f t="shared" si="81"/>
        <v>1095</v>
      </c>
    </row>
    <row r="173" spans="2:45" hidden="1" outlineLevel="2" x14ac:dyDescent="0.15">
      <c r="F173" s="107" t="s">
        <v>412</v>
      </c>
      <c r="J173" s="17">
        <f t="shared" ref="J173:AS173" si="82">J172+J$162</f>
        <v>61</v>
      </c>
      <c r="K173" s="17">
        <f t="shared" si="82"/>
        <v>91</v>
      </c>
      <c r="L173" s="17">
        <f t="shared" si="82"/>
        <v>122</v>
      </c>
      <c r="M173" s="17">
        <f t="shared" si="82"/>
        <v>152</v>
      </c>
      <c r="N173" s="17">
        <f t="shared" si="82"/>
        <v>183</v>
      </c>
      <c r="O173" s="17">
        <f t="shared" si="82"/>
        <v>214</v>
      </c>
      <c r="P173" s="17">
        <f t="shared" si="82"/>
        <v>243</v>
      </c>
      <c r="Q173" s="17">
        <f t="shared" si="82"/>
        <v>274</v>
      </c>
      <c r="R173" s="17">
        <f t="shared" si="82"/>
        <v>304</v>
      </c>
      <c r="S173" s="17">
        <f t="shared" si="82"/>
        <v>335</v>
      </c>
      <c r="T173" s="17">
        <f t="shared" si="82"/>
        <v>365</v>
      </c>
      <c r="U173" s="17">
        <f t="shared" si="82"/>
        <v>396</v>
      </c>
      <c r="V173" s="17">
        <f t="shared" si="82"/>
        <v>427</v>
      </c>
      <c r="W173" s="17">
        <f t="shared" si="82"/>
        <v>457</v>
      </c>
      <c r="X173" s="17">
        <f t="shared" si="82"/>
        <v>488</v>
      </c>
      <c r="Y173" s="17">
        <f t="shared" si="82"/>
        <v>518</v>
      </c>
      <c r="Z173" s="17">
        <f t="shared" si="82"/>
        <v>549</v>
      </c>
      <c r="AA173" s="17">
        <f t="shared" si="82"/>
        <v>580</v>
      </c>
      <c r="AB173" s="17">
        <f t="shared" si="82"/>
        <v>608</v>
      </c>
      <c r="AC173" s="17">
        <f t="shared" si="82"/>
        <v>639</v>
      </c>
      <c r="AD173" s="17">
        <f t="shared" si="82"/>
        <v>669</v>
      </c>
      <c r="AE173" s="17">
        <f t="shared" si="82"/>
        <v>700</v>
      </c>
      <c r="AF173" s="17">
        <f t="shared" si="82"/>
        <v>730</v>
      </c>
      <c r="AG173" s="17">
        <f t="shared" si="82"/>
        <v>761</v>
      </c>
      <c r="AH173" s="17">
        <f t="shared" si="82"/>
        <v>792</v>
      </c>
      <c r="AI173" s="17">
        <f t="shared" si="82"/>
        <v>822</v>
      </c>
      <c r="AJ173" s="17">
        <f t="shared" si="82"/>
        <v>853</v>
      </c>
      <c r="AK173" s="17">
        <f t="shared" si="82"/>
        <v>883</v>
      </c>
      <c r="AL173" s="17">
        <f t="shared" si="82"/>
        <v>914</v>
      </c>
      <c r="AM173" s="17">
        <f t="shared" si="82"/>
        <v>945</v>
      </c>
      <c r="AN173" s="17">
        <f t="shared" si="82"/>
        <v>973</v>
      </c>
      <c r="AO173" s="17">
        <f t="shared" si="82"/>
        <v>1004</v>
      </c>
      <c r="AP173" s="17">
        <f t="shared" si="82"/>
        <v>1034</v>
      </c>
      <c r="AQ173" s="17">
        <f t="shared" si="82"/>
        <v>1065</v>
      </c>
      <c r="AR173" s="17">
        <f t="shared" si="82"/>
        <v>1095</v>
      </c>
      <c r="AS173" s="17">
        <f t="shared" si="82"/>
        <v>1126</v>
      </c>
    </row>
    <row r="174" spans="2:45" hidden="1" outlineLevel="2" x14ac:dyDescent="0.15">
      <c r="F174" s="107" t="s">
        <v>413</v>
      </c>
      <c r="J174" s="41">
        <f t="shared" ref="J174:AS174" si="83">IF(J172&gt;MAX($J$164:$AS$164),0,MATCH(J172,$J$163:$AS$163,1))</f>
        <v>1</v>
      </c>
      <c r="K174" s="41">
        <f t="shared" si="83"/>
        <v>3</v>
      </c>
      <c r="L174" s="41">
        <f t="shared" si="83"/>
        <v>3</v>
      </c>
      <c r="M174" s="41">
        <f t="shared" si="83"/>
        <v>5</v>
      </c>
      <c r="N174" s="41">
        <f t="shared" si="83"/>
        <v>5</v>
      </c>
      <c r="O174" s="41">
        <f t="shared" si="83"/>
        <v>6</v>
      </c>
      <c r="P174" s="41">
        <f t="shared" si="83"/>
        <v>8</v>
      </c>
      <c r="Q174" s="41">
        <f t="shared" si="83"/>
        <v>8</v>
      </c>
      <c r="R174" s="41">
        <f t="shared" si="83"/>
        <v>10</v>
      </c>
      <c r="S174" s="41">
        <f t="shared" si="83"/>
        <v>10</v>
      </c>
      <c r="T174" s="41">
        <f t="shared" si="83"/>
        <v>12</v>
      </c>
      <c r="U174" s="41">
        <f t="shared" si="83"/>
        <v>12</v>
      </c>
      <c r="V174" s="41">
        <f t="shared" si="83"/>
        <v>13</v>
      </c>
      <c r="W174" s="41">
        <f t="shared" si="83"/>
        <v>15</v>
      </c>
      <c r="X174" s="41">
        <f t="shared" si="83"/>
        <v>15</v>
      </c>
      <c r="Y174" s="41">
        <f t="shared" si="83"/>
        <v>17</v>
      </c>
      <c r="Z174" s="41">
        <f t="shared" si="83"/>
        <v>17</v>
      </c>
      <c r="AA174" s="41">
        <f t="shared" si="83"/>
        <v>18</v>
      </c>
      <c r="AB174" s="41">
        <f t="shared" si="83"/>
        <v>20</v>
      </c>
      <c r="AC174" s="41">
        <f t="shared" si="83"/>
        <v>20</v>
      </c>
      <c r="AD174" s="41">
        <f t="shared" si="83"/>
        <v>22</v>
      </c>
      <c r="AE174" s="41">
        <f t="shared" si="83"/>
        <v>22</v>
      </c>
      <c r="AF174" s="41">
        <f t="shared" si="83"/>
        <v>24</v>
      </c>
      <c r="AG174" s="41">
        <f t="shared" si="83"/>
        <v>24</v>
      </c>
      <c r="AH174" s="41">
        <f t="shared" si="83"/>
        <v>25</v>
      </c>
      <c r="AI174" s="41">
        <f t="shared" si="83"/>
        <v>27</v>
      </c>
      <c r="AJ174" s="41">
        <f t="shared" si="83"/>
        <v>27</v>
      </c>
      <c r="AK174" s="41">
        <f t="shared" si="83"/>
        <v>29</v>
      </c>
      <c r="AL174" s="41">
        <f t="shared" si="83"/>
        <v>29</v>
      </c>
      <c r="AM174" s="41">
        <f t="shared" si="83"/>
        <v>30</v>
      </c>
      <c r="AN174" s="41">
        <f t="shared" si="83"/>
        <v>32</v>
      </c>
      <c r="AO174" s="41">
        <f t="shared" si="83"/>
        <v>32</v>
      </c>
      <c r="AP174" s="41">
        <f t="shared" si="83"/>
        <v>34</v>
      </c>
      <c r="AQ174" s="41">
        <f t="shared" si="83"/>
        <v>34</v>
      </c>
      <c r="AR174" s="41">
        <f t="shared" si="83"/>
        <v>36</v>
      </c>
      <c r="AS174" s="41">
        <f t="shared" si="83"/>
        <v>36</v>
      </c>
    </row>
    <row r="175" spans="2:45" hidden="1" outlineLevel="2" x14ac:dyDescent="0.15">
      <c r="F175" s="107" t="s">
        <v>414</v>
      </c>
      <c r="J175" s="17">
        <f t="shared" ref="J175:AS175" si="84">IF(J174&lt;1,0,IF(J174&gt;=COLUMNS($J174:$AS174),0,J174+1))</f>
        <v>2</v>
      </c>
      <c r="K175" s="17">
        <f t="shared" si="84"/>
        <v>4</v>
      </c>
      <c r="L175" s="17">
        <f t="shared" si="84"/>
        <v>4</v>
      </c>
      <c r="M175" s="17">
        <f t="shared" si="84"/>
        <v>6</v>
      </c>
      <c r="N175" s="17">
        <f t="shared" si="84"/>
        <v>6</v>
      </c>
      <c r="O175" s="17">
        <f t="shared" si="84"/>
        <v>7</v>
      </c>
      <c r="P175" s="17">
        <f t="shared" si="84"/>
        <v>9</v>
      </c>
      <c r="Q175" s="17">
        <f t="shared" si="84"/>
        <v>9</v>
      </c>
      <c r="R175" s="17">
        <f t="shared" si="84"/>
        <v>11</v>
      </c>
      <c r="S175" s="17">
        <f t="shared" si="84"/>
        <v>11</v>
      </c>
      <c r="T175" s="17">
        <f t="shared" si="84"/>
        <v>13</v>
      </c>
      <c r="U175" s="17">
        <f t="shared" si="84"/>
        <v>13</v>
      </c>
      <c r="V175" s="17">
        <f t="shared" si="84"/>
        <v>14</v>
      </c>
      <c r="W175" s="17">
        <f t="shared" si="84"/>
        <v>16</v>
      </c>
      <c r="X175" s="17">
        <f t="shared" si="84"/>
        <v>16</v>
      </c>
      <c r="Y175" s="17">
        <f t="shared" si="84"/>
        <v>18</v>
      </c>
      <c r="Z175" s="17">
        <f t="shared" si="84"/>
        <v>18</v>
      </c>
      <c r="AA175" s="17">
        <f t="shared" si="84"/>
        <v>19</v>
      </c>
      <c r="AB175" s="17">
        <f t="shared" si="84"/>
        <v>21</v>
      </c>
      <c r="AC175" s="17">
        <f t="shared" si="84"/>
        <v>21</v>
      </c>
      <c r="AD175" s="17">
        <f t="shared" si="84"/>
        <v>23</v>
      </c>
      <c r="AE175" s="17">
        <f t="shared" si="84"/>
        <v>23</v>
      </c>
      <c r="AF175" s="17">
        <f t="shared" si="84"/>
        <v>25</v>
      </c>
      <c r="AG175" s="17">
        <f t="shared" si="84"/>
        <v>25</v>
      </c>
      <c r="AH175" s="17">
        <f t="shared" si="84"/>
        <v>26</v>
      </c>
      <c r="AI175" s="17">
        <f t="shared" si="84"/>
        <v>28</v>
      </c>
      <c r="AJ175" s="17">
        <f t="shared" si="84"/>
        <v>28</v>
      </c>
      <c r="AK175" s="17">
        <f t="shared" si="84"/>
        <v>30</v>
      </c>
      <c r="AL175" s="17">
        <f t="shared" si="84"/>
        <v>30</v>
      </c>
      <c r="AM175" s="17">
        <f t="shared" si="84"/>
        <v>31</v>
      </c>
      <c r="AN175" s="17">
        <f t="shared" si="84"/>
        <v>33</v>
      </c>
      <c r="AO175" s="17">
        <f t="shared" si="84"/>
        <v>33</v>
      </c>
      <c r="AP175" s="17">
        <f t="shared" si="84"/>
        <v>35</v>
      </c>
      <c r="AQ175" s="17">
        <f t="shared" si="84"/>
        <v>35</v>
      </c>
      <c r="AR175" s="17">
        <f t="shared" si="84"/>
        <v>0</v>
      </c>
      <c r="AS175" s="17">
        <f t="shared" si="84"/>
        <v>0</v>
      </c>
    </row>
    <row r="176" spans="2:45" hidden="1" outlineLevel="2" x14ac:dyDescent="0.15">
      <c r="F176" s="107" t="s">
        <v>415</v>
      </c>
      <c r="J176" s="42">
        <f t="shared" ref="J176:AS176" si="85">IF(J175&lt;1,0,IF(J175&gt;=COLUMNS($J175:$AS175),0,J175+1))</f>
        <v>3</v>
      </c>
      <c r="K176" s="42">
        <f t="shared" si="85"/>
        <v>5</v>
      </c>
      <c r="L176" s="42">
        <f t="shared" si="85"/>
        <v>5</v>
      </c>
      <c r="M176" s="42">
        <f t="shared" si="85"/>
        <v>7</v>
      </c>
      <c r="N176" s="42">
        <f t="shared" si="85"/>
        <v>7</v>
      </c>
      <c r="O176" s="42">
        <f t="shared" si="85"/>
        <v>8</v>
      </c>
      <c r="P176" s="42">
        <f t="shared" si="85"/>
        <v>10</v>
      </c>
      <c r="Q176" s="42">
        <f t="shared" si="85"/>
        <v>10</v>
      </c>
      <c r="R176" s="42">
        <f t="shared" si="85"/>
        <v>12</v>
      </c>
      <c r="S176" s="42">
        <f t="shared" si="85"/>
        <v>12</v>
      </c>
      <c r="T176" s="42">
        <f t="shared" si="85"/>
        <v>14</v>
      </c>
      <c r="U176" s="42">
        <f t="shared" si="85"/>
        <v>14</v>
      </c>
      <c r="V176" s="42">
        <f t="shared" si="85"/>
        <v>15</v>
      </c>
      <c r="W176" s="42">
        <f t="shared" si="85"/>
        <v>17</v>
      </c>
      <c r="X176" s="42">
        <f t="shared" si="85"/>
        <v>17</v>
      </c>
      <c r="Y176" s="42">
        <f t="shared" si="85"/>
        <v>19</v>
      </c>
      <c r="Z176" s="42">
        <f t="shared" si="85"/>
        <v>19</v>
      </c>
      <c r="AA176" s="42">
        <f t="shared" si="85"/>
        <v>20</v>
      </c>
      <c r="AB176" s="42">
        <f t="shared" si="85"/>
        <v>22</v>
      </c>
      <c r="AC176" s="42">
        <f t="shared" si="85"/>
        <v>22</v>
      </c>
      <c r="AD176" s="42">
        <f t="shared" si="85"/>
        <v>24</v>
      </c>
      <c r="AE176" s="42">
        <f t="shared" si="85"/>
        <v>24</v>
      </c>
      <c r="AF176" s="42">
        <f t="shared" si="85"/>
        <v>26</v>
      </c>
      <c r="AG176" s="42">
        <f t="shared" si="85"/>
        <v>26</v>
      </c>
      <c r="AH176" s="42">
        <f t="shared" si="85"/>
        <v>27</v>
      </c>
      <c r="AI176" s="42">
        <f t="shared" si="85"/>
        <v>29</v>
      </c>
      <c r="AJ176" s="42">
        <f t="shared" si="85"/>
        <v>29</v>
      </c>
      <c r="AK176" s="42">
        <f t="shared" si="85"/>
        <v>31</v>
      </c>
      <c r="AL176" s="42">
        <f t="shared" si="85"/>
        <v>31</v>
      </c>
      <c r="AM176" s="42">
        <f t="shared" si="85"/>
        <v>32</v>
      </c>
      <c r="AN176" s="42">
        <f t="shared" si="85"/>
        <v>34</v>
      </c>
      <c r="AO176" s="42">
        <f t="shared" si="85"/>
        <v>34</v>
      </c>
      <c r="AP176" s="42">
        <f t="shared" si="85"/>
        <v>36</v>
      </c>
      <c r="AQ176" s="42">
        <f t="shared" si="85"/>
        <v>36</v>
      </c>
      <c r="AR176" s="42">
        <f t="shared" si="85"/>
        <v>0</v>
      </c>
      <c r="AS176" s="42">
        <f t="shared" si="85"/>
        <v>0</v>
      </c>
    </row>
    <row r="177" spans="2:45" hidden="1" outlineLevel="2" x14ac:dyDescent="0.15">
      <c r="F177" s="107" t="s">
        <v>416</v>
      </c>
      <c r="J177" s="14">
        <f t="shared" ref="J177:AS177" si="86">J168/J$162*MAX(MIN(INDEX($J$164:$AS$164,J174),J173)-J172,0)</f>
        <v>10.32258064516129</v>
      </c>
      <c r="K177" s="14">
        <f t="shared" si="86"/>
        <v>320</v>
      </c>
      <c r="L177" s="14">
        <f t="shared" si="86"/>
        <v>10.32258064516129</v>
      </c>
      <c r="M177" s="14">
        <f t="shared" si="86"/>
        <v>320</v>
      </c>
      <c r="N177" s="14">
        <f t="shared" si="86"/>
        <v>10.32258064516129</v>
      </c>
      <c r="O177" s="14">
        <f t="shared" si="86"/>
        <v>10.32258064516129</v>
      </c>
      <c r="P177" s="14">
        <f t="shared" si="86"/>
        <v>320</v>
      </c>
      <c r="Q177" s="14">
        <f t="shared" si="86"/>
        <v>10.32258064516129</v>
      </c>
      <c r="R177" s="14">
        <f t="shared" si="86"/>
        <v>320</v>
      </c>
      <c r="S177" s="14">
        <f t="shared" si="86"/>
        <v>10.32258064516129</v>
      </c>
      <c r="T177" s="14">
        <f t="shared" si="86"/>
        <v>320</v>
      </c>
      <c r="U177" s="14">
        <f t="shared" si="86"/>
        <v>10.32258064516129</v>
      </c>
      <c r="V177" s="14">
        <f t="shared" si="86"/>
        <v>10.32258064516129</v>
      </c>
      <c r="W177" s="14">
        <f t="shared" si="86"/>
        <v>320</v>
      </c>
      <c r="X177" s="14">
        <f t="shared" si="86"/>
        <v>10.32258064516129</v>
      </c>
      <c r="Y177" s="14">
        <f t="shared" si="86"/>
        <v>320</v>
      </c>
      <c r="Z177" s="14">
        <f t="shared" si="86"/>
        <v>10.32258064516129</v>
      </c>
      <c r="AA177" s="14">
        <f t="shared" si="86"/>
        <v>10.32258064516129</v>
      </c>
      <c r="AB177" s="14">
        <f t="shared" si="86"/>
        <v>320</v>
      </c>
      <c r="AC177" s="14">
        <f t="shared" si="86"/>
        <v>10.32258064516129</v>
      </c>
      <c r="AD177" s="14">
        <f t="shared" si="86"/>
        <v>320</v>
      </c>
      <c r="AE177" s="14">
        <f t="shared" si="86"/>
        <v>10.32258064516129</v>
      </c>
      <c r="AF177" s="14">
        <f t="shared" si="86"/>
        <v>320</v>
      </c>
      <c r="AG177" s="14">
        <f t="shared" si="86"/>
        <v>10.32258064516129</v>
      </c>
      <c r="AH177" s="14">
        <f t="shared" si="86"/>
        <v>10.32258064516129</v>
      </c>
      <c r="AI177" s="14">
        <f t="shared" si="86"/>
        <v>320</v>
      </c>
      <c r="AJ177" s="14">
        <f t="shared" si="86"/>
        <v>10.32258064516129</v>
      </c>
      <c r="AK177" s="14">
        <f t="shared" si="86"/>
        <v>320</v>
      </c>
      <c r="AL177" s="14">
        <f t="shared" si="86"/>
        <v>10.32258064516129</v>
      </c>
      <c r="AM177" s="14">
        <f t="shared" si="86"/>
        <v>10.32258064516129</v>
      </c>
      <c r="AN177" s="14">
        <f t="shared" si="86"/>
        <v>320</v>
      </c>
      <c r="AO177" s="14">
        <f t="shared" si="86"/>
        <v>10.32258064516129</v>
      </c>
      <c r="AP177" s="14">
        <f t="shared" si="86"/>
        <v>320</v>
      </c>
      <c r="AQ177" s="14">
        <f t="shared" si="86"/>
        <v>10.32258064516129</v>
      </c>
      <c r="AR177" s="14">
        <f t="shared" si="86"/>
        <v>320</v>
      </c>
      <c r="AS177" s="14">
        <f t="shared" si="86"/>
        <v>10.32258064516129</v>
      </c>
    </row>
    <row r="178" spans="2:45" hidden="1" outlineLevel="2" x14ac:dyDescent="0.15">
      <c r="F178" s="107" t="s">
        <v>417</v>
      </c>
      <c r="J178" s="14">
        <f t="shared" ref="J178:AS178" si="87">J168/J$162*MAX(MIN(INDEX($J$164:$AS$164,J175),J173)-INDEX($J$163:$AS$163,J175),0)</f>
        <v>309.67741935483872</v>
      </c>
      <c r="K178" s="14">
        <f t="shared" si="87"/>
        <v>0</v>
      </c>
      <c r="L178" s="14">
        <f t="shared" si="87"/>
        <v>309.67741935483872</v>
      </c>
      <c r="M178" s="14">
        <f t="shared" si="87"/>
        <v>0</v>
      </c>
      <c r="N178" s="14">
        <f t="shared" si="87"/>
        <v>309.67741935483872</v>
      </c>
      <c r="O178" s="14">
        <f t="shared" si="87"/>
        <v>299.35483870967744</v>
      </c>
      <c r="P178" s="14">
        <f t="shared" si="87"/>
        <v>0</v>
      </c>
      <c r="Q178" s="14">
        <f t="shared" si="87"/>
        <v>309.67741935483872</v>
      </c>
      <c r="R178" s="14">
        <f t="shared" si="87"/>
        <v>0</v>
      </c>
      <c r="S178" s="14">
        <f t="shared" si="87"/>
        <v>309.67741935483872</v>
      </c>
      <c r="T178" s="14">
        <f t="shared" si="87"/>
        <v>0</v>
      </c>
      <c r="U178" s="14">
        <f t="shared" si="87"/>
        <v>309.67741935483872</v>
      </c>
      <c r="V178" s="14">
        <f t="shared" si="87"/>
        <v>309.67741935483872</v>
      </c>
      <c r="W178" s="14">
        <f t="shared" si="87"/>
        <v>0</v>
      </c>
      <c r="X178" s="14">
        <f t="shared" si="87"/>
        <v>309.67741935483872</v>
      </c>
      <c r="Y178" s="14">
        <f t="shared" si="87"/>
        <v>0</v>
      </c>
      <c r="Z178" s="14">
        <f t="shared" si="87"/>
        <v>309.67741935483872</v>
      </c>
      <c r="AA178" s="14">
        <f t="shared" si="87"/>
        <v>289.0322580645161</v>
      </c>
      <c r="AB178" s="14">
        <f t="shared" si="87"/>
        <v>0</v>
      </c>
      <c r="AC178" s="14">
        <f t="shared" si="87"/>
        <v>309.67741935483872</v>
      </c>
      <c r="AD178" s="14">
        <f t="shared" si="87"/>
        <v>0</v>
      </c>
      <c r="AE178" s="14">
        <f t="shared" si="87"/>
        <v>309.67741935483872</v>
      </c>
      <c r="AF178" s="14">
        <f t="shared" si="87"/>
        <v>0</v>
      </c>
      <c r="AG178" s="14">
        <f t="shared" si="87"/>
        <v>309.67741935483872</v>
      </c>
      <c r="AH178" s="14">
        <f t="shared" si="87"/>
        <v>309.67741935483872</v>
      </c>
      <c r="AI178" s="14">
        <f t="shared" si="87"/>
        <v>0</v>
      </c>
      <c r="AJ178" s="14">
        <f t="shared" si="87"/>
        <v>309.67741935483872</v>
      </c>
      <c r="AK178" s="14">
        <f t="shared" si="87"/>
        <v>0</v>
      </c>
      <c r="AL178" s="14">
        <f t="shared" si="87"/>
        <v>309.67741935483872</v>
      </c>
      <c r="AM178" s="14">
        <f t="shared" si="87"/>
        <v>289.0322580645161</v>
      </c>
      <c r="AN178" s="14">
        <f t="shared" si="87"/>
        <v>0</v>
      </c>
      <c r="AO178" s="14">
        <f t="shared" si="87"/>
        <v>309.67741935483872</v>
      </c>
      <c r="AP178" s="14">
        <f t="shared" si="87"/>
        <v>0</v>
      </c>
      <c r="AQ178" s="14">
        <f t="shared" si="87"/>
        <v>309.67741935483872</v>
      </c>
      <c r="AR178" s="14">
        <f t="shared" si="87"/>
        <v>0</v>
      </c>
      <c r="AS178" s="14">
        <f t="shared" si="87"/>
        <v>0</v>
      </c>
    </row>
    <row r="179" spans="2:45" hidden="1" outlineLevel="2" x14ac:dyDescent="0.15">
      <c r="F179" s="107" t="s">
        <v>418</v>
      </c>
      <c r="J179" s="24">
        <f t="shared" ref="J179:AS179" si="88">J168/J$162*MAX(MIN(INDEX($J$164:$AS$164,J176),J173)-INDEX($J$163:$AS$163,J176),0)</f>
        <v>0</v>
      </c>
      <c r="K179" s="24">
        <f t="shared" si="88"/>
        <v>0</v>
      </c>
      <c r="L179" s="24">
        <f t="shared" si="88"/>
        <v>0</v>
      </c>
      <c r="M179" s="24">
        <f t="shared" si="88"/>
        <v>0</v>
      </c>
      <c r="N179" s="24">
        <f t="shared" si="88"/>
        <v>0</v>
      </c>
      <c r="O179" s="24">
        <f t="shared" si="88"/>
        <v>10.32258064516129</v>
      </c>
      <c r="P179" s="24">
        <f t="shared" si="88"/>
        <v>0</v>
      </c>
      <c r="Q179" s="24">
        <f t="shared" si="88"/>
        <v>0</v>
      </c>
      <c r="R179" s="24">
        <f t="shared" si="88"/>
        <v>0</v>
      </c>
      <c r="S179" s="24">
        <f t="shared" si="88"/>
        <v>0</v>
      </c>
      <c r="T179" s="24">
        <f t="shared" si="88"/>
        <v>0</v>
      </c>
      <c r="U179" s="24">
        <f t="shared" si="88"/>
        <v>0</v>
      </c>
      <c r="V179" s="24">
        <f t="shared" si="88"/>
        <v>0</v>
      </c>
      <c r="W179" s="24">
        <f t="shared" si="88"/>
        <v>0</v>
      </c>
      <c r="X179" s="24">
        <f t="shared" si="88"/>
        <v>0</v>
      </c>
      <c r="Y179" s="24">
        <f t="shared" si="88"/>
        <v>0</v>
      </c>
      <c r="Z179" s="24">
        <f t="shared" si="88"/>
        <v>0</v>
      </c>
      <c r="AA179" s="24">
        <f t="shared" si="88"/>
        <v>20.64516129032258</v>
      </c>
      <c r="AB179" s="24">
        <f t="shared" si="88"/>
        <v>0</v>
      </c>
      <c r="AC179" s="24">
        <f t="shared" si="88"/>
        <v>0</v>
      </c>
      <c r="AD179" s="24">
        <f t="shared" si="88"/>
        <v>0</v>
      </c>
      <c r="AE179" s="24">
        <f t="shared" si="88"/>
        <v>0</v>
      </c>
      <c r="AF179" s="24">
        <f t="shared" si="88"/>
        <v>0</v>
      </c>
      <c r="AG179" s="24">
        <f t="shared" si="88"/>
        <v>0</v>
      </c>
      <c r="AH179" s="24">
        <f t="shared" si="88"/>
        <v>0</v>
      </c>
      <c r="AI179" s="24">
        <f t="shared" si="88"/>
        <v>0</v>
      </c>
      <c r="AJ179" s="24">
        <f t="shared" si="88"/>
        <v>0</v>
      </c>
      <c r="AK179" s="24">
        <f t="shared" si="88"/>
        <v>0</v>
      </c>
      <c r="AL179" s="24">
        <f t="shared" si="88"/>
        <v>0</v>
      </c>
      <c r="AM179" s="24">
        <f t="shared" si="88"/>
        <v>20.64516129032258</v>
      </c>
      <c r="AN179" s="24">
        <f t="shared" si="88"/>
        <v>0</v>
      </c>
      <c r="AO179" s="24">
        <f t="shared" si="88"/>
        <v>0</v>
      </c>
      <c r="AP179" s="24">
        <f t="shared" si="88"/>
        <v>0</v>
      </c>
      <c r="AQ179" s="24">
        <f t="shared" si="88"/>
        <v>0</v>
      </c>
      <c r="AR179" s="24">
        <f t="shared" si="88"/>
        <v>0</v>
      </c>
      <c r="AS179" s="24">
        <f t="shared" si="88"/>
        <v>0</v>
      </c>
    </row>
    <row r="180" spans="2:45" hidden="1" outlineLevel="2" x14ac:dyDescent="0.15">
      <c r="C180" s="107" t="s">
        <v>419</v>
      </c>
      <c r="J180" s="14">
        <f t="shared" ref="J180:AS180" si="89">-SUMPRODUCT((($J174:$AS176)=J$8)*$J177:$AS179)</f>
        <v>-10.32258064516129</v>
      </c>
      <c r="K180" s="14">
        <f t="shared" si="89"/>
        <v>-309.67741935483872</v>
      </c>
      <c r="L180" s="14">
        <f t="shared" si="89"/>
        <v>-330.32258064516128</v>
      </c>
      <c r="M180" s="14">
        <f t="shared" si="89"/>
        <v>-309.67741935483872</v>
      </c>
      <c r="N180" s="14">
        <f t="shared" si="89"/>
        <v>-330.32258064516128</v>
      </c>
      <c r="O180" s="14">
        <f t="shared" si="89"/>
        <v>-320</v>
      </c>
      <c r="P180" s="14">
        <f t="shared" si="89"/>
        <v>-299.35483870967744</v>
      </c>
      <c r="Q180" s="14">
        <f t="shared" si="89"/>
        <v>-340.64516129032256</v>
      </c>
      <c r="R180" s="14">
        <f t="shared" si="89"/>
        <v>-309.67741935483872</v>
      </c>
      <c r="S180" s="14">
        <f t="shared" si="89"/>
        <v>-330.32258064516128</v>
      </c>
      <c r="T180" s="14">
        <f t="shared" si="89"/>
        <v>-309.67741935483872</v>
      </c>
      <c r="U180" s="14">
        <f t="shared" si="89"/>
        <v>-330.32258064516128</v>
      </c>
      <c r="V180" s="14">
        <f t="shared" si="89"/>
        <v>-320</v>
      </c>
      <c r="W180" s="14">
        <f t="shared" si="89"/>
        <v>-309.67741935483872</v>
      </c>
      <c r="X180" s="14">
        <f t="shared" si="89"/>
        <v>-330.32258064516128</v>
      </c>
      <c r="Y180" s="14">
        <f t="shared" si="89"/>
        <v>-309.67741935483872</v>
      </c>
      <c r="Z180" s="14">
        <f t="shared" si="89"/>
        <v>-330.32258064516128</v>
      </c>
      <c r="AA180" s="14">
        <f t="shared" si="89"/>
        <v>-320</v>
      </c>
      <c r="AB180" s="14">
        <f t="shared" si="89"/>
        <v>-289.0322580645161</v>
      </c>
      <c r="AC180" s="14">
        <f t="shared" si="89"/>
        <v>-350.96774193548384</v>
      </c>
      <c r="AD180" s="14">
        <f t="shared" si="89"/>
        <v>-309.67741935483872</v>
      </c>
      <c r="AE180" s="14">
        <f t="shared" si="89"/>
        <v>-330.32258064516128</v>
      </c>
      <c r="AF180" s="14">
        <f t="shared" si="89"/>
        <v>-309.67741935483872</v>
      </c>
      <c r="AG180" s="14">
        <f t="shared" si="89"/>
        <v>-330.32258064516128</v>
      </c>
      <c r="AH180" s="14">
        <f t="shared" si="89"/>
        <v>-320</v>
      </c>
      <c r="AI180" s="14">
        <f t="shared" si="89"/>
        <v>-309.67741935483872</v>
      </c>
      <c r="AJ180" s="14">
        <f t="shared" si="89"/>
        <v>-330.32258064516128</v>
      </c>
      <c r="AK180" s="14">
        <f t="shared" si="89"/>
        <v>-309.67741935483872</v>
      </c>
      <c r="AL180" s="14">
        <f t="shared" si="89"/>
        <v>-330.32258064516128</v>
      </c>
      <c r="AM180" s="14">
        <f t="shared" si="89"/>
        <v>-320</v>
      </c>
      <c r="AN180" s="14">
        <f t="shared" si="89"/>
        <v>-289.0322580645161</v>
      </c>
      <c r="AO180" s="14">
        <f t="shared" si="89"/>
        <v>-350.96774193548384</v>
      </c>
      <c r="AP180" s="14">
        <f t="shared" si="89"/>
        <v>-309.67741935483872</v>
      </c>
      <c r="AQ180" s="14">
        <f t="shared" si="89"/>
        <v>-330.32258064516128</v>
      </c>
      <c r="AR180" s="14">
        <f t="shared" si="89"/>
        <v>-309.67741935483872</v>
      </c>
      <c r="AS180" s="14">
        <f t="shared" si="89"/>
        <v>-330.32258064516128</v>
      </c>
    </row>
    <row r="181" spans="2:45" outlineLevel="1" collapsed="1" x14ac:dyDescent="0.15">
      <c r="B181" s="107" t="s">
        <v>126</v>
      </c>
      <c r="J181" s="14">
        <f t="shared" ref="J181:AS181" si="90">J180+J170</f>
        <v>-5164.322580645161</v>
      </c>
      <c r="K181" s="14">
        <f t="shared" si="90"/>
        <v>-309.67741935483872</v>
      </c>
      <c r="L181" s="14">
        <f t="shared" si="90"/>
        <v>-330.32258064516128</v>
      </c>
      <c r="M181" s="14">
        <f t="shared" si="90"/>
        <v>-309.67741935483872</v>
      </c>
      <c r="N181" s="14">
        <f t="shared" si="90"/>
        <v>-330.32258064516128</v>
      </c>
      <c r="O181" s="14">
        <f t="shared" si="90"/>
        <v>-320</v>
      </c>
      <c r="P181" s="14">
        <f t="shared" si="90"/>
        <v>-299.35483870967744</v>
      </c>
      <c r="Q181" s="14">
        <f t="shared" si="90"/>
        <v>-340.64516129032256</v>
      </c>
      <c r="R181" s="14">
        <f t="shared" si="90"/>
        <v>-309.67741935483872</v>
      </c>
      <c r="S181" s="14">
        <f t="shared" si="90"/>
        <v>-330.32258064516128</v>
      </c>
      <c r="T181" s="14">
        <f t="shared" si="90"/>
        <v>-309.67741935483872</v>
      </c>
      <c r="U181" s="14">
        <f t="shared" si="90"/>
        <v>-330.32258064516128</v>
      </c>
      <c r="V181" s="14">
        <f t="shared" si="90"/>
        <v>-320</v>
      </c>
      <c r="W181" s="14">
        <f t="shared" si="90"/>
        <v>-309.67741935483872</v>
      </c>
      <c r="X181" s="14">
        <f t="shared" si="90"/>
        <v>-330.32258064516128</v>
      </c>
      <c r="Y181" s="14">
        <f t="shared" si="90"/>
        <v>-309.67741935483872</v>
      </c>
      <c r="Z181" s="14">
        <f t="shared" si="90"/>
        <v>-330.32258064516128</v>
      </c>
      <c r="AA181" s="14">
        <f t="shared" si="90"/>
        <v>-320</v>
      </c>
      <c r="AB181" s="14">
        <f t="shared" si="90"/>
        <v>-289.0322580645161</v>
      </c>
      <c r="AC181" s="14">
        <f t="shared" si="90"/>
        <v>-350.96774193548384</v>
      </c>
      <c r="AD181" s="14">
        <f t="shared" si="90"/>
        <v>-309.67741935483872</v>
      </c>
      <c r="AE181" s="14">
        <f t="shared" si="90"/>
        <v>-330.32258064516128</v>
      </c>
      <c r="AF181" s="14">
        <f t="shared" si="90"/>
        <v>-309.67741935483872</v>
      </c>
      <c r="AG181" s="14">
        <f t="shared" si="90"/>
        <v>-330.32258064516128</v>
      </c>
      <c r="AH181" s="14">
        <f t="shared" si="90"/>
        <v>-320</v>
      </c>
      <c r="AI181" s="14">
        <f t="shared" si="90"/>
        <v>-309.67741935483872</v>
      </c>
      <c r="AJ181" s="14">
        <f t="shared" si="90"/>
        <v>-330.32258064516128</v>
      </c>
      <c r="AK181" s="14">
        <f t="shared" si="90"/>
        <v>-309.67741935483872</v>
      </c>
      <c r="AL181" s="14">
        <f t="shared" si="90"/>
        <v>-330.32258064516128</v>
      </c>
      <c r="AM181" s="14">
        <f t="shared" si="90"/>
        <v>-320</v>
      </c>
      <c r="AN181" s="14">
        <f t="shared" si="90"/>
        <v>-289.0322580645161</v>
      </c>
      <c r="AO181" s="14">
        <f t="shared" si="90"/>
        <v>-350.96774193548384</v>
      </c>
      <c r="AP181" s="14">
        <f t="shared" si="90"/>
        <v>-309.67741935483872</v>
      </c>
      <c r="AQ181" s="14">
        <f t="shared" si="90"/>
        <v>-330.32258064516128</v>
      </c>
      <c r="AR181" s="14">
        <f t="shared" si="90"/>
        <v>-309.67741935483872</v>
      </c>
      <c r="AS181" s="14">
        <f t="shared" si="90"/>
        <v>-330.32258064516128</v>
      </c>
    </row>
    <row r="182" spans="2:45" outlineLevel="1" x14ac:dyDescent="0.15">
      <c r="B182" s="107" t="s">
        <v>420</v>
      </c>
      <c r="J182" s="38">
        <f t="shared" ref="J182:AS182" si="91">J168+J181</f>
        <v>-4844.322580645161</v>
      </c>
      <c r="K182" s="38">
        <f t="shared" si="91"/>
        <v>10.322580645161281</v>
      </c>
      <c r="L182" s="38">
        <f t="shared" si="91"/>
        <v>-10.322580645161281</v>
      </c>
      <c r="M182" s="38">
        <f t="shared" si="91"/>
        <v>10.322580645161281</v>
      </c>
      <c r="N182" s="38">
        <f t="shared" si="91"/>
        <v>-10.322580645161281</v>
      </c>
      <c r="O182" s="38">
        <f t="shared" si="91"/>
        <v>0</v>
      </c>
      <c r="P182" s="38">
        <f t="shared" si="91"/>
        <v>20.645161290322562</v>
      </c>
      <c r="Q182" s="38">
        <f t="shared" si="91"/>
        <v>-20.645161290322562</v>
      </c>
      <c r="R182" s="38">
        <f t="shared" si="91"/>
        <v>10.322580645161281</v>
      </c>
      <c r="S182" s="38">
        <f t="shared" si="91"/>
        <v>-10.322580645161281</v>
      </c>
      <c r="T182" s="38">
        <f t="shared" si="91"/>
        <v>10.322580645161281</v>
      </c>
      <c r="U182" s="38">
        <f t="shared" si="91"/>
        <v>-10.322580645161281</v>
      </c>
      <c r="V182" s="38">
        <f t="shared" si="91"/>
        <v>0</v>
      </c>
      <c r="W182" s="38">
        <f t="shared" si="91"/>
        <v>10.322580645161281</v>
      </c>
      <c r="X182" s="38">
        <f t="shared" si="91"/>
        <v>-10.322580645161281</v>
      </c>
      <c r="Y182" s="38">
        <f t="shared" si="91"/>
        <v>10.322580645161281</v>
      </c>
      <c r="Z182" s="38">
        <f t="shared" si="91"/>
        <v>-10.322580645161281</v>
      </c>
      <c r="AA182" s="38">
        <f t="shared" si="91"/>
        <v>0</v>
      </c>
      <c r="AB182" s="38">
        <f t="shared" si="91"/>
        <v>30.9677419354839</v>
      </c>
      <c r="AC182" s="38">
        <f t="shared" si="91"/>
        <v>-30.967741935483843</v>
      </c>
      <c r="AD182" s="38">
        <f t="shared" si="91"/>
        <v>10.322580645161281</v>
      </c>
      <c r="AE182" s="38">
        <f t="shared" si="91"/>
        <v>-10.322580645161281</v>
      </c>
      <c r="AF182" s="38">
        <f t="shared" si="91"/>
        <v>10.322580645161281</v>
      </c>
      <c r="AG182" s="38">
        <f t="shared" si="91"/>
        <v>-10.322580645161281</v>
      </c>
      <c r="AH182" s="38">
        <f t="shared" si="91"/>
        <v>0</v>
      </c>
      <c r="AI182" s="38">
        <f t="shared" si="91"/>
        <v>10.322580645161281</v>
      </c>
      <c r="AJ182" s="38">
        <f t="shared" si="91"/>
        <v>-10.322580645161281</v>
      </c>
      <c r="AK182" s="38">
        <f t="shared" si="91"/>
        <v>10.322580645161281</v>
      </c>
      <c r="AL182" s="38">
        <f t="shared" si="91"/>
        <v>-10.322580645161281</v>
      </c>
      <c r="AM182" s="38">
        <f t="shared" si="91"/>
        <v>0</v>
      </c>
      <c r="AN182" s="38">
        <f t="shared" si="91"/>
        <v>30.9677419354839</v>
      </c>
      <c r="AO182" s="38">
        <f t="shared" si="91"/>
        <v>-30.967741935483843</v>
      </c>
      <c r="AP182" s="38">
        <f t="shared" si="91"/>
        <v>10.322580645161281</v>
      </c>
      <c r="AQ182" s="38">
        <f t="shared" si="91"/>
        <v>-10.322580645161281</v>
      </c>
      <c r="AR182" s="38">
        <f t="shared" si="91"/>
        <v>10.322580645161281</v>
      </c>
      <c r="AS182" s="38">
        <f t="shared" si="91"/>
        <v>-10.322580645161281</v>
      </c>
    </row>
    <row r="183" spans="2:45" outlineLevel="1" x14ac:dyDescent="0.15">
      <c r="B183" s="16" t="s">
        <v>388</v>
      </c>
      <c r="J183" s="15">
        <f t="shared" ref="J183:AS183" si="92">J167+J182</f>
        <v>309.677419354839</v>
      </c>
      <c r="K183" s="15">
        <f t="shared" si="92"/>
        <v>320.00000000000028</v>
      </c>
      <c r="L183" s="15">
        <f t="shared" si="92"/>
        <v>309.677419354839</v>
      </c>
      <c r="M183" s="15">
        <f t="shared" si="92"/>
        <v>320.00000000000028</v>
      </c>
      <c r="N183" s="15">
        <f t="shared" si="92"/>
        <v>309.677419354839</v>
      </c>
      <c r="O183" s="15">
        <f t="shared" si="92"/>
        <v>309.677419354839</v>
      </c>
      <c r="P183" s="15">
        <f t="shared" si="92"/>
        <v>330.32258064516157</v>
      </c>
      <c r="Q183" s="15">
        <f t="shared" si="92"/>
        <v>309.677419354839</v>
      </c>
      <c r="R183" s="15">
        <f t="shared" si="92"/>
        <v>320.00000000000028</v>
      </c>
      <c r="S183" s="15">
        <f t="shared" si="92"/>
        <v>309.677419354839</v>
      </c>
      <c r="T183" s="15">
        <f t="shared" si="92"/>
        <v>320.00000000000028</v>
      </c>
      <c r="U183" s="15">
        <f t="shared" si="92"/>
        <v>309.677419354839</v>
      </c>
      <c r="V183" s="15">
        <f t="shared" si="92"/>
        <v>309.677419354839</v>
      </c>
      <c r="W183" s="15">
        <f t="shared" si="92"/>
        <v>320.00000000000028</v>
      </c>
      <c r="X183" s="15">
        <f t="shared" si="92"/>
        <v>309.677419354839</v>
      </c>
      <c r="Y183" s="15">
        <f t="shared" si="92"/>
        <v>320.00000000000028</v>
      </c>
      <c r="Z183" s="15">
        <f t="shared" si="92"/>
        <v>309.677419354839</v>
      </c>
      <c r="AA183" s="15">
        <f t="shared" si="92"/>
        <v>309.677419354839</v>
      </c>
      <c r="AB183" s="15">
        <f t="shared" si="92"/>
        <v>340.6451612903229</v>
      </c>
      <c r="AC183" s="15">
        <f t="shared" si="92"/>
        <v>309.67741935483906</v>
      </c>
      <c r="AD183" s="15">
        <f t="shared" si="92"/>
        <v>320.00000000000034</v>
      </c>
      <c r="AE183" s="15">
        <f t="shared" si="92"/>
        <v>309.67741935483906</v>
      </c>
      <c r="AF183" s="15">
        <f t="shared" si="92"/>
        <v>320.00000000000034</v>
      </c>
      <c r="AG183" s="15">
        <f t="shared" si="92"/>
        <v>309.67741935483906</v>
      </c>
      <c r="AH183" s="15">
        <f t="shared" si="92"/>
        <v>309.67741935483906</v>
      </c>
      <c r="AI183" s="15">
        <f t="shared" si="92"/>
        <v>320.00000000000034</v>
      </c>
      <c r="AJ183" s="15">
        <f t="shared" si="92"/>
        <v>309.67741935483906</v>
      </c>
      <c r="AK183" s="15">
        <f t="shared" si="92"/>
        <v>320.00000000000034</v>
      </c>
      <c r="AL183" s="15">
        <f t="shared" si="92"/>
        <v>309.67741935483906</v>
      </c>
      <c r="AM183" s="15">
        <f t="shared" si="92"/>
        <v>309.67741935483906</v>
      </c>
      <c r="AN183" s="15">
        <f t="shared" si="92"/>
        <v>340.64516129032296</v>
      </c>
      <c r="AO183" s="15">
        <f t="shared" si="92"/>
        <v>309.67741935483912</v>
      </c>
      <c r="AP183" s="15">
        <f t="shared" si="92"/>
        <v>320.0000000000004</v>
      </c>
      <c r="AQ183" s="15">
        <f t="shared" si="92"/>
        <v>309.67741935483912</v>
      </c>
      <c r="AR183" s="15">
        <f t="shared" si="92"/>
        <v>320.0000000000004</v>
      </c>
      <c r="AS183" s="15">
        <f t="shared" si="92"/>
        <v>309.67741935483912</v>
      </c>
    </row>
    <row r="184" spans="2:45" ht="6" customHeight="1" outlineLevel="1" x14ac:dyDescent="0.15"/>
    <row r="185" spans="2:45" outlineLevel="1" x14ac:dyDescent="0.15">
      <c r="B185" s="107" t="s">
        <v>421</v>
      </c>
      <c r="I185" s="183">
        <v>30</v>
      </c>
      <c r="J185" s="236">
        <v>30</v>
      </c>
      <c r="K185" s="166">
        <v>30</v>
      </c>
      <c r="L185" s="166">
        <v>30</v>
      </c>
      <c r="M185" s="166">
        <v>30</v>
      </c>
      <c r="N185" s="166">
        <v>30</v>
      </c>
      <c r="O185" s="166">
        <v>30</v>
      </c>
      <c r="P185" s="166">
        <v>30</v>
      </c>
      <c r="Q185" s="166">
        <v>30</v>
      </c>
      <c r="R185" s="166">
        <v>30</v>
      </c>
      <c r="S185" s="166">
        <v>30</v>
      </c>
      <c r="T185" s="166">
        <v>30</v>
      </c>
      <c r="U185" s="166">
        <v>30</v>
      </c>
      <c r="V185" s="166">
        <v>30</v>
      </c>
      <c r="W185" s="166">
        <v>30</v>
      </c>
      <c r="X185" s="166">
        <v>30</v>
      </c>
      <c r="Y185" s="166">
        <v>30</v>
      </c>
      <c r="Z185" s="166">
        <v>30</v>
      </c>
      <c r="AA185" s="166">
        <v>30</v>
      </c>
      <c r="AB185" s="166">
        <v>30</v>
      </c>
      <c r="AC185" s="166">
        <v>30</v>
      </c>
      <c r="AD185" s="166">
        <v>30</v>
      </c>
      <c r="AE185" s="166">
        <v>30</v>
      </c>
      <c r="AF185" s="166">
        <v>30</v>
      </c>
      <c r="AG185" s="166">
        <v>30</v>
      </c>
      <c r="AH185" s="166">
        <v>30</v>
      </c>
      <c r="AI185" s="166">
        <v>30</v>
      </c>
      <c r="AJ185" s="166">
        <v>30</v>
      </c>
      <c r="AK185" s="166">
        <v>30</v>
      </c>
      <c r="AL185" s="166">
        <v>30</v>
      </c>
      <c r="AM185" s="166">
        <v>30</v>
      </c>
      <c r="AN185" s="166">
        <v>30</v>
      </c>
      <c r="AO185" s="166">
        <v>30</v>
      </c>
      <c r="AP185" s="166">
        <v>30</v>
      </c>
      <c r="AQ185" s="166">
        <v>30</v>
      </c>
      <c r="AR185" s="166">
        <v>30</v>
      </c>
      <c r="AS185" s="166">
        <v>30</v>
      </c>
    </row>
    <row r="186" spans="2:45" outlineLevel="1" x14ac:dyDescent="0.15"/>
    <row r="187" spans="2:45" outlineLevel="1" x14ac:dyDescent="0.15">
      <c r="B187" s="16" t="str">
        <f>OBS!B31</f>
        <v>Creditors (Quarterly)</v>
      </c>
    </row>
    <row r="188" spans="2:45" outlineLevel="1" x14ac:dyDescent="0.15">
      <c r="B188" s="107" t="s">
        <v>375</v>
      </c>
      <c r="J188" s="14">
        <f>IF(J$8=1,OBS!J31,I204)</f>
        <v>1501</v>
      </c>
      <c r="K188" s="14">
        <f>IF(K$8=1,OBS!K31,J204)</f>
        <v>8508.1413978494638</v>
      </c>
      <c r="L188" s="14">
        <f>IF(L$8=1,OBS!L31,K204)</f>
        <v>0</v>
      </c>
      <c r="M188" s="14">
        <f>IF(M$8=1,OBS!M31,L204)</f>
        <v>8008.6200000000008</v>
      </c>
      <c r="N188" s="14">
        <f>IF(N$8=1,OBS!N31,M204)</f>
        <v>15758.89741935484</v>
      </c>
      <c r="O188" s="14">
        <f>IF(O$8=1,OBS!O31,N204)</f>
        <v>0</v>
      </c>
      <c r="P188" s="14">
        <f>IF(P$8=1,OBS!P31,O204)</f>
        <v>8042.0800000000008</v>
      </c>
      <c r="Q188" s="14">
        <f>IF(Q$8=1,OBS!Q31,P204)</f>
        <v>16017.240000000002</v>
      </c>
      <c r="R188" s="14">
        <f>IF(R$8=1,OBS!R31,Q204)</f>
        <v>0</v>
      </c>
      <c r="S188" s="14">
        <f>IF(S$8=1,OBS!S31,R204)</f>
        <v>8008.6200000000008</v>
      </c>
      <c r="T188" s="14">
        <f>IF(T$8=1,OBS!T31,S204)</f>
        <v>15524.324064516131</v>
      </c>
      <c r="U188" s="14">
        <f>IF(U$8=1,OBS!U31,T204)</f>
        <v>0</v>
      </c>
      <c r="V188" s="14">
        <f>IF(V$8=1,OBS!V31,U204)</f>
        <v>8042.0800000000008</v>
      </c>
      <c r="W188" s="14">
        <f>IF(W$8=1,OBS!W31,V204)</f>
        <v>15375.281290322582</v>
      </c>
      <c r="X188" s="14">
        <f>IF(X$8=1,OBS!X31,W204)</f>
        <v>0</v>
      </c>
      <c r="Y188" s="14">
        <f>IF(Y$8=1,OBS!Y31,X204)</f>
        <v>8152.02</v>
      </c>
      <c r="Z188" s="14">
        <f>IF(Z$8=1,OBS!Z31,Y204)</f>
        <v>15964.591612903227</v>
      </c>
      <c r="AA188" s="14">
        <f>IF(AA$8=1,OBS!AA31,Z204)</f>
        <v>0</v>
      </c>
      <c r="AB188" s="14">
        <f>IF(AB$8=1,OBS!AB31,AA204)</f>
        <v>8152.02</v>
      </c>
      <c r="AC188" s="14">
        <f>IF(AC$8=1,OBS!AC31,AB204)</f>
        <v>16189.320000000002</v>
      </c>
      <c r="AD188" s="14">
        <f>IF(AD$8=1,OBS!AD31,AC204)</f>
        <v>262.9683870967765</v>
      </c>
      <c r="AE188" s="14">
        <f>IF(AE$8=1,OBS!AE31,AD204)</f>
        <v>8218.9400000000023</v>
      </c>
      <c r="AF188" s="14">
        <f>IF(AF$8=1,OBS!AF31,AE204)</f>
        <v>15898.788236559143</v>
      </c>
      <c r="AG188" s="14">
        <f>IF(AG$8=1,OBS!AG31,AF204)</f>
        <v>0</v>
      </c>
      <c r="AH188" s="14">
        <f>IF(AH$8=1,OBS!AH31,AG204)</f>
        <v>8261.9600000000009</v>
      </c>
      <c r="AI188" s="14">
        <f>IF(AI$8=1,OBS!AI31,AH204)</f>
        <v>15641.110967741937</v>
      </c>
      <c r="AJ188" s="14">
        <f>IF(AJ$8=1,OBS!AJ31,AI204)</f>
        <v>0</v>
      </c>
      <c r="AK188" s="14">
        <f>IF(AK$8=1,OBS!AK31,AJ204)</f>
        <v>8261.9600000000009</v>
      </c>
      <c r="AL188" s="14">
        <f>IF(AL$8=1,OBS!AL31,AK204)</f>
        <v>16128.345161290323</v>
      </c>
      <c r="AM188" s="14">
        <f>IF(AM$8=1,OBS!AM31,AL204)</f>
        <v>0</v>
      </c>
      <c r="AN188" s="14">
        <f>IF(AN$8=1,OBS!AN31,AM204)</f>
        <v>8324.1</v>
      </c>
      <c r="AO188" s="14">
        <f>IF(AO$8=1,OBS!AO31,AN204)</f>
        <v>16552.600000000002</v>
      </c>
      <c r="AP188" s="14">
        <f>IF(AP$8=1,OBS!AP31,AO204)</f>
        <v>268.51935483870875</v>
      </c>
      <c r="AQ188" s="14">
        <f>IF(AQ$8=1,OBS!AQ31,AP204)</f>
        <v>8324.0999999999985</v>
      </c>
      <c r="AR188" s="14">
        <f>IF(AR$8=1,OBS!AR31,AQ204)</f>
        <v>16055.95258064516</v>
      </c>
      <c r="AS188" s="14">
        <f>IF(AS$8=1,OBS!AS31,AR204)</f>
        <v>0</v>
      </c>
    </row>
    <row r="189" spans="2:45" outlineLevel="1" x14ac:dyDescent="0.15">
      <c r="B189" s="107" t="s">
        <v>159</v>
      </c>
      <c r="J189" s="14">
        <f>SUMIF($H$146:$H$157,ROWS(Lookups!$D$131:$D132)+1,J$146:J$157)</f>
        <v>8042.0800000000008</v>
      </c>
      <c r="K189" s="14">
        <f>SUMIF($H$146:$H$157,ROWS(Lookups!$D$131:$D132)+1,K$146:K$157)</f>
        <v>7975.1600000000008</v>
      </c>
      <c r="L189" s="14">
        <f>SUMIF($H$146:$H$157,ROWS(Lookups!$D$131:$D132)+1,L$146:L$157)</f>
        <v>8008.6200000000008</v>
      </c>
      <c r="M189" s="14">
        <f>SUMIF($H$146:$H$157,ROWS(Lookups!$D$131:$D132)+1,M$146:M$157)</f>
        <v>8008.6200000000008</v>
      </c>
      <c r="N189" s="14">
        <f>SUMIF($H$146:$H$157,ROWS(Lookups!$D$131:$D132)+1,N$146:N$157)</f>
        <v>7975.1600000000008</v>
      </c>
      <c r="O189" s="14">
        <f>SUMIF($H$146:$H$157,ROWS(Lookups!$D$131:$D132)+1,O$146:O$157)</f>
        <v>8042.0800000000008</v>
      </c>
      <c r="P189" s="14">
        <f>SUMIF($H$146:$H$157,ROWS(Lookups!$D$131:$D132)+1,P$146:P$157)</f>
        <v>7975.1600000000008</v>
      </c>
      <c r="Q189" s="14">
        <f>SUMIF($H$146:$H$157,ROWS(Lookups!$D$131:$D132)+1,Q$146:Q$157)</f>
        <v>7975.1600000000008</v>
      </c>
      <c r="R189" s="14">
        <f>SUMIF($H$146:$H$157,ROWS(Lookups!$D$131:$D132)+1,R$146:R$157)</f>
        <v>8008.6200000000008</v>
      </c>
      <c r="S189" s="14">
        <f>SUMIF($H$146:$H$157,ROWS(Lookups!$D$131:$D132)+1,S$146:S$157)</f>
        <v>8042.0800000000008</v>
      </c>
      <c r="T189" s="14">
        <f>SUMIF($H$146:$H$157,ROWS(Lookups!$D$131:$D132)+1,T$146:T$157)</f>
        <v>7941.7000000000007</v>
      </c>
      <c r="U189" s="14">
        <f>SUMIF($H$146:$H$157,ROWS(Lookups!$D$131:$D132)+1,U$146:U$157)</f>
        <v>8042.0800000000008</v>
      </c>
      <c r="V189" s="14">
        <f>SUMIF($H$146:$H$157,ROWS(Lookups!$D$131:$D132)+1,V$146:V$157)</f>
        <v>8113.7800000000007</v>
      </c>
      <c r="W189" s="14">
        <f>SUMIF($H$146:$H$157,ROWS(Lookups!$D$131:$D132)+1,W$146:W$157)</f>
        <v>8075.5400000000009</v>
      </c>
      <c r="X189" s="14">
        <f>SUMIF($H$146:$H$157,ROWS(Lookups!$D$131:$D132)+1,X$146:X$157)</f>
        <v>8152.02</v>
      </c>
      <c r="Y189" s="14">
        <f>SUMIF($H$146:$H$157,ROWS(Lookups!$D$131:$D132)+1,Y$146:Y$157)</f>
        <v>8075.5400000000009</v>
      </c>
      <c r="Z189" s="14">
        <f>SUMIF($H$146:$H$157,ROWS(Lookups!$D$131:$D132)+1,Z$146:Z$157)</f>
        <v>8113.7800000000007</v>
      </c>
      <c r="AA189" s="14">
        <f>SUMIF($H$146:$H$157,ROWS(Lookups!$D$131:$D132)+1,AA$146:AA$157)</f>
        <v>8152.02</v>
      </c>
      <c r="AB189" s="14">
        <f>SUMIF($H$146:$H$157,ROWS(Lookups!$D$131:$D132)+1,AB$146:AB$157)</f>
        <v>8037.3000000000011</v>
      </c>
      <c r="AC189" s="14">
        <f>SUMIF($H$146:$H$157,ROWS(Lookups!$D$131:$D132)+1,AC$146:AC$157)</f>
        <v>8175.920000000001</v>
      </c>
      <c r="AD189" s="14">
        <f>SUMIF($H$146:$H$157,ROWS(Lookups!$D$131:$D132)+1,AD$146:AD$157)</f>
        <v>8218.94</v>
      </c>
      <c r="AE189" s="14">
        <f>SUMIF($H$146:$H$157,ROWS(Lookups!$D$131:$D132)+1,AE$146:AE$157)</f>
        <v>8218.94</v>
      </c>
      <c r="AF189" s="14">
        <f>SUMIF($H$146:$H$157,ROWS(Lookups!$D$131:$D132)+1,AF$146:AF$157)</f>
        <v>8175.920000000001</v>
      </c>
      <c r="AG189" s="14">
        <f>SUMIF($H$146:$H$157,ROWS(Lookups!$D$131:$D132)+1,AG$146:AG$157)</f>
        <v>8261.9600000000009</v>
      </c>
      <c r="AH189" s="14">
        <f>SUMIF($H$146:$H$157,ROWS(Lookups!$D$131:$D132)+1,AH$146:AH$157)</f>
        <v>8175.920000000001</v>
      </c>
      <c r="AI189" s="14">
        <f>SUMIF($H$146:$H$157,ROWS(Lookups!$D$131:$D132)+1,AI$146:AI$157)</f>
        <v>8218.94</v>
      </c>
      <c r="AJ189" s="14">
        <f>SUMIF($H$146:$H$157,ROWS(Lookups!$D$131:$D132)+1,AJ$146:AJ$157)</f>
        <v>8261.9600000000009</v>
      </c>
      <c r="AK189" s="14">
        <f>SUMIF($H$146:$H$157,ROWS(Lookups!$D$131:$D132)+1,AK$146:AK$157)</f>
        <v>8132.9000000000005</v>
      </c>
      <c r="AL189" s="14">
        <f>SUMIF($H$146:$H$157,ROWS(Lookups!$D$131:$D132)+1,AL$146:AL$157)</f>
        <v>8261.9600000000009</v>
      </c>
      <c r="AM189" s="14">
        <f>SUMIF($H$146:$H$157,ROWS(Lookups!$D$131:$D132)+1,AM$146:AM$157)</f>
        <v>8324.1</v>
      </c>
      <c r="AN189" s="14">
        <f>SUMIF($H$146:$H$157,ROWS(Lookups!$D$131:$D132)+1,AN$146:AN$157)</f>
        <v>8228.5000000000018</v>
      </c>
      <c r="AO189" s="14">
        <f>SUMIF($H$146:$H$157,ROWS(Lookups!$D$131:$D132)+1,AO$146:AO$157)</f>
        <v>8324.1</v>
      </c>
      <c r="AP189" s="14">
        <f>SUMIF($H$146:$H$157,ROWS(Lookups!$D$131:$D132)+1,AP$146:AP$157)</f>
        <v>8324.1</v>
      </c>
      <c r="AQ189" s="14">
        <f>SUMIF($H$146:$H$157,ROWS(Lookups!$D$131:$D132)+1,AQ$146:AQ$157)</f>
        <v>8276.3000000000011</v>
      </c>
      <c r="AR189" s="14">
        <f>SUMIF($H$146:$H$157,ROWS(Lookups!$D$131:$D132)+1,AR$146:AR$157)</f>
        <v>8324.1</v>
      </c>
      <c r="AS189" s="14">
        <f>SUMIF($H$146:$H$157,ROWS(Lookups!$D$131:$D132)+1,AS$146:AS$157)</f>
        <v>8371.9000000000015</v>
      </c>
    </row>
    <row r="190" spans="2:45" hidden="1" outlineLevel="2" x14ac:dyDescent="0.15">
      <c r="F190" s="107" t="s">
        <v>409</v>
      </c>
      <c r="J190" s="40">
        <f t="shared" ref="J190:AS190" si="93">IF($I206=0,0,(MIN($I206,J$164)-MIN($I206,J$163))/$I206)</f>
        <v>0.51666666666666672</v>
      </c>
      <c r="K190" s="40">
        <f t="shared" si="93"/>
        <v>0.48333333333333334</v>
      </c>
      <c r="L190" s="40">
        <f t="shared" si="93"/>
        <v>0</v>
      </c>
      <c r="M190" s="40">
        <f t="shared" si="93"/>
        <v>0</v>
      </c>
      <c r="N190" s="40">
        <f t="shared" si="93"/>
        <v>0</v>
      </c>
      <c r="O190" s="40">
        <f t="shared" si="93"/>
        <v>0</v>
      </c>
      <c r="P190" s="40">
        <f t="shared" si="93"/>
        <v>0</v>
      </c>
      <c r="Q190" s="40">
        <f t="shared" si="93"/>
        <v>0</v>
      </c>
      <c r="R190" s="40">
        <f t="shared" si="93"/>
        <v>0</v>
      </c>
      <c r="S190" s="40">
        <f t="shared" si="93"/>
        <v>0</v>
      </c>
      <c r="T190" s="40">
        <f t="shared" si="93"/>
        <v>0</v>
      </c>
      <c r="U190" s="40">
        <f t="shared" si="93"/>
        <v>0</v>
      </c>
      <c r="V190" s="40">
        <f t="shared" si="93"/>
        <v>0</v>
      </c>
      <c r="W190" s="40">
        <f t="shared" si="93"/>
        <v>0</v>
      </c>
      <c r="X190" s="40">
        <f t="shared" si="93"/>
        <v>0</v>
      </c>
      <c r="Y190" s="40">
        <f t="shared" si="93"/>
        <v>0</v>
      </c>
      <c r="Z190" s="40">
        <f t="shared" si="93"/>
        <v>0</v>
      </c>
      <c r="AA190" s="40">
        <f t="shared" si="93"/>
        <v>0</v>
      </c>
      <c r="AB190" s="40">
        <f t="shared" si="93"/>
        <v>0</v>
      </c>
      <c r="AC190" s="40">
        <f t="shared" si="93"/>
        <v>0</v>
      </c>
      <c r="AD190" s="40">
        <f t="shared" si="93"/>
        <v>0</v>
      </c>
      <c r="AE190" s="40">
        <f t="shared" si="93"/>
        <v>0</v>
      </c>
      <c r="AF190" s="40">
        <f t="shared" si="93"/>
        <v>0</v>
      </c>
      <c r="AG190" s="40">
        <f t="shared" si="93"/>
        <v>0</v>
      </c>
      <c r="AH190" s="40">
        <f t="shared" si="93"/>
        <v>0</v>
      </c>
      <c r="AI190" s="40">
        <f t="shared" si="93"/>
        <v>0</v>
      </c>
      <c r="AJ190" s="40">
        <f t="shared" si="93"/>
        <v>0</v>
      </c>
      <c r="AK190" s="40">
        <f t="shared" si="93"/>
        <v>0</v>
      </c>
      <c r="AL190" s="40">
        <f t="shared" si="93"/>
        <v>0</v>
      </c>
      <c r="AM190" s="40">
        <f t="shared" si="93"/>
        <v>0</v>
      </c>
      <c r="AN190" s="40">
        <f t="shared" si="93"/>
        <v>0</v>
      </c>
      <c r="AO190" s="40">
        <f t="shared" si="93"/>
        <v>0</v>
      </c>
      <c r="AP190" s="40">
        <f t="shared" si="93"/>
        <v>0</v>
      </c>
      <c r="AQ190" s="40">
        <f t="shared" si="93"/>
        <v>0</v>
      </c>
      <c r="AR190" s="40">
        <f t="shared" si="93"/>
        <v>0</v>
      </c>
      <c r="AS190" s="40">
        <f t="shared" si="93"/>
        <v>0</v>
      </c>
    </row>
    <row r="191" spans="2:45" hidden="1" outlineLevel="2" x14ac:dyDescent="0.15">
      <c r="C191" s="107" t="s">
        <v>410</v>
      </c>
      <c r="J191" s="24">
        <f t="shared" ref="J191:AS191" si="94">-$J188*J190</f>
        <v>-775.51666666666677</v>
      </c>
      <c r="K191" s="24">
        <f t="shared" si="94"/>
        <v>-725.48333333333335</v>
      </c>
      <c r="L191" s="24">
        <f t="shared" si="94"/>
        <v>0</v>
      </c>
      <c r="M191" s="24">
        <f t="shared" si="94"/>
        <v>0</v>
      </c>
      <c r="N191" s="24">
        <f t="shared" si="94"/>
        <v>0</v>
      </c>
      <c r="O191" s="24">
        <f t="shared" si="94"/>
        <v>0</v>
      </c>
      <c r="P191" s="24">
        <f t="shared" si="94"/>
        <v>0</v>
      </c>
      <c r="Q191" s="24">
        <f t="shared" si="94"/>
        <v>0</v>
      </c>
      <c r="R191" s="24">
        <f t="shared" si="94"/>
        <v>0</v>
      </c>
      <c r="S191" s="24">
        <f t="shared" si="94"/>
        <v>0</v>
      </c>
      <c r="T191" s="24">
        <f t="shared" si="94"/>
        <v>0</v>
      </c>
      <c r="U191" s="24">
        <f t="shared" si="94"/>
        <v>0</v>
      </c>
      <c r="V191" s="24">
        <f t="shared" si="94"/>
        <v>0</v>
      </c>
      <c r="W191" s="24">
        <f t="shared" si="94"/>
        <v>0</v>
      </c>
      <c r="X191" s="24">
        <f t="shared" si="94"/>
        <v>0</v>
      </c>
      <c r="Y191" s="24">
        <f t="shared" si="94"/>
        <v>0</v>
      </c>
      <c r="Z191" s="24">
        <f t="shared" si="94"/>
        <v>0</v>
      </c>
      <c r="AA191" s="24">
        <f t="shared" si="94"/>
        <v>0</v>
      </c>
      <c r="AB191" s="24">
        <f t="shared" si="94"/>
        <v>0</v>
      </c>
      <c r="AC191" s="24">
        <f t="shared" si="94"/>
        <v>0</v>
      </c>
      <c r="AD191" s="24">
        <f t="shared" si="94"/>
        <v>0</v>
      </c>
      <c r="AE191" s="24">
        <f t="shared" si="94"/>
        <v>0</v>
      </c>
      <c r="AF191" s="24">
        <f t="shared" si="94"/>
        <v>0</v>
      </c>
      <c r="AG191" s="24">
        <f t="shared" si="94"/>
        <v>0</v>
      </c>
      <c r="AH191" s="24">
        <f t="shared" si="94"/>
        <v>0</v>
      </c>
      <c r="AI191" s="24">
        <f t="shared" si="94"/>
        <v>0</v>
      </c>
      <c r="AJ191" s="24">
        <f t="shared" si="94"/>
        <v>0</v>
      </c>
      <c r="AK191" s="24">
        <f t="shared" si="94"/>
        <v>0</v>
      </c>
      <c r="AL191" s="24">
        <f t="shared" si="94"/>
        <v>0</v>
      </c>
      <c r="AM191" s="24">
        <f t="shared" si="94"/>
        <v>0</v>
      </c>
      <c r="AN191" s="24">
        <f t="shared" si="94"/>
        <v>0</v>
      </c>
      <c r="AO191" s="24">
        <f t="shared" si="94"/>
        <v>0</v>
      </c>
      <c r="AP191" s="24">
        <f t="shared" si="94"/>
        <v>0</v>
      </c>
      <c r="AQ191" s="24">
        <f t="shared" si="94"/>
        <v>0</v>
      </c>
      <c r="AR191" s="24">
        <f t="shared" si="94"/>
        <v>0</v>
      </c>
      <c r="AS191" s="24">
        <f t="shared" si="94"/>
        <v>0</v>
      </c>
    </row>
    <row r="192" spans="2:45" hidden="1" outlineLevel="2" x14ac:dyDescent="0.15">
      <c r="F192" s="107" t="str">
        <f>B206</f>
        <v>Cash Payment Delay (Days)</v>
      </c>
      <c r="J192" s="17">
        <f t="shared" ref="J192:AS192" si="95">J206</f>
        <v>30</v>
      </c>
      <c r="K192" s="17">
        <f t="shared" si="95"/>
        <v>0</v>
      </c>
      <c r="L192" s="17">
        <f t="shared" si="95"/>
        <v>60</v>
      </c>
      <c r="M192" s="17">
        <f t="shared" si="95"/>
        <v>30</v>
      </c>
      <c r="N192" s="17">
        <f t="shared" si="95"/>
        <v>0</v>
      </c>
      <c r="O192" s="17">
        <f t="shared" si="95"/>
        <v>60</v>
      </c>
      <c r="P192" s="17">
        <f t="shared" si="95"/>
        <v>30</v>
      </c>
      <c r="Q192" s="17">
        <f t="shared" si="95"/>
        <v>0</v>
      </c>
      <c r="R192" s="17">
        <f t="shared" si="95"/>
        <v>60</v>
      </c>
      <c r="S192" s="17">
        <f t="shared" si="95"/>
        <v>30</v>
      </c>
      <c r="T192" s="17">
        <f t="shared" si="95"/>
        <v>0</v>
      </c>
      <c r="U192" s="17">
        <f t="shared" si="95"/>
        <v>60</v>
      </c>
      <c r="V192" s="17">
        <f t="shared" si="95"/>
        <v>30</v>
      </c>
      <c r="W192" s="17">
        <f t="shared" si="95"/>
        <v>0</v>
      </c>
      <c r="X192" s="17">
        <f t="shared" si="95"/>
        <v>60</v>
      </c>
      <c r="Y192" s="17">
        <f t="shared" si="95"/>
        <v>30</v>
      </c>
      <c r="Z192" s="17">
        <f t="shared" si="95"/>
        <v>0</v>
      </c>
      <c r="AA192" s="17">
        <f t="shared" si="95"/>
        <v>60</v>
      </c>
      <c r="AB192" s="17">
        <f t="shared" si="95"/>
        <v>30</v>
      </c>
      <c r="AC192" s="17">
        <f t="shared" si="95"/>
        <v>0</v>
      </c>
      <c r="AD192" s="17">
        <f t="shared" si="95"/>
        <v>60</v>
      </c>
      <c r="AE192" s="17">
        <f t="shared" si="95"/>
        <v>30</v>
      </c>
      <c r="AF192" s="17">
        <f t="shared" si="95"/>
        <v>0</v>
      </c>
      <c r="AG192" s="17">
        <f t="shared" si="95"/>
        <v>60</v>
      </c>
      <c r="AH192" s="17">
        <f t="shared" si="95"/>
        <v>30</v>
      </c>
      <c r="AI192" s="17">
        <f t="shared" si="95"/>
        <v>0</v>
      </c>
      <c r="AJ192" s="17">
        <f t="shared" si="95"/>
        <v>60</v>
      </c>
      <c r="AK192" s="17">
        <f t="shared" si="95"/>
        <v>30</v>
      </c>
      <c r="AL192" s="17">
        <f t="shared" si="95"/>
        <v>0</v>
      </c>
      <c r="AM192" s="17">
        <f t="shared" si="95"/>
        <v>60</v>
      </c>
      <c r="AN192" s="17">
        <f t="shared" si="95"/>
        <v>30</v>
      </c>
      <c r="AO192" s="17">
        <f t="shared" si="95"/>
        <v>0</v>
      </c>
      <c r="AP192" s="17">
        <f t="shared" si="95"/>
        <v>60</v>
      </c>
      <c r="AQ192" s="17">
        <f t="shared" si="95"/>
        <v>30</v>
      </c>
      <c r="AR192" s="17">
        <f t="shared" si="95"/>
        <v>0</v>
      </c>
      <c r="AS192" s="17">
        <f t="shared" si="95"/>
        <v>60</v>
      </c>
    </row>
    <row r="193" spans="2:45" hidden="1" outlineLevel="2" x14ac:dyDescent="0.15">
      <c r="F193" s="107" t="s">
        <v>411</v>
      </c>
      <c r="J193" s="17">
        <f t="shared" ref="J193:AS193" si="96">J$163+J192</f>
        <v>30</v>
      </c>
      <c r="K193" s="17">
        <f t="shared" si="96"/>
        <v>31</v>
      </c>
      <c r="L193" s="17">
        <f t="shared" si="96"/>
        <v>121</v>
      </c>
      <c r="M193" s="17">
        <f t="shared" si="96"/>
        <v>122</v>
      </c>
      <c r="N193" s="17">
        <f t="shared" si="96"/>
        <v>122</v>
      </c>
      <c r="O193" s="17">
        <f t="shared" si="96"/>
        <v>213</v>
      </c>
      <c r="P193" s="17">
        <f t="shared" si="96"/>
        <v>214</v>
      </c>
      <c r="Q193" s="17">
        <f t="shared" si="96"/>
        <v>213</v>
      </c>
      <c r="R193" s="17">
        <f t="shared" si="96"/>
        <v>304</v>
      </c>
      <c r="S193" s="17">
        <f t="shared" si="96"/>
        <v>304</v>
      </c>
      <c r="T193" s="17">
        <f t="shared" si="96"/>
        <v>305</v>
      </c>
      <c r="U193" s="17">
        <f t="shared" si="96"/>
        <v>395</v>
      </c>
      <c r="V193" s="17">
        <f t="shared" si="96"/>
        <v>396</v>
      </c>
      <c r="W193" s="17">
        <f t="shared" si="96"/>
        <v>397</v>
      </c>
      <c r="X193" s="17">
        <f t="shared" si="96"/>
        <v>487</v>
      </c>
      <c r="Y193" s="17">
        <f t="shared" si="96"/>
        <v>488</v>
      </c>
      <c r="Z193" s="17">
        <f t="shared" si="96"/>
        <v>488</v>
      </c>
      <c r="AA193" s="17">
        <f t="shared" si="96"/>
        <v>579</v>
      </c>
      <c r="AB193" s="17">
        <f t="shared" si="96"/>
        <v>580</v>
      </c>
      <c r="AC193" s="17">
        <f t="shared" si="96"/>
        <v>578</v>
      </c>
      <c r="AD193" s="17">
        <f t="shared" si="96"/>
        <v>669</v>
      </c>
      <c r="AE193" s="17">
        <f t="shared" si="96"/>
        <v>669</v>
      </c>
      <c r="AF193" s="17">
        <f t="shared" si="96"/>
        <v>670</v>
      </c>
      <c r="AG193" s="17">
        <f t="shared" si="96"/>
        <v>760</v>
      </c>
      <c r="AH193" s="17">
        <f t="shared" si="96"/>
        <v>761</v>
      </c>
      <c r="AI193" s="17">
        <f t="shared" si="96"/>
        <v>762</v>
      </c>
      <c r="AJ193" s="17">
        <f t="shared" si="96"/>
        <v>852</v>
      </c>
      <c r="AK193" s="17">
        <f t="shared" si="96"/>
        <v>853</v>
      </c>
      <c r="AL193" s="17">
        <f t="shared" si="96"/>
        <v>853</v>
      </c>
      <c r="AM193" s="17">
        <f t="shared" si="96"/>
        <v>944</v>
      </c>
      <c r="AN193" s="17">
        <f t="shared" si="96"/>
        <v>945</v>
      </c>
      <c r="AO193" s="17">
        <f t="shared" si="96"/>
        <v>943</v>
      </c>
      <c r="AP193" s="17">
        <f t="shared" si="96"/>
        <v>1034</v>
      </c>
      <c r="AQ193" s="17">
        <f t="shared" si="96"/>
        <v>1034</v>
      </c>
      <c r="AR193" s="17">
        <f t="shared" si="96"/>
        <v>1035</v>
      </c>
      <c r="AS193" s="17">
        <f t="shared" si="96"/>
        <v>1125</v>
      </c>
    </row>
    <row r="194" spans="2:45" hidden="1" outlineLevel="2" x14ac:dyDescent="0.15">
      <c r="F194" s="107" t="s">
        <v>412</v>
      </c>
      <c r="J194" s="17">
        <f t="shared" ref="J194:AS194" si="97">J193+J$162</f>
        <v>61</v>
      </c>
      <c r="K194" s="17">
        <f t="shared" si="97"/>
        <v>61</v>
      </c>
      <c r="L194" s="17">
        <f t="shared" si="97"/>
        <v>152</v>
      </c>
      <c r="M194" s="17">
        <f t="shared" si="97"/>
        <v>152</v>
      </c>
      <c r="N194" s="17">
        <f t="shared" si="97"/>
        <v>153</v>
      </c>
      <c r="O194" s="17">
        <f t="shared" si="97"/>
        <v>244</v>
      </c>
      <c r="P194" s="17">
        <f t="shared" si="97"/>
        <v>243</v>
      </c>
      <c r="Q194" s="17">
        <f t="shared" si="97"/>
        <v>244</v>
      </c>
      <c r="R194" s="17">
        <f t="shared" si="97"/>
        <v>334</v>
      </c>
      <c r="S194" s="17">
        <f t="shared" si="97"/>
        <v>335</v>
      </c>
      <c r="T194" s="17">
        <f t="shared" si="97"/>
        <v>335</v>
      </c>
      <c r="U194" s="17">
        <f t="shared" si="97"/>
        <v>426</v>
      </c>
      <c r="V194" s="17">
        <f t="shared" si="97"/>
        <v>427</v>
      </c>
      <c r="W194" s="17">
        <f t="shared" si="97"/>
        <v>427</v>
      </c>
      <c r="X194" s="17">
        <f t="shared" si="97"/>
        <v>518</v>
      </c>
      <c r="Y194" s="17">
        <f t="shared" si="97"/>
        <v>518</v>
      </c>
      <c r="Z194" s="17">
        <f t="shared" si="97"/>
        <v>519</v>
      </c>
      <c r="AA194" s="17">
        <f t="shared" si="97"/>
        <v>610</v>
      </c>
      <c r="AB194" s="17">
        <f t="shared" si="97"/>
        <v>608</v>
      </c>
      <c r="AC194" s="17">
        <f t="shared" si="97"/>
        <v>609</v>
      </c>
      <c r="AD194" s="17">
        <f t="shared" si="97"/>
        <v>699</v>
      </c>
      <c r="AE194" s="17">
        <f t="shared" si="97"/>
        <v>700</v>
      </c>
      <c r="AF194" s="17">
        <f t="shared" si="97"/>
        <v>700</v>
      </c>
      <c r="AG194" s="17">
        <f t="shared" si="97"/>
        <v>791</v>
      </c>
      <c r="AH194" s="17">
        <f t="shared" si="97"/>
        <v>792</v>
      </c>
      <c r="AI194" s="17">
        <f t="shared" si="97"/>
        <v>792</v>
      </c>
      <c r="AJ194" s="17">
        <f t="shared" si="97"/>
        <v>883</v>
      </c>
      <c r="AK194" s="17">
        <f t="shared" si="97"/>
        <v>883</v>
      </c>
      <c r="AL194" s="17">
        <f t="shared" si="97"/>
        <v>884</v>
      </c>
      <c r="AM194" s="17">
        <f t="shared" si="97"/>
        <v>975</v>
      </c>
      <c r="AN194" s="17">
        <f t="shared" si="97"/>
        <v>973</v>
      </c>
      <c r="AO194" s="17">
        <f t="shared" si="97"/>
        <v>974</v>
      </c>
      <c r="AP194" s="17">
        <f t="shared" si="97"/>
        <v>1064</v>
      </c>
      <c r="AQ194" s="17">
        <f t="shared" si="97"/>
        <v>1065</v>
      </c>
      <c r="AR194" s="17">
        <f t="shared" si="97"/>
        <v>1065</v>
      </c>
      <c r="AS194" s="17">
        <f t="shared" si="97"/>
        <v>1156</v>
      </c>
    </row>
    <row r="195" spans="2:45" hidden="1" outlineLevel="2" x14ac:dyDescent="0.15">
      <c r="F195" s="107" t="s">
        <v>413</v>
      </c>
      <c r="J195" s="41">
        <f t="shared" ref="J195:AS195" si="98">IF(J193&gt;MAX($J$164:$AS$164),0,MATCH(J193,$J$163:$AS$163,1))</f>
        <v>1</v>
      </c>
      <c r="K195" s="41">
        <f t="shared" si="98"/>
        <v>2</v>
      </c>
      <c r="L195" s="41">
        <f t="shared" si="98"/>
        <v>4</v>
      </c>
      <c r="M195" s="41">
        <f t="shared" si="98"/>
        <v>5</v>
      </c>
      <c r="N195" s="41">
        <f t="shared" si="98"/>
        <v>5</v>
      </c>
      <c r="O195" s="41">
        <f t="shared" si="98"/>
        <v>8</v>
      </c>
      <c r="P195" s="41">
        <f t="shared" si="98"/>
        <v>8</v>
      </c>
      <c r="Q195" s="41">
        <f t="shared" si="98"/>
        <v>8</v>
      </c>
      <c r="R195" s="41">
        <f t="shared" si="98"/>
        <v>10</v>
      </c>
      <c r="S195" s="41">
        <f t="shared" si="98"/>
        <v>10</v>
      </c>
      <c r="T195" s="41">
        <f t="shared" si="98"/>
        <v>11</v>
      </c>
      <c r="U195" s="41">
        <f t="shared" si="98"/>
        <v>13</v>
      </c>
      <c r="V195" s="41">
        <f t="shared" si="98"/>
        <v>13</v>
      </c>
      <c r="W195" s="41">
        <f t="shared" si="98"/>
        <v>14</v>
      </c>
      <c r="X195" s="41">
        <f t="shared" si="98"/>
        <v>16</v>
      </c>
      <c r="Y195" s="41">
        <f t="shared" si="98"/>
        <v>17</v>
      </c>
      <c r="Z195" s="41">
        <f t="shared" si="98"/>
        <v>17</v>
      </c>
      <c r="AA195" s="41">
        <f t="shared" si="98"/>
        <v>20</v>
      </c>
      <c r="AB195" s="41">
        <f t="shared" si="98"/>
        <v>20</v>
      </c>
      <c r="AC195" s="41">
        <f t="shared" si="98"/>
        <v>20</v>
      </c>
      <c r="AD195" s="41">
        <f t="shared" si="98"/>
        <v>22</v>
      </c>
      <c r="AE195" s="41">
        <f t="shared" si="98"/>
        <v>22</v>
      </c>
      <c r="AF195" s="41">
        <f t="shared" si="98"/>
        <v>23</v>
      </c>
      <c r="AG195" s="41">
        <f t="shared" si="98"/>
        <v>25</v>
      </c>
      <c r="AH195" s="41">
        <f t="shared" si="98"/>
        <v>25</v>
      </c>
      <c r="AI195" s="41">
        <f t="shared" si="98"/>
        <v>26</v>
      </c>
      <c r="AJ195" s="41">
        <f t="shared" si="98"/>
        <v>28</v>
      </c>
      <c r="AK195" s="41">
        <f t="shared" si="98"/>
        <v>29</v>
      </c>
      <c r="AL195" s="41">
        <f t="shared" si="98"/>
        <v>29</v>
      </c>
      <c r="AM195" s="41">
        <f t="shared" si="98"/>
        <v>32</v>
      </c>
      <c r="AN195" s="41">
        <f t="shared" si="98"/>
        <v>32</v>
      </c>
      <c r="AO195" s="41">
        <f t="shared" si="98"/>
        <v>32</v>
      </c>
      <c r="AP195" s="41">
        <f t="shared" si="98"/>
        <v>34</v>
      </c>
      <c r="AQ195" s="41">
        <f t="shared" si="98"/>
        <v>34</v>
      </c>
      <c r="AR195" s="41">
        <f t="shared" si="98"/>
        <v>35</v>
      </c>
      <c r="AS195" s="41">
        <f t="shared" si="98"/>
        <v>0</v>
      </c>
    </row>
    <row r="196" spans="2:45" hidden="1" outlineLevel="2" x14ac:dyDescent="0.15">
      <c r="F196" s="107" t="s">
        <v>414</v>
      </c>
      <c r="J196" s="17">
        <f t="shared" ref="J196:AS196" si="99">IF(J195&lt;1,0,IF(J195&gt;=COLUMNS($J195:$AS195),0,J195+1))</f>
        <v>2</v>
      </c>
      <c r="K196" s="17">
        <f t="shared" si="99"/>
        <v>3</v>
      </c>
      <c r="L196" s="17">
        <f t="shared" si="99"/>
        <v>5</v>
      </c>
      <c r="M196" s="17">
        <f t="shared" si="99"/>
        <v>6</v>
      </c>
      <c r="N196" s="17">
        <f t="shared" si="99"/>
        <v>6</v>
      </c>
      <c r="O196" s="17">
        <f t="shared" si="99"/>
        <v>9</v>
      </c>
      <c r="P196" s="17">
        <f t="shared" si="99"/>
        <v>9</v>
      </c>
      <c r="Q196" s="17">
        <f t="shared" si="99"/>
        <v>9</v>
      </c>
      <c r="R196" s="17">
        <f t="shared" si="99"/>
        <v>11</v>
      </c>
      <c r="S196" s="17">
        <f t="shared" si="99"/>
        <v>11</v>
      </c>
      <c r="T196" s="17">
        <f t="shared" si="99"/>
        <v>12</v>
      </c>
      <c r="U196" s="17">
        <f t="shared" si="99"/>
        <v>14</v>
      </c>
      <c r="V196" s="17">
        <f t="shared" si="99"/>
        <v>14</v>
      </c>
      <c r="W196" s="17">
        <f t="shared" si="99"/>
        <v>15</v>
      </c>
      <c r="X196" s="17">
        <f t="shared" si="99"/>
        <v>17</v>
      </c>
      <c r="Y196" s="17">
        <f t="shared" si="99"/>
        <v>18</v>
      </c>
      <c r="Z196" s="17">
        <f t="shared" si="99"/>
        <v>18</v>
      </c>
      <c r="AA196" s="17">
        <f t="shared" si="99"/>
        <v>21</v>
      </c>
      <c r="AB196" s="17">
        <f t="shared" si="99"/>
        <v>21</v>
      </c>
      <c r="AC196" s="17">
        <f t="shared" si="99"/>
        <v>21</v>
      </c>
      <c r="AD196" s="17">
        <f t="shared" si="99"/>
        <v>23</v>
      </c>
      <c r="AE196" s="17">
        <f t="shared" si="99"/>
        <v>23</v>
      </c>
      <c r="AF196" s="17">
        <f t="shared" si="99"/>
        <v>24</v>
      </c>
      <c r="AG196" s="17">
        <f t="shared" si="99"/>
        <v>26</v>
      </c>
      <c r="AH196" s="17">
        <f t="shared" si="99"/>
        <v>26</v>
      </c>
      <c r="AI196" s="17">
        <f t="shared" si="99"/>
        <v>27</v>
      </c>
      <c r="AJ196" s="17">
        <f t="shared" si="99"/>
        <v>29</v>
      </c>
      <c r="AK196" s="17">
        <f t="shared" si="99"/>
        <v>30</v>
      </c>
      <c r="AL196" s="17">
        <f t="shared" si="99"/>
        <v>30</v>
      </c>
      <c r="AM196" s="17">
        <f t="shared" si="99"/>
        <v>33</v>
      </c>
      <c r="AN196" s="17">
        <f t="shared" si="99"/>
        <v>33</v>
      </c>
      <c r="AO196" s="17">
        <f t="shared" si="99"/>
        <v>33</v>
      </c>
      <c r="AP196" s="17">
        <f t="shared" si="99"/>
        <v>35</v>
      </c>
      <c r="AQ196" s="17">
        <f t="shared" si="99"/>
        <v>35</v>
      </c>
      <c r="AR196" s="17">
        <f t="shared" si="99"/>
        <v>36</v>
      </c>
      <c r="AS196" s="17">
        <f t="shared" si="99"/>
        <v>0</v>
      </c>
    </row>
    <row r="197" spans="2:45" hidden="1" outlineLevel="2" x14ac:dyDescent="0.15">
      <c r="F197" s="107" t="s">
        <v>415</v>
      </c>
      <c r="J197" s="42">
        <f t="shared" ref="J197:AS197" si="100">IF(J196&lt;1,0,IF(J196&gt;=COLUMNS($J196:$AS196),0,J196+1))</f>
        <v>3</v>
      </c>
      <c r="K197" s="42">
        <f t="shared" si="100"/>
        <v>4</v>
      </c>
      <c r="L197" s="42">
        <f t="shared" si="100"/>
        <v>6</v>
      </c>
      <c r="M197" s="42">
        <f t="shared" si="100"/>
        <v>7</v>
      </c>
      <c r="N197" s="42">
        <f t="shared" si="100"/>
        <v>7</v>
      </c>
      <c r="O197" s="42">
        <f t="shared" si="100"/>
        <v>10</v>
      </c>
      <c r="P197" s="42">
        <f t="shared" si="100"/>
        <v>10</v>
      </c>
      <c r="Q197" s="42">
        <f t="shared" si="100"/>
        <v>10</v>
      </c>
      <c r="R197" s="42">
        <f t="shared" si="100"/>
        <v>12</v>
      </c>
      <c r="S197" s="42">
        <f t="shared" si="100"/>
        <v>12</v>
      </c>
      <c r="T197" s="42">
        <f t="shared" si="100"/>
        <v>13</v>
      </c>
      <c r="U197" s="42">
        <f t="shared" si="100"/>
        <v>15</v>
      </c>
      <c r="V197" s="42">
        <f t="shared" si="100"/>
        <v>15</v>
      </c>
      <c r="W197" s="42">
        <f t="shared" si="100"/>
        <v>16</v>
      </c>
      <c r="X197" s="42">
        <f t="shared" si="100"/>
        <v>18</v>
      </c>
      <c r="Y197" s="42">
        <f t="shared" si="100"/>
        <v>19</v>
      </c>
      <c r="Z197" s="42">
        <f t="shared" si="100"/>
        <v>19</v>
      </c>
      <c r="AA197" s="42">
        <f t="shared" si="100"/>
        <v>22</v>
      </c>
      <c r="AB197" s="42">
        <f t="shared" si="100"/>
        <v>22</v>
      </c>
      <c r="AC197" s="42">
        <f t="shared" si="100"/>
        <v>22</v>
      </c>
      <c r="AD197" s="42">
        <f t="shared" si="100"/>
        <v>24</v>
      </c>
      <c r="AE197" s="42">
        <f t="shared" si="100"/>
        <v>24</v>
      </c>
      <c r="AF197" s="42">
        <f t="shared" si="100"/>
        <v>25</v>
      </c>
      <c r="AG197" s="42">
        <f t="shared" si="100"/>
        <v>27</v>
      </c>
      <c r="AH197" s="42">
        <f t="shared" si="100"/>
        <v>27</v>
      </c>
      <c r="AI197" s="42">
        <f t="shared" si="100"/>
        <v>28</v>
      </c>
      <c r="AJ197" s="42">
        <f t="shared" si="100"/>
        <v>30</v>
      </c>
      <c r="AK197" s="42">
        <f t="shared" si="100"/>
        <v>31</v>
      </c>
      <c r="AL197" s="42">
        <f t="shared" si="100"/>
        <v>31</v>
      </c>
      <c r="AM197" s="42">
        <f t="shared" si="100"/>
        <v>34</v>
      </c>
      <c r="AN197" s="42">
        <f t="shared" si="100"/>
        <v>34</v>
      </c>
      <c r="AO197" s="42">
        <f t="shared" si="100"/>
        <v>34</v>
      </c>
      <c r="AP197" s="42">
        <f t="shared" si="100"/>
        <v>36</v>
      </c>
      <c r="AQ197" s="42">
        <f t="shared" si="100"/>
        <v>36</v>
      </c>
      <c r="AR197" s="42">
        <f t="shared" si="100"/>
        <v>0</v>
      </c>
      <c r="AS197" s="42">
        <f t="shared" si="100"/>
        <v>0</v>
      </c>
    </row>
    <row r="198" spans="2:45" hidden="1" outlineLevel="2" x14ac:dyDescent="0.15">
      <c r="F198" s="107" t="s">
        <v>416</v>
      </c>
      <c r="J198" s="14">
        <f t="shared" ref="J198:AS198" si="101">J189/J$162*MAX(MIN(INDEX($J$164:$AS$164,J195),J194)-J193,0)</f>
        <v>259.42193548387098</v>
      </c>
      <c r="K198" s="14">
        <f t="shared" si="101"/>
        <v>7975.1600000000017</v>
      </c>
      <c r="L198" s="14">
        <f t="shared" si="101"/>
        <v>258.34258064516132</v>
      </c>
      <c r="M198" s="14">
        <f t="shared" si="101"/>
        <v>8008.62</v>
      </c>
      <c r="N198" s="14">
        <f t="shared" si="101"/>
        <v>7975.1600000000017</v>
      </c>
      <c r="O198" s="14">
        <f t="shared" si="101"/>
        <v>8042.0800000000008</v>
      </c>
      <c r="P198" s="14">
        <f t="shared" si="101"/>
        <v>7975.1600000000008</v>
      </c>
      <c r="Q198" s="14">
        <f t="shared" si="101"/>
        <v>7975.1600000000017</v>
      </c>
      <c r="R198" s="14">
        <f t="shared" si="101"/>
        <v>266.95400000000001</v>
      </c>
      <c r="S198" s="14">
        <f t="shared" si="101"/>
        <v>259.42193548387098</v>
      </c>
      <c r="T198" s="14">
        <f t="shared" si="101"/>
        <v>7941.7000000000007</v>
      </c>
      <c r="U198" s="14">
        <f t="shared" si="101"/>
        <v>518.84387096774196</v>
      </c>
      <c r="V198" s="14">
        <f t="shared" si="101"/>
        <v>261.73483870967743</v>
      </c>
      <c r="W198" s="14">
        <f t="shared" si="101"/>
        <v>8075.5400000000018</v>
      </c>
      <c r="X198" s="14">
        <f t="shared" si="101"/>
        <v>262.96838709677422</v>
      </c>
      <c r="Y198" s="14">
        <f t="shared" si="101"/>
        <v>8075.5400000000018</v>
      </c>
      <c r="Z198" s="14">
        <f t="shared" si="101"/>
        <v>8113.7800000000007</v>
      </c>
      <c r="AA198" s="14">
        <f t="shared" si="101"/>
        <v>7889.0516129032267</v>
      </c>
      <c r="AB198" s="14">
        <f t="shared" si="101"/>
        <v>8037.300000000002</v>
      </c>
      <c r="AC198" s="14">
        <f t="shared" si="101"/>
        <v>8175.92</v>
      </c>
      <c r="AD198" s="14">
        <f t="shared" si="101"/>
        <v>273.96466666666669</v>
      </c>
      <c r="AE198" s="14">
        <f t="shared" si="101"/>
        <v>265.12709677419355</v>
      </c>
      <c r="AF198" s="14">
        <f t="shared" si="101"/>
        <v>8175.9200000000019</v>
      </c>
      <c r="AG198" s="14">
        <f t="shared" si="101"/>
        <v>533.02967741935493</v>
      </c>
      <c r="AH198" s="14">
        <f t="shared" si="101"/>
        <v>263.73935483870969</v>
      </c>
      <c r="AI198" s="14">
        <f t="shared" si="101"/>
        <v>8218.94</v>
      </c>
      <c r="AJ198" s="14">
        <f t="shared" si="101"/>
        <v>266.51483870967746</v>
      </c>
      <c r="AK198" s="14">
        <f t="shared" si="101"/>
        <v>8132.9000000000005</v>
      </c>
      <c r="AL198" s="14">
        <f t="shared" si="101"/>
        <v>8261.9600000000009</v>
      </c>
      <c r="AM198" s="14">
        <f t="shared" si="101"/>
        <v>8055.5806451612916</v>
      </c>
      <c r="AN198" s="14">
        <f t="shared" si="101"/>
        <v>8228.5000000000018</v>
      </c>
      <c r="AO198" s="14">
        <f t="shared" si="101"/>
        <v>8324.1</v>
      </c>
      <c r="AP198" s="14">
        <f t="shared" si="101"/>
        <v>277.47000000000003</v>
      </c>
      <c r="AQ198" s="14">
        <f t="shared" si="101"/>
        <v>266.97741935483873</v>
      </c>
      <c r="AR198" s="14">
        <f t="shared" si="101"/>
        <v>8324.1</v>
      </c>
      <c r="AS198" s="14">
        <f t="shared" si="101"/>
        <v>0</v>
      </c>
    </row>
    <row r="199" spans="2:45" hidden="1" outlineLevel="2" x14ac:dyDescent="0.15">
      <c r="F199" s="107" t="s">
        <v>417</v>
      </c>
      <c r="J199" s="14">
        <f t="shared" ref="J199:AS199" si="102">J189/J$162*MAX(MIN(INDEX($J$164:$AS$164,J196),J194)-INDEX($J$163:$AS$163,J196),0)</f>
        <v>7782.6580645161293</v>
      </c>
      <c r="K199" s="14">
        <f t="shared" si="102"/>
        <v>0</v>
      </c>
      <c r="L199" s="14">
        <f t="shared" si="102"/>
        <v>7750.2774193548394</v>
      </c>
      <c r="M199" s="14">
        <f t="shared" si="102"/>
        <v>0</v>
      </c>
      <c r="N199" s="14">
        <f t="shared" si="102"/>
        <v>0</v>
      </c>
      <c r="O199" s="14">
        <f t="shared" si="102"/>
        <v>0</v>
      </c>
      <c r="P199" s="14">
        <f t="shared" si="102"/>
        <v>0</v>
      </c>
      <c r="Q199" s="14">
        <f t="shared" si="102"/>
        <v>0</v>
      </c>
      <c r="R199" s="14">
        <f t="shared" si="102"/>
        <v>7741.6660000000002</v>
      </c>
      <c r="S199" s="14">
        <f t="shared" si="102"/>
        <v>7782.6580645161293</v>
      </c>
      <c r="T199" s="14">
        <f t="shared" si="102"/>
        <v>0</v>
      </c>
      <c r="U199" s="14">
        <f t="shared" si="102"/>
        <v>7523.2361290322588</v>
      </c>
      <c r="V199" s="14">
        <f t="shared" si="102"/>
        <v>7852.0451612903234</v>
      </c>
      <c r="W199" s="14">
        <f t="shared" si="102"/>
        <v>0</v>
      </c>
      <c r="X199" s="14">
        <f t="shared" si="102"/>
        <v>7889.0516129032267</v>
      </c>
      <c r="Y199" s="14">
        <f t="shared" si="102"/>
        <v>0</v>
      </c>
      <c r="Z199" s="14">
        <f t="shared" si="102"/>
        <v>0</v>
      </c>
      <c r="AA199" s="14">
        <f t="shared" si="102"/>
        <v>262.96838709677422</v>
      </c>
      <c r="AB199" s="14">
        <f t="shared" si="102"/>
        <v>0</v>
      </c>
      <c r="AC199" s="14">
        <f t="shared" si="102"/>
        <v>0</v>
      </c>
      <c r="AD199" s="14">
        <f t="shared" si="102"/>
        <v>7944.9753333333338</v>
      </c>
      <c r="AE199" s="14">
        <f t="shared" si="102"/>
        <v>7953.8129032258066</v>
      </c>
      <c r="AF199" s="14">
        <f t="shared" si="102"/>
        <v>0</v>
      </c>
      <c r="AG199" s="14">
        <f t="shared" si="102"/>
        <v>7728.9303225806461</v>
      </c>
      <c r="AH199" s="14">
        <f t="shared" si="102"/>
        <v>7912.1806451612902</v>
      </c>
      <c r="AI199" s="14">
        <f t="shared" si="102"/>
        <v>0</v>
      </c>
      <c r="AJ199" s="14">
        <f t="shared" si="102"/>
        <v>7995.445161290324</v>
      </c>
      <c r="AK199" s="14">
        <f t="shared" si="102"/>
        <v>0</v>
      </c>
      <c r="AL199" s="14">
        <f t="shared" si="102"/>
        <v>0</v>
      </c>
      <c r="AM199" s="14">
        <f t="shared" si="102"/>
        <v>268.51935483870972</v>
      </c>
      <c r="AN199" s="14">
        <f t="shared" si="102"/>
        <v>0</v>
      </c>
      <c r="AO199" s="14">
        <f t="shared" si="102"/>
        <v>0</v>
      </c>
      <c r="AP199" s="14">
        <f t="shared" si="102"/>
        <v>8046.630000000001</v>
      </c>
      <c r="AQ199" s="14">
        <f t="shared" si="102"/>
        <v>8009.3225806451619</v>
      </c>
      <c r="AR199" s="14">
        <f t="shared" si="102"/>
        <v>0</v>
      </c>
      <c r="AS199" s="14">
        <f t="shared" si="102"/>
        <v>0</v>
      </c>
    </row>
    <row r="200" spans="2:45" hidden="1" outlineLevel="2" x14ac:dyDescent="0.15">
      <c r="F200" s="107" t="s">
        <v>418</v>
      </c>
      <c r="J200" s="24">
        <f t="shared" ref="J200:AS200" si="103">J189/J$162*MAX(MIN(INDEX($J$164:$AS$164,J197),J194)-INDEX($J$163:$AS$163,J197),0)</f>
        <v>0</v>
      </c>
      <c r="K200" s="24">
        <f t="shared" si="103"/>
        <v>0</v>
      </c>
      <c r="L200" s="24">
        <f t="shared" si="103"/>
        <v>0</v>
      </c>
      <c r="M200" s="24">
        <f t="shared" si="103"/>
        <v>0</v>
      </c>
      <c r="N200" s="24">
        <f t="shared" si="103"/>
        <v>0</v>
      </c>
      <c r="O200" s="24">
        <f t="shared" si="103"/>
        <v>0</v>
      </c>
      <c r="P200" s="24">
        <f t="shared" si="103"/>
        <v>0</v>
      </c>
      <c r="Q200" s="24">
        <f t="shared" si="103"/>
        <v>0</v>
      </c>
      <c r="R200" s="24">
        <f t="shared" si="103"/>
        <v>0</v>
      </c>
      <c r="S200" s="24">
        <f t="shared" si="103"/>
        <v>0</v>
      </c>
      <c r="T200" s="24">
        <f t="shared" si="103"/>
        <v>0</v>
      </c>
      <c r="U200" s="24">
        <f t="shared" si="103"/>
        <v>0</v>
      </c>
      <c r="V200" s="24">
        <f t="shared" si="103"/>
        <v>0</v>
      </c>
      <c r="W200" s="24">
        <f t="shared" si="103"/>
        <v>0</v>
      </c>
      <c r="X200" s="24">
        <f t="shared" si="103"/>
        <v>0</v>
      </c>
      <c r="Y200" s="24">
        <f t="shared" si="103"/>
        <v>0</v>
      </c>
      <c r="Z200" s="24">
        <f t="shared" si="103"/>
        <v>0</v>
      </c>
      <c r="AA200" s="24">
        <f t="shared" si="103"/>
        <v>0</v>
      </c>
      <c r="AB200" s="24">
        <f t="shared" si="103"/>
        <v>0</v>
      </c>
      <c r="AC200" s="24">
        <f t="shared" si="103"/>
        <v>0</v>
      </c>
      <c r="AD200" s="24">
        <f t="shared" si="103"/>
        <v>0</v>
      </c>
      <c r="AE200" s="24">
        <f t="shared" si="103"/>
        <v>0</v>
      </c>
      <c r="AF200" s="24">
        <f t="shared" si="103"/>
        <v>0</v>
      </c>
      <c r="AG200" s="24">
        <f t="shared" si="103"/>
        <v>0</v>
      </c>
      <c r="AH200" s="24">
        <f t="shared" si="103"/>
        <v>0</v>
      </c>
      <c r="AI200" s="24">
        <f t="shared" si="103"/>
        <v>0</v>
      </c>
      <c r="AJ200" s="24">
        <f t="shared" si="103"/>
        <v>0</v>
      </c>
      <c r="AK200" s="24">
        <f t="shared" si="103"/>
        <v>0</v>
      </c>
      <c r="AL200" s="24">
        <f t="shared" si="103"/>
        <v>0</v>
      </c>
      <c r="AM200" s="24">
        <f t="shared" si="103"/>
        <v>0</v>
      </c>
      <c r="AN200" s="24">
        <f t="shared" si="103"/>
        <v>0</v>
      </c>
      <c r="AO200" s="24">
        <f t="shared" si="103"/>
        <v>0</v>
      </c>
      <c r="AP200" s="24">
        <f t="shared" si="103"/>
        <v>0</v>
      </c>
      <c r="AQ200" s="24">
        <f t="shared" si="103"/>
        <v>0</v>
      </c>
      <c r="AR200" s="24">
        <f t="shared" si="103"/>
        <v>0</v>
      </c>
      <c r="AS200" s="24">
        <f t="shared" si="103"/>
        <v>0</v>
      </c>
    </row>
    <row r="201" spans="2:45" hidden="1" outlineLevel="2" x14ac:dyDescent="0.15">
      <c r="C201" s="107" t="s">
        <v>419</v>
      </c>
      <c r="J201" s="14">
        <f t="shared" ref="J201:AS201" si="104">-SUMPRODUCT((($J195:$AS197)=J$8)*$J198:$AS200)</f>
        <v>-259.42193548387098</v>
      </c>
      <c r="K201" s="14">
        <f t="shared" si="104"/>
        <v>-15757.81806451613</v>
      </c>
      <c r="L201" s="14">
        <f t="shared" si="104"/>
        <v>0</v>
      </c>
      <c r="M201" s="14">
        <f t="shared" si="104"/>
        <v>-258.34258064516132</v>
      </c>
      <c r="N201" s="14">
        <f t="shared" si="104"/>
        <v>-23734.057419354842</v>
      </c>
      <c r="O201" s="14">
        <f t="shared" si="104"/>
        <v>0</v>
      </c>
      <c r="P201" s="14">
        <f t="shared" si="104"/>
        <v>0</v>
      </c>
      <c r="Q201" s="14">
        <f t="shared" si="104"/>
        <v>-23992.400000000001</v>
      </c>
      <c r="R201" s="14">
        <f t="shared" si="104"/>
        <v>0</v>
      </c>
      <c r="S201" s="14">
        <f t="shared" si="104"/>
        <v>-526.37593548387099</v>
      </c>
      <c r="T201" s="14">
        <f t="shared" si="104"/>
        <v>-23466.024064516132</v>
      </c>
      <c r="U201" s="14">
        <f t="shared" si="104"/>
        <v>0</v>
      </c>
      <c r="V201" s="14">
        <f t="shared" si="104"/>
        <v>-780.5787096774194</v>
      </c>
      <c r="W201" s="14">
        <f t="shared" si="104"/>
        <v>-23450.821290322583</v>
      </c>
      <c r="X201" s="14">
        <f t="shared" si="104"/>
        <v>0</v>
      </c>
      <c r="Y201" s="14">
        <f t="shared" si="104"/>
        <v>-262.96838709677422</v>
      </c>
      <c r="Z201" s="14">
        <f t="shared" si="104"/>
        <v>-24078.371612903229</v>
      </c>
      <c r="AA201" s="14">
        <f t="shared" si="104"/>
        <v>0</v>
      </c>
      <c r="AB201" s="14">
        <f t="shared" si="104"/>
        <v>0</v>
      </c>
      <c r="AC201" s="14">
        <f t="shared" si="104"/>
        <v>-24102.271612903227</v>
      </c>
      <c r="AD201" s="14">
        <f t="shared" si="104"/>
        <v>-262.96838709677422</v>
      </c>
      <c r="AE201" s="14">
        <f t="shared" si="104"/>
        <v>-539.09176344086018</v>
      </c>
      <c r="AF201" s="14">
        <f t="shared" si="104"/>
        <v>-24074.708236559141</v>
      </c>
      <c r="AG201" s="14">
        <f t="shared" si="104"/>
        <v>0</v>
      </c>
      <c r="AH201" s="14">
        <f t="shared" si="104"/>
        <v>-796.76903225806461</v>
      </c>
      <c r="AI201" s="14">
        <f t="shared" si="104"/>
        <v>-23860.050967741936</v>
      </c>
      <c r="AJ201" s="14">
        <f t="shared" si="104"/>
        <v>0</v>
      </c>
      <c r="AK201" s="14">
        <f t="shared" si="104"/>
        <v>-266.51483870967746</v>
      </c>
      <c r="AL201" s="14">
        <f t="shared" si="104"/>
        <v>-24390.305161290325</v>
      </c>
      <c r="AM201" s="14">
        <f t="shared" si="104"/>
        <v>0</v>
      </c>
      <c r="AN201" s="14">
        <f t="shared" si="104"/>
        <v>0</v>
      </c>
      <c r="AO201" s="14">
        <f t="shared" si="104"/>
        <v>-24608.180645161294</v>
      </c>
      <c r="AP201" s="14">
        <f t="shared" si="104"/>
        <v>-268.51935483870972</v>
      </c>
      <c r="AQ201" s="14">
        <f t="shared" si="104"/>
        <v>-544.44741935483876</v>
      </c>
      <c r="AR201" s="14">
        <f t="shared" si="104"/>
        <v>-24380.052580645162</v>
      </c>
      <c r="AS201" s="14">
        <f t="shared" si="104"/>
        <v>0</v>
      </c>
    </row>
    <row r="202" spans="2:45" outlineLevel="1" collapsed="1" x14ac:dyDescent="0.15">
      <c r="B202" s="107" t="s">
        <v>126</v>
      </c>
      <c r="J202" s="14">
        <f t="shared" ref="J202:AS202" si="105">J201+J191</f>
        <v>-1034.9386021505377</v>
      </c>
      <c r="K202" s="14">
        <f t="shared" si="105"/>
        <v>-16483.301397849464</v>
      </c>
      <c r="L202" s="14">
        <f t="shared" si="105"/>
        <v>0</v>
      </c>
      <c r="M202" s="14">
        <f t="shared" si="105"/>
        <v>-258.34258064516132</v>
      </c>
      <c r="N202" s="14">
        <f t="shared" si="105"/>
        <v>-23734.057419354842</v>
      </c>
      <c r="O202" s="14">
        <f t="shared" si="105"/>
        <v>0</v>
      </c>
      <c r="P202" s="14">
        <f t="shared" si="105"/>
        <v>0</v>
      </c>
      <c r="Q202" s="14">
        <f t="shared" si="105"/>
        <v>-23992.400000000001</v>
      </c>
      <c r="R202" s="14">
        <f t="shared" si="105"/>
        <v>0</v>
      </c>
      <c r="S202" s="14">
        <f t="shared" si="105"/>
        <v>-526.37593548387099</v>
      </c>
      <c r="T202" s="14">
        <f t="shared" si="105"/>
        <v>-23466.024064516132</v>
      </c>
      <c r="U202" s="14">
        <f t="shared" si="105"/>
        <v>0</v>
      </c>
      <c r="V202" s="14">
        <f t="shared" si="105"/>
        <v>-780.5787096774194</v>
      </c>
      <c r="W202" s="14">
        <f t="shared" si="105"/>
        <v>-23450.821290322583</v>
      </c>
      <c r="X202" s="14">
        <f t="shared" si="105"/>
        <v>0</v>
      </c>
      <c r="Y202" s="14">
        <f t="shared" si="105"/>
        <v>-262.96838709677422</v>
      </c>
      <c r="Z202" s="14">
        <f t="shared" si="105"/>
        <v>-24078.371612903229</v>
      </c>
      <c r="AA202" s="14">
        <f t="shared" si="105"/>
        <v>0</v>
      </c>
      <c r="AB202" s="14">
        <f t="shared" si="105"/>
        <v>0</v>
      </c>
      <c r="AC202" s="14">
        <f t="shared" si="105"/>
        <v>-24102.271612903227</v>
      </c>
      <c r="AD202" s="14">
        <f t="shared" si="105"/>
        <v>-262.96838709677422</v>
      </c>
      <c r="AE202" s="14">
        <f t="shared" si="105"/>
        <v>-539.09176344086018</v>
      </c>
      <c r="AF202" s="14">
        <f t="shared" si="105"/>
        <v>-24074.708236559141</v>
      </c>
      <c r="AG202" s="14">
        <f t="shared" si="105"/>
        <v>0</v>
      </c>
      <c r="AH202" s="14">
        <f t="shared" si="105"/>
        <v>-796.76903225806461</v>
      </c>
      <c r="AI202" s="14">
        <f t="shared" si="105"/>
        <v>-23860.050967741936</v>
      </c>
      <c r="AJ202" s="14">
        <f t="shared" si="105"/>
        <v>0</v>
      </c>
      <c r="AK202" s="14">
        <f t="shared" si="105"/>
        <v>-266.51483870967746</v>
      </c>
      <c r="AL202" s="14">
        <f t="shared" si="105"/>
        <v>-24390.305161290325</v>
      </c>
      <c r="AM202" s="14">
        <f t="shared" si="105"/>
        <v>0</v>
      </c>
      <c r="AN202" s="14">
        <f t="shared" si="105"/>
        <v>0</v>
      </c>
      <c r="AO202" s="14">
        <f t="shared" si="105"/>
        <v>-24608.180645161294</v>
      </c>
      <c r="AP202" s="14">
        <f t="shared" si="105"/>
        <v>-268.51935483870972</v>
      </c>
      <c r="AQ202" s="14">
        <f t="shared" si="105"/>
        <v>-544.44741935483876</v>
      </c>
      <c r="AR202" s="14">
        <f t="shared" si="105"/>
        <v>-24380.052580645162</v>
      </c>
      <c r="AS202" s="14">
        <f t="shared" si="105"/>
        <v>0</v>
      </c>
    </row>
    <row r="203" spans="2:45" outlineLevel="1" x14ac:dyDescent="0.15">
      <c r="B203" s="107" t="s">
        <v>420</v>
      </c>
      <c r="J203" s="38">
        <f t="shared" ref="J203:AS203" si="106">J189+J202</f>
        <v>7007.1413978494629</v>
      </c>
      <c r="K203" s="38">
        <f t="shared" si="106"/>
        <v>-8508.1413978494638</v>
      </c>
      <c r="L203" s="38">
        <f t="shared" si="106"/>
        <v>8008.6200000000008</v>
      </c>
      <c r="M203" s="38">
        <f t="shared" si="106"/>
        <v>7750.2774193548394</v>
      </c>
      <c r="N203" s="38">
        <f t="shared" si="106"/>
        <v>-15758.897419354842</v>
      </c>
      <c r="O203" s="38">
        <f t="shared" si="106"/>
        <v>8042.0800000000008</v>
      </c>
      <c r="P203" s="38">
        <f t="shared" si="106"/>
        <v>7975.1600000000008</v>
      </c>
      <c r="Q203" s="38">
        <f t="shared" si="106"/>
        <v>-16017.240000000002</v>
      </c>
      <c r="R203" s="38">
        <f t="shared" si="106"/>
        <v>8008.6200000000008</v>
      </c>
      <c r="S203" s="38">
        <f t="shared" si="106"/>
        <v>7515.7040645161296</v>
      </c>
      <c r="T203" s="38">
        <f t="shared" si="106"/>
        <v>-15524.324064516131</v>
      </c>
      <c r="U203" s="38">
        <f t="shared" si="106"/>
        <v>8042.0800000000008</v>
      </c>
      <c r="V203" s="38">
        <f t="shared" si="106"/>
        <v>7333.2012903225814</v>
      </c>
      <c r="W203" s="38">
        <f t="shared" si="106"/>
        <v>-15375.281290322582</v>
      </c>
      <c r="X203" s="38">
        <f t="shared" si="106"/>
        <v>8152.02</v>
      </c>
      <c r="Y203" s="38">
        <f t="shared" si="106"/>
        <v>7812.5716129032262</v>
      </c>
      <c r="Z203" s="38">
        <f t="shared" si="106"/>
        <v>-15964.591612903228</v>
      </c>
      <c r="AA203" s="38">
        <f t="shared" si="106"/>
        <v>8152.02</v>
      </c>
      <c r="AB203" s="38">
        <f t="shared" si="106"/>
        <v>8037.3000000000011</v>
      </c>
      <c r="AC203" s="38">
        <f t="shared" si="106"/>
        <v>-15926.351612903225</v>
      </c>
      <c r="AD203" s="38">
        <f t="shared" si="106"/>
        <v>7955.9716129032258</v>
      </c>
      <c r="AE203" s="38">
        <f t="shared" si="106"/>
        <v>7679.8482365591408</v>
      </c>
      <c r="AF203" s="38">
        <f t="shared" si="106"/>
        <v>-15898.788236559139</v>
      </c>
      <c r="AG203" s="38">
        <f t="shared" si="106"/>
        <v>8261.9600000000009</v>
      </c>
      <c r="AH203" s="38">
        <f t="shared" si="106"/>
        <v>7379.1509677419363</v>
      </c>
      <c r="AI203" s="38">
        <f t="shared" si="106"/>
        <v>-15641.110967741935</v>
      </c>
      <c r="AJ203" s="38">
        <f t="shared" si="106"/>
        <v>8261.9600000000009</v>
      </c>
      <c r="AK203" s="38">
        <f t="shared" si="106"/>
        <v>7866.3851612903227</v>
      </c>
      <c r="AL203" s="38">
        <f t="shared" si="106"/>
        <v>-16128.345161290325</v>
      </c>
      <c r="AM203" s="38">
        <f t="shared" si="106"/>
        <v>8324.1</v>
      </c>
      <c r="AN203" s="38">
        <f t="shared" si="106"/>
        <v>8228.5000000000018</v>
      </c>
      <c r="AO203" s="38">
        <f t="shared" si="106"/>
        <v>-16284.080645161293</v>
      </c>
      <c r="AP203" s="38">
        <f t="shared" si="106"/>
        <v>8055.5806451612907</v>
      </c>
      <c r="AQ203" s="38">
        <f t="shared" si="106"/>
        <v>7731.8525806451626</v>
      </c>
      <c r="AR203" s="38">
        <f t="shared" si="106"/>
        <v>-16055.952580645162</v>
      </c>
      <c r="AS203" s="38">
        <f t="shared" si="106"/>
        <v>8371.9000000000015</v>
      </c>
    </row>
    <row r="204" spans="2:45" outlineLevel="1" x14ac:dyDescent="0.15">
      <c r="B204" s="16" t="s">
        <v>388</v>
      </c>
      <c r="J204" s="15">
        <f t="shared" ref="J204:AS204" si="107">J188+J203</f>
        <v>8508.1413978494638</v>
      </c>
      <c r="K204" s="15">
        <f t="shared" si="107"/>
        <v>0</v>
      </c>
      <c r="L204" s="15">
        <f t="shared" si="107"/>
        <v>8008.6200000000008</v>
      </c>
      <c r="M204" s="15">
        <f t="shared" si="107"/>
        <v>15758.89741935484</v>
      </c>
      <c r="N204" s="15">
        <f t="shared" si="107"/>
        <v>0</v>
      </c>
      <c r="O204" s="15">
        <f t="shared" si="107"/>
        <v>8042.0800000000008</v>
      </c>
      <c r="P204" s="15">
        <f t="shared" si="107"/>
        <v>16017.240000000002</v>
      </c>
      <c r="Q204" s="15">
        <f t="shared" si="107"/>
        <v>0</v>
      </c>
      <c r="R204" s="15">
        <f t="shared" si="107"/>
        <v>8008.6200000000008</v>
      </c>
      <c r="S204" s="15">
        <f t="shared" si="107"/>
        <v>15524.324064516131</v>
      </c>
      <c r="T204" s="15">
        <f t="shared" si="107"/>
        <v>0</v>
      </c>
      <c r="U204" s="15">
        <f t="shared" si="107"/>
        <v>8042.0800000000008</v>
      </c>
      <c r="V204" s="15">
        <f t="shared" si="107"/>
        <v>15375.281290322582</v>
      </c>
      <c r="W204" s="15">
        <f t="shared" si="107"/>
        <v>0</v>
      </c>
      <c r="X204" s="15">
        <f t="shared" si="107"/>
        <v>8152.02</v>
      </c>
      <c r="Y204" s="15">
        <f t="shared" si="107"/>
        <v>15964.591612903227</v>
      </c>
      <c r="Z204" s="15">
        <f t="shared" si="107"/>
        <v>0</v>
      </c>
      <c r="AA204" s="15">
        <f t="shared" si="107"/>
        <v>8152.02</v>
      </c>
      <c r="AB204" s="15">
        <f t="shared" si="107"/>
        <v>16189.320000000002</v>
      </c>
      <c r="AC204" s="15">
        <f t="shared" si="107"/>
        <v>262.9683870967765</v>
      </c>
      <c r="AD204" s="15">
        <f t="shared" si="107"/>
        <v>8218.9400000000023</v>
      </c>
      <c r="AE204" s="15">
        <f t="shared" si="107"/>
        <v>15898.788236559143</v>
      </c>
      <c r="AF204" s="15">
        <f t="shared" si="107"/>
        <v>0</v>
      </c>
      <c r="AG204" s="15">
        <f t="shared" si="107"/>
        <v>8261.9600000000009</v>
      </c>
      <c r="AH204" s="15">
        <f t="shared" si="107"/>
        <v>15641.110967741937</v>
      </c>
      <c r="AI204" s="15">
        <f t="shared" si="107"/>
        <v>0</v>
      </c>
      <c r="AJ204" s="15">
        <f t="shared" si="107"/>
        <v>8261.9600000000009</v>
      </c>
      <c r="AK204" s="15">
        <f t="shared" si="107"/>
        <v>16128.345161290323</v>
      </c>
      <c r="AL204" s="15">
        <f t="shared" si="107"/>
        <v>0</v>
      </c>
      <c r="AM204" s="15">
        <f t="shared" si="107"/>
        <v>8324.1</v>
      </c>
      <c r="AN204" s="15">
        <f t="shared" si="107"/>
        <v>16552.600000000002</v>
      </c>
      <c r="AO204" s="15">
        <f t="shared" si="107"/>
        <v>268.51935483870875</v>
      </c>
      <c r="AP204" s="15">
        <f t="shared" si="107"/>
        <v>8324.0999999999985</v>
      </c>
      <c r="AQ204" s="15">
        <f t="shared" si="107"/>
        <v>16055.95258064516</v>
      </c>
      <c r="AR204" s="15">
        <f t="shared" si="107"/>
        <v>0</v>
      </c>
      <c r="AS204" s="15">
        <f t="shared" si="107"/>
        <v>8371.9000000000015</v>
      </c>
    </row>
    <row r="205" spans="2:45" ht="6" customHeight="1" outlineLevel="1" x14ac:dyDescent="0.15"/>
    <row r="206" spans="2:45" outlineLevel="1" x14ac:dyDescent="0.15">
      <c r="B206" s="107" t="s">
        <v>421</v>
      </c>
      <c r="I206" s="183">
        <v>60</v>
      </c>
      <c r="J206" s="236">
        <v>30</v>
      </c>
      <c r="K206" s="166">
        <v>0</v>
      </c>
      <c r="L206" s="166">
        <v>60</v>
      </c>
      <c r="M206" s="166">
        <v>30</v>
      </c>
      <c r="N206" s="166">
        <v>0</v>
      </c>
      <c r="O206" s="166">
        <v>60</v>
      </c>
      <c r="P206" s="166">
        <v>30</v>
      </c>
      <c r="Q206" s="166">
        <v>0</v>
      </c>
      <c r="R206" s="166">
        <v>60</v>
      </c>
      <c r="S206" s="166">
        <v>30</v>
      </c>
      <c r="T206" s="166">
        <v>0</v>
      </c>
      <c r="U206" s="166">
        <v>60</v>
      </c>
      <c r="V206" s="166">
        <v>30</v>
      </c>
      <c r="W206" s="166">
        <v>0</v>
      </c>
      <c r="X206" s="166">
        <v>60</v>
      </c>
      <c r="Y206" s="166">
        <v>30</v>
      </c>
      <c r="Z206" s="166">
        <v>0</v>
      </c>
      <c r="AA206" s="166">
        <v>60</v>
      </c>
      <c r="AB206" s="166">
        <v>30</v>
      </c>
      <c r="AC206" s="166">
        <v>0</v>
      </c>
      <c r="AD206" s="166">
        <v>60</v>
      </c>
      <c r="AE206" s="166">
        <v>30</v>
      </c>
      <c r="AF206" s="166">
        <v>0</v>
      </c>
      <c r="AG206" s="166">
        <v>60</v>
      </c>
      <c r="AH206" s="166">
        <v>30</v>
      </c>
      <c r="AI206" s="166">
        <v>0</v>
      </c>
      <c r="AJ206" s="166">
        <v>60</v>
      </c>
      <c r="AK206" s="166">
        <v>30</v>
      </c>
      <c r="AL206" s="166">
        <v>0</v>
      </c>
      <c r="AM206" s="166">
        <v>60</v>
      </c>
      <c r="AN206" s="166">
        <v>30</v>
      </c>
      <c r="AO206" s="166">
        <v>0</v>
      </c>
      <c r="AP206" s="166">
        <v>60</v>
      </c>
      <c r="AQ206" s="166">
        <v>30</v>
      </c>
      <c r="AR206" s="166">
        <v>0</v>
      </c>
      <c r="AS206" s="166">
        <v>60</v>
      </c>
    </row>
    <row r="207" spans="2:45" outlineLevel="1" x14ac:dyDescent="0.15"/>
    <row r="208" spans="2:45" outlineLevel="1" x14ac:dyDescent="0.15">
      <c r="B208" s="108" t="s">
        <v>59</v>
      </c>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row>
    <row r="209" spans="2:45" outlineLevel="1" x14ac:dyDescent="0.15"/>
    <row r="210" spans="2:45" hidden="1" outlineLevel="2" x14ac:dyDescent="0.15">
      <c r="B210" s="107" t="str">
        <f>B166</f>
        <v>Creditors (Monthly)</v>
      </c>
      <c r="J210" s="23">
        <f t="shared" ref="J210:AS210" si="108">J167</f>
        <v>5154</v>
      </c>
      <c r="K210" s="23">
        <f t="shared" si="108"/>
        <v>309.677419354839</v>
      </c>
      <c r="L210" s="23">
        <f t="shared" si="108"/>
        <v>320.00000000000028</v>
      </c>
      <c r="M210" s="23">
        <f t="shared" si="108"/>
        <v>309.677419354839</v>
      </c>
      <c r="N210" s="23">
        <f t="shared" si="108"/>
        <v>320.00000000000028</v>
      </c>
      <c r="O210" s="23">
        <f t="shared" si="108"/>
        <v>309.677419354839</v>
      </c>
      <c r="P210" s="23">
        <f t="shared" si="108"/>
        <v>309.677419354839</v>
      </c>
      <c r="Q210" s="23">
        <f t="shared" si="108"/>
        <v>330.32258064516157</v>
      </c>
      <c r="R210" s="23">
        <f t="shared" si="108"/>
        <v>309.677419354839</v>
      </c>
      <c r="S210" s="23">
        <f t="shared" si="108"/>
        <v>320.00000000000028</v>
      </c>
      <c r="T210" s="23">
        <f t="shared" si="108"/>
        <v>309.677419354839</v>
      </c>
      <c r="U210" s="23">
        <f t="shared" si="108"/>
        <v>320.00000000000028</v>
      </c>
      <c r="V210" s="23">
        <f t="shared" si="108"/>
        <v>309.677419354839</v>
      </c>
      <c r="W210" s="23">
        <f t="shared" si="108"/>
        <v>309.677419354839</v>
      </c>
      <c r="X210" s="23">
        <f t="shared" si="108"/>
        <v>320.00000000000028</v>
      </c>
      <c r="Y210" s="23">
        <f t="shared" si="108"/>
        <v>309.677419354839</v>
      </c>
      <c r="Z210" s="23">
        <f t="shared" si="108"/>
        <v>320.00000000000028</v>
      </c>
      <c r="AA210" s="23">
        <f t="shared" si="108"/>
        <v>309.677419354839</v>
      </c>
      <c r="AB210" s="23">
        <f t="shared" si="108"/>
        <v>309.677419354839</v>
      </c>
      <c r="AC210" s="23">
        <f t="shared" si="108"/>
        <v>340.6451612903229</v>
      </c>
      <c r="AD210" s="23">
        <f t="shared" si="108"/>
        <v>309.67741935483906</v>
      </c>
      <c r="AE210" s="23">
        <f t="shared" si="108"/>
        <v>320.00000000000034</v>
      </c>
      <c r="AF210" s="23">
        <f t="shared" si="108"/>
        <v>309.67741935483906</v>
      </c>
      <c r="AG210" s="23">
        <f t="shared" si="108"/>
        <v>320.00000000000034</v>
      </c>
      <c r="AH210" s="23">
        <f t="shared" si="108"/>
        <v>309.67741935483906</v>
      </c>
      <c r="AI210" s="23">
        <f t="shared" si="108"/>
        <v>309.67741935483906</v>
      </c>
      <c r="AJ210" s="23">
        <f t="shared" si="108"/>
        <v>320.00000000000034</v>
      </c>
      <c r="AK210" s="23">
        <f t="shared" si="108"/>
        <v>309.67741935483906</v>
      </c>
      <c r="AL210" s="23">
        <f t="shared" si="108"/>
        <v>320.00000000000034</v>
      </c>
      <c r="AM210" s="23">
        <f t="shared" si="108"/>
        <v>309.67741935483906</v>
      </c>
      <c r="AN210" s="23">
        <f t="shared" si="108"/>
        <v>309.67741935483906</v>
      </c>
      <c r="AO210" s="23">
        <f t="shared" si="108"/>
        <v>340.64516129032296</v>
      </c>
      <c r="AP210" s="23">
        <f t="shared" si="108"/>
        <v>309.67741935483912</v>
      </c>
      <c r="AQ210" s="23">
        <f t="shared" si="108"/>
        <v>320.0000000000004</v>
      </c>
      <c r="AR210" s="23">
        <f t="shared" si="108"/>
        <v>309.67741935483912</v>
      </c>
      <c r="AS210" s="23">
        <f t="shared" si="108"/>
        <v>320.0000000000004</v>
      </c>
    </row>
    <row r="211" spans="2:45" hidden="1" outlineLevel="2" collapsed="1" x14ac:dyDescent="0.15">
      <c r="B211" s="107" t="str">
        <f>B187</f>
        <v>Creditors (Quarterly)</v>
      </c>
      <c r="J211" s="24">
        <f t="shared" ref="J211:AS211" si="109">J188</f>
        <v>1501</v>
      </c>
      <c r="K211" s="24">
        <f t="shared" si="109"/>
        <v>8508.1413978494638</v>
      </c>
      <c r="L211" s="24">
        <f t="shared" si="109"/>
        <v>0</v>
      </c>
      <c r="M211" s="24">
        <f t="shared" si="109"/>
        <v>8008.6200000000008</v>
      </c>
      <c r="N211" s="24">
        <f t="shared" si="109"/>
        <v>15758.89741935484</v>
      </c>
      <c r="O211" s="24">
        <f t="shared" si="109"/>
        <v>0</v>
      </c>
      <c r="P211" s="24">
        <f t="shared" si="109"/>
        <v>8042.0800000000008</v>
      </c>
      <c r="Q211" s="24">
        <f t="shared" si="109"/>
        <v>16017.240000000002</v>
      </c>
      <c r="R211" s="24">
        <f t="shared" si="109"/>
        <v>0</v>
      </c>
      <c r="S211" s="24">
        <f t="shared" si="109"/>
        <v>8008.6200000000008</v>
      </c>
      <c r="T211" s="24">
        <f t="shared" si="109"/>
        <v>15524.324064516131</v>
      </c>
      <c r="U211" s="24">
        <f t="shared" si="109"/>
        <v>0</v>
      </c>
      <c r="V211" s="24">
        <f t="shared" si="109"/>
        <v>8042.0800000000008</v>
      </c>
      <c r="W211" s="24">
        <f t="shared" si="109"/>
        <v>15375.281290322582</v>
      </c>
      <c r="X211" s="24">
        <f t="shared" si="109"/>
        <v>0</v>
      </c>
      <c r="Y211" s="24">
        <f t="shared" si="109"/>
        <v>8152.02</v>
      </c>
      <c r="Z211" s="24">
        <f t="shared" si="109"/>
        <v>15964.591612903227</v>
      </c>
      <c r="AA211" s="24">
        <f t="shared" si="109"/>
        <v>0</v>
      </c>
      <c r="AB211" s="24">
        <f t="shared" si="109"/>
        <v>8152.02</v>
      </c>
      <c r="AC211" s="24">
        <f t="shared" si="109"/>
        <v>16189.320000000002</v>
      </c>
      <c r="AD211" s="24">
        <f t="shared" si="109"/>
        <v>262.9683870967765</v>
      </c>
      <c r="AE211" s="24">
        <f t="shared" si="109"/>
        <v>8218.9400000000023</v>
      </c>
      <c r="AF211" s="24">
        <f t="shared" si="109"/>
        <v>15898.788236559143</v>
      </c>
      <c r="AG211" s="24">
        <f t="shared" si="109"/>
        <v>0</v>
      </c>
      <c r="AH211" s="24">
        <f t="shared" si="109"/>
        <v>8261.9600000000009</v>
      </c>
      <c r="AI211" s="24">
        <f t="shared" si="109"/>
        <v>15641.110967741937</v>
      </c>
      <c r="AJ211" s="24">
        <f t="shared" si="109"/>
        <v>0</v>
      </c>
      <c r="AK211" s="24">
        <f t="shared" si="109"/>
        <v>8261.9600000000009</v>
      </c>
      <c r="AL211" s="24">
        <f t="shared" si="109"/>
        <v>16128.345161290323</v>
      </c>
      <c r="AM211" s="24">
        <f t="shared" si="109"/>
        <v>0</v>
      </c>
      <c r="AN211" s="24">
        <f t="shared" si="109"/>
        <v>8324.1</v>
      </c>
      <c r="AO211" s="24">
        <f t="shared" si="109"/>
        <v>16552.600000000002</v>
      </c>
      <c r="AP211" s="24">
        <f t="shared" si="109"/>
        <v>268.51935483870875</v>
      </c>
      <c r="AQ211" s="24">
        <f t="shared" si="109"/>
        <v>8324.0999999999985</v>
      </c>
      <c r="AR211" s="24">
        <f t="shared" si="109"/>
        <v>16055.95258064516</v>
      </c>
      <c r="AS211" s="24">
        <f t="shared" si="109"/>
        <v>0</v>
      </c>
    </row>
    <row r="212" spans="2:45" outlineLevel="1" collapsed="1" x14ac:dyDescent="0.15">
      <c r="B212" s="107" t="s">
        <v>375</v>
      </c>
      <c r="J212" s="14">
        <f t="shared" ref="J212:AS212" si="110">SUM(J210:J211)</f>
        <v>6655</v>
      </c>
      <c r="K212" s="14">
        <f t="shared" si="110"/>
        <v>8817.8188172043028</v>
      </c>
      <c r="L212" s="14">
        <f t="shared" si="110"/>
        <v>320.00000000000028</v>
      </c>
      <c r="M212" s="14">
        <f t="shared" si="110"/>
        <v>8318.2974193548398</v>
      </c>
      <c r="N212" s="14">
        <f t="shared" si="110"/>
        <v>16078.89741935484</v>
      </c>
      <c r="O212" s="14">
        <f t="shared" si="110"/>
        <v>309.677419354839</v>
      </c>
      <c r="P212" s="14">
        <f t="shared" si="110"/>
        <v>8351.7574193548389</v>
      </c>
      <c r="Q212" s="14">
        <f t="shared" si="110"/>
        <v>16347.562580645163</v>
      </c>
      <c r="R212" s="14">
        <f t="shared" si="110"/>
        <v>309.677419354839</v>
      </c>
      <c r="S212" s="14">
        <f t="shared" si="110"/>
        <v>8328.6200000000008</v>
      </c>
      <c r="T212" s="14">
        <f t="shared" si="110"/>
        <v>15834.00148387097</v>
      </c>
      <c r="U212" s="14">
        <f t="shared" si="110"/>
        <v>320.00000000000028</v>
      </c>
      <c r="V212" s="14">
        <f t="shared" si="110"/>
        <v>8351.7574193548389</v>
      </c>
      <c r="W212" s="14">
        <f t="shared" si="110"/>
        <v>15684.958709677421</v>
      </c>
      <c r="X212" s="14">
        <f t="shared" si="110"/>
        <v>320.00000000000028</v>
      </c>
      <c r="Y212" s="14">
        <f t="shared" si="110"/>
        <v>8461.6974193548394</v>
      </c>
      <c r="Z212" s="14">
        <f t="shared" si="110"/>
        <v>16284.591612903227</v>
      </c>
      <c r="AA212" s="14">
        <f t="shared" si="110"/>
        <v>309.677419354839</v>
      </c>
      <c r="AB212" s="14">
        <f t="shared" si="110"/>
        <v>8461.6974193548394</v>
      </c>
      <c r="AC212" s="14">
        <f t="shared" si="110"/>
        <v>16529.965161290325</v>
      </c>
      <c r="AD212" s="14">
        <f t="shared" si="110"/>
        <v>572.6458064516155</v>
      </c>
      <c r="AE212" s="14">
        <f t="shared" si="110"/>
        <v>8538.9400000000023</v>
      </c>
      <c r="AF212" s="14">
        <f t="shared" si="110"/>
        <v>16208.465655913982</v>
      </c>
      <c r="AG212" s="14">
        <f t="shared" si="110"/>
        <v>320.00000000000034</v>
      </c>
      <c r="AH212" s="14">
        <f t="shared" si="110"/>
        <v>8571.6374193548399</v>
      </c>
      <c r="AI212" s="14">
        <f t="shared" si="110"/>
        <v>15950.788387096776</v>
      </c>
      <c r="AJ212" s="14">
        <f t="shared" si="110"/>
        <v>320.00000000000034</v>
      </c>
      <c r="AK212" s="14">
        <f t="shared" si="110"/>
        <v>8571.6374193548399</v>
      </c>
      <c r="AL212" s="14">
        <f t="shared" si="110"/>
        <v>16448.345161290323</v>
      </c>
      <c r="AM212" s="14">
        <f t="shared" si="110"/>
        <v>309.67741935483906</v>
      </c>
      <c r="AN212" s="14">
        <f t="shared" si="110"/>
        <v>8633.7774193548394</v>
      </c>
      <c r="AO212" s="14">
        <f t="shared" si="110"/>
        <v>16893.245161290324</v>
      </c>
      <c r="AP212" s="14">
        <f t="shared" si="110"/>
        <v>578.19677419354787</v>
      </c>
      <c r="AQ212" s="14">
        <f t="shared" si="110"/>
        <v>8644.0999999999985</v>
      </c>
      <c r="AR212" s="14">
        <f t="shared" si="110"/>
        <v>16365.63</v>
      </c>
      <c r="AS212" s="14">
        <f t="shared" si="110"/>
        <v>320.0000000000004</v>
      </c>
    </row>
    <row r="213" spans="2:45" hidden="1" outlineLevel="2" x14ac:dyDescent="0.15"/>
    <row r="214" spans="2:45" hidden="1" outlineLevel="2" x14ac:dyDescent="0.15">
      <c r="B214" s="107" t="str">
        <f>B166</f>
        <v>Creditors (Monthly)</v>
      </c>
      <c r="J214" s="23">
        <f t="shared" ref="J214:AS214" si="111">J168</f>
        <v>320</v>
      </c>
      <c r="K214" s="23">
        <f t="shared" si="111"/>
        <v>320</v>
      </c>
      <c r="L214" s="23">
        <f t="shared" si="111"/>
        <v>320</v>
      </c>
      <c r="M214" s="23">
        <f t="shared" si="111"/>
        <v>320</v>
      </c>
      <c r="N214" s="23">
        <f t="shared" si="111"/>
        <v>320</v>
      </c>
      <c r="O214" s="23">
        <f t="shared" si="111"/>
        <v>320</v>
      </c>
      <c r="P214" s="23">
        <f t="shared" si="111"/>
        <v>320</v>
      </c>
      <c r="Q214" s="23">
        <f t="shared" si="111"/>
        <v>320</v>
      </c>
      <c r="R214" s="23">
        <f t="shared" si="111"/>
        <v>320</v>
      </c>
      <c r="S214" s="23">
        <f t="shared" si="111"/>
        <v>320</v>
      </c>
      <c r="T214" s="23">
        <f t="shared" si="111"/>
        <v>320</v>
      </c>
      <c r="U214" s="23">
        <f t="shared" si="111"/>
        <v>320</v>
      </c>
      <c r="V214" s="23">
        <f t="shared" si="111"/>
        <v>320</v>
      </c>
      <c r="W214" s="23">
        <f t="shared" si="111"/>
        <v>320</v>
      </c>
      <c r="X214" s="23">
        <f t="shared" si="111"/>
        <v>320</v>
      </c>
      <c r="Y214" s="23">
        <f t="shared" si="111"/>
        <v>320</v>
      </c>
      <c r="Z214" s="23">
        <f t="shared" si="111"/>
        <v>320</v>
      </c>
      <c r="AA214" s="23">
        <f t="shared" si="111"/>
        <v>320</v>
      </c>
      <c r="AB214" s="23">
        <f t="shared" si="111"/>
        <v>320</v>
      </c>
      <c r="AC214" s="23">
        <f t="shared" si="111"/>
        <v>320</v>
      </c>
      <c r="AD214" s="23">
        <f t="shared" si="111"/>
        <v>320</v>
      </c>
      <c r="AE214" s="23">
        <f t="shared" si="111"/>
        <v>320</v>
      </c>
      <c r="AF214" s="23">
        <f t="shared" si="111"/>
        <v>320</v>
      </c>
      <c r="AG214" s="23">
        <f t="shared" si="111"/>
        <v>320</v>
      </c>
      <c r="AH214" s="23">
        <f t="shared" si="111"/>
        <v>320</v>
      </c>
      <c r="AI214" s="23">
        <f t="shared" si="111"/>
        <v>320</v>
      </c>
      <c r="AJ214" s="23">
        <f t="shared" si="111"/>
        <v>320</v>
      </c>
      <c r="AK214" s="23">
        <f t="shared" si="111"/>
        <v>320</v>
      </c>
      <c r="AL214" s="23">
        <f t="shared" si="111"/>
        <v>320</v>
      </c>
      <c r="AM214" s="23">
        <f t="shared" si="111"/>
        <v>320</v>
      </c>
      <c r="AN214" s="23">
        <f t="shared" si="111"/>
        <v>320</v>
      </c>
      <c r="AO214" s="23">
        <f t="shared" si="111"/>
        <v>320</v>
      </c>
      <c r="AP214" s="23">
        <f t="shared" si="111"/>
        <v>320</v>
      </c>
      <c r="AQ214" s="23">
        <f t="shared" si="111"/>
        <v>320</v>
      </c>
      <c r="AR214" s="23">
        <f t="shared" si="111"/>
        <v>320</v>
      </c>
      <c r="AS214" s="23">
        <f t="shared" si="111"/>
        <v>320</v>
      </c>
    </row>
    <row r="215" spans="2:45" hidden="1" outlineLevel="2" collapsed="1" x14ac:dyDescent="0.15">
      <c r="B215" s="107" t="str">
        <f>B187</f>
        <v>Creditors (Quarterly)</v>
      </c>
      <c r="J215" s="24">
        <f t="shared" ref="J215:AS215" si="112">J189</f>
        <v>8042.0800000000008</v>
      </c>
      <c r="K215" s="24">
        <f t="shared" si="112"/>
        <v>7975.1600000000008</v>
      </c>
      <c r="L215" s="24">
        <f t="shared" si="112"/>
        <v>8008.6200000000008</v>
      </c>
      <c r="M215" s="24">
        <f t="shared" si="112"/>
        <v>8008.6200000000008</v>
      </c>
      <c r="N215" s="24">
        <f t="shared" si="112"/>
        <v>7975.1600000000008</v>
      </c>
      <c r="O215" s="24">
        <f t="shared" si="112"/>
        <v>8042.0800000000008</v>
      </c>
      <c r="P215" s="24">
        <f t="shared" si="112"/>
        <v>7975.1600000000008</v>
      </c>
      <c r="Q215" s="24">
        <f t="shared" si="112"/>
        <v>7975.1600000000008</v>
      </c>
      <c r="R215" s="24">
        <f t="shared" si="112"/>
        <v>8008.6200000000008</v>
      </c>
      <c r="S215" s="24">
        <f t="shared" si="112"/>
        <v>8042.0800000000008</v>
      </c>
      <c r="T215" s="24">
        <f t="shared" si="112"/>
        <v>7941.7000000000007</v>
      </c>
      <c r="U215" s="24">
        <f t="shared" si="112"/>
        <v>8042.0800000000008</v>
      </c>
      <c r="V215" s="24">
        <f t="shared" si="112"/>
        <v>8113.7800000000007</v>
      </c>
      <c r="W215" s="24">
        <f t="shared" si="112"/>
        <v>8075.5400000000009</v>
      </c>
      <c r="X215" s="24">
        <f t="shared" si="112"/>
        <v>8152.02</v>
      </c>
      <c r="Y215" s="24">
        <f t="shared" si="112"/>
        <v>8075.5400000000009</v>
      </c>
      <c r="Z215" s="24">
        <f t="shared" si="112"/>
        <v>8113.7800000000007</v>
      </c>
      <c r="AA215" s="24">
        <f t="shared" si="112"/>
        <v>8152.02</v>
      </c>
      <c r="AB215" s="24">
        <f t="shared" si="112"/>
        <v>8037.3000000000011</v>
      </c>
      <c r="AC215" s="24">
        <f t="shared" si="112"/>
        <v>8175.920000000001</v>
      </c>
      <c r="AD215" s="24">
        <f t="shared" si="112"/>
        <v>8218.94</v>
      </c>
      <c r="AE215" s="24">
        <f t="shared" si="112"/>
        <v>8218.94</v>
      </c>
      <c r="AF215" s="24">
        <f t="shared" si="112"/>
        <v>8175.920000000001</v>
      </c>
      <c r="AG215" s="24">
        <f t="shared" si="112"/>
        <v>8261.9600000000009</v>
      </c>
      <c r="AH215" s="24">
        <f t="shared" si="112"/>
        <v>8175.920000000001</v>
      </c>
      <c r="AI215" s="24">
        <f t="shared" si="112"/>
        <v>8218.94</v>
      </c>
      <c r="AJ215" s="24">
        <f t="shared" si="112"/>
        <v>8261.9600000000009</v>
      </c>
      <c r="AK215" s="24">
        <f t="shared" si="112"/>
        <v>8132.9000000000005</v>
      </c>
      <c r="AL215" s="24">
        <f t="shared" si="112"/>
        <v>8261.9600000000009</v>
      </c>
      <c r="AM215" s="24">
        <f t="shared" si="112"/>
        <v>8324.1</v>
      </c>
      <c r="AN215" s="24">
        <f t="shared" si="112"/>
        <v>8228.5000000000018</v>
      </c>
      <c r="AO215" s="24">
        <f t="shared" si="112"/>
        <v>8324.1</v>
      </c>
      <c r="AP215" s="24">
        <f t="shared" si="112"/>
        <v>8324.1</v>
      </c>
      <c r="AQ215" s="24">
        <f t="shared" si="112"/>
        <v>8276.3000000000011</v>
      </c>
      <c r="AR215" s="24">
        <f t="shared" si="112"/>
        <v>8324.1</v>
      </c>
      <c r="AS215" s="24">
        <f t="shared" si="112"/>
        <v>8371.9000000000015</v>
      </c>
    </row>
    <row r="216" spans="2:45" outlineLevel="1" collapsed="1" x14ac:dyDescent="0.15">
      <c r="B216" s="107" t="s">
        <v>159</v>
      </c>
      <c r="J216" s="14">
        <f t="shared" ref="J216:AS216" si="113">SUM(J214:J215)</f>
        <v>8362.0800000000017</v>
      </c>
      <c r="K216" s="14">
        <f t="shared" si="113"/>
        <v>8295.16</v>
      </c>
      <c r="L216" s="14">
        <f t="shared" si="113"/>
        <v>8328.6200000000008</v>
      </c>
      <c r="M216" s="14">
        <f t="shared" si="113"/>
        <v>8328.6200000000008</v>
      </c>
      <c r="N216" s="14">
        <f t="shared" si="113"/>
        <v>8295.16</v>
      </c>
      <c r="O216" s="14">
        <f t="shared" si="113"/>
        <v>8362.0800000000017</v>
      </c>
      <c r="P216" s="14">
        <f t="shared" si="113"/>
        <v>8295.16</v>
      </c>
      <c r="Q216" s="14">
        <f t="shared" si="113"/>
        <v>8295.16</v>
      </c>
      <c r="R216" s="14">
        <f t="shared" si="113"/>
        <v>8328.6200000000008</v>
      </c>
      <c r="S216" s="14">
        <f t="shared" si="113"/>
        <v>8362.0800000000017</v>
      </c>
      <c r="T216" s="14">
        <f t="shared" si="113"/>
        <v>8261.7000000000007</v>
      </c>
      <c r="U216" s="14">
        <f t="shared" si="113"/>
        <v>8362.0800000000017</v>
      </c>
      <c r="V216" s="14">
        <f t="shared" si="113"/>
        <v>8433.7800000000007</v>
      </c>
      <c r="W216" s="14">
        <f t="shared" si="113"/>
        <v>8395.5400000000009</v>
      </c>
      <c r="X216" s="14">
        <f t="shared" si="113"/>
        <v>8472.02</v>
      </c>
      <c r="Y216" s="14">
        <f t="shared" si="113"/>
        <v>8395.5400000000009</v>
      </c>
      <c r="Z216" s="14">
        <f t="shared" si="113"/>
        <v>8433.7800000000007</v>
      </c>
      <c r="AA216" s="14">
        <f t="shared" si="113"/>
        <v>8472.02</v>
      </c>
      <c r="AB216" s="14">
        <f t="shared" si="113"/>
        <v>8357.3000000000011</v>
      </c>
      <c r="AC216" s="14">
        <f t="shared" si="113"/>
        <v>8495.9200000000019</v>
      </c>
      <c r="AD216" s="14">
        <f t="shared" si="113"/>
        <v>8538.94</v>
      </c>
      <c r="AE216" s="14">
        <f t="shared" si="113"/>
        <v>8538.94</v>
      </c>
      <c r="AF216" s="14">
        <f t="shared" si="113"/>
        <v>8495.9200000000019</v>
      </c>
      <c r="AG216" s="14">
        <f t="shared" si="113"/>
        <v>8581.9600000000009</v>
      </c>
      <c r="AH216" s="14">
        <f t="shared" si="113"/>
        <v>8495.9200000000019</v>
      </c>
      <c r="AI216" s="14">
        <f t="shared" si="113"/>
        <v>8538.94</v>
      </c>
      <c r="AJ216" s="14">
        <f t="shared" si="113"/>
        <v>8581.9600000000009</v>
      </c>
      <c r="AK216" s="14">
        <f t="shared" si="113"/>
        <v>8452.9000000000015</v>
      </c>
      <c r="AL216" s="14">
        <f t="shared" si="113"/>
        <v>8581.9600000000009</v>
      </c>
      <c r="AM216" s="14">
        <f t="shared" si="113"/>
        <v>8644.1</v>
      </c>
      <c r="AN216" s="14">
        <f t="shared" si="113"/>
        <v>8548.5000000000018</v>
      </c>
      <c r="AO216" s="14">
        <f t="shared" si="113"/>
        <v>8644.1</v>
      </c>
      <c r="AP216" s="14">
        <f t="shared" si="113"/>
        <v>8644.1</v>
      </c>
      <c r="AQ216" s="14">
        <f t="shared" si="113"/>
        <v>8596.3000000000011</v>
      </c>
      <c r="AR216" s="14">
        <f t="shared" si="113"/>
        <v>8644.1</v>
      </c>
      <c r="AS216" s="14">
        <f t="shared" si="113"/>
        <v>8691.9000000000015</v>
      </c>
    </row>
    <row r="217" spans="2:45" hidden="1" outlineLevel="2" x14ac:dyDescent="0.15"/>
    <row r="218" spans="2:45" hidden="1" outlineLevel="2" x14ac:dyDescent="0.15">
      <c r="B218" s="107" t="str">
        <f>B166</f>
        <v>Creditors (Monthly)</v>
      </c>
      <c r="J218" s="23">
        <f t="shared" ref="J218:AS218" si="114">J181</f>
        <v>-5164.322580645161</v>
      </c>
      <c r="K218" s="23">
        <f t="shared" si="114"/>
        <v>-309.67741935483872</v>
      </c>
      <c r="L218" s="23">
        <f t="shared" si="114"/>
        <v>-330.32258064516128</v>
      </c>
      <c r="M218" s="23">
        <f t="shared" si="114"/>
        <v>-309.67741935483872</v>
      </c>
      <c r="N218" s="23">
        <f t="shared" si="114"/>
        <v>-330.32258064516128</v>
      </c>
      <c r="O218" s="23">
        <f t="shared" si="114"/>
        <v>-320</v>
      </c>
      <c r="P218" s="23">
        <f t="shared" si="114"/>
        <v>-299.35483870967744</v>
      </c>
      <c r="Q218" s="23">
        <f t="shared" si="114"/>
        <v>-340.64516129032256</v>
      </c>
      <c r="R218" s="23">
        <f t="shared" si="114"/>
        <v>-309.67741935483872</v>
      </c>
      <c r="S218" s="23">
        <f t="shared" si="114"/>
        <v>-330.32258064516128</v>
      </c>
      <c r="T218" s="23">
        <f t="shared" si="114"/>
        <v>-309.67741935483872</v>
      </c>
      <c r="U218" s="23">
        <f t="shared" si="114"/>
        <v>-330.32258064516128</v>
      </c>
      <c r="V218" s="23">
        <f t="shared" si="114"/>
        <v>-320</v>
      </c>
      <c r="W218" s="23">
        <f t="shared" si="114"/>
        <v>-309.67741935483872</v>
      </c>
      <c r="X218" s="23">
        <f t="shared" si="114"/>
        <v>-330.32258064516128</v>
      </c>
      <c r="Y218" s="23">
        <f t="shared" si="114"/>
        <v>-309.67741935483872</v>
      </c>
      <c r="Z218" s="23">
        <f t="shared" si="114"/>
        <v>-330.32258064516128</v>
      </c>
      <c r="AA218" s="23">
        <f t="shared" si="114"/>
        <v>-320</v>
      </c>
      <c r="AB218" s="23">
        <f t="shared" si="114"/>
        <v>-289.0322580645161</v>
      </c>
      <c r="AC218" s="23">
        <f t="shared" si="114"/>
        <v>-350.96774193548384</v>
      </c>
      <c r="AD218" s="23">
        <f t="shared" si="114"/>
        <v>-309.67741935483872</v>
      </c>
      <c r="AE218" s="23">
        <f t="shared" si="114"/>
        <v>-330.32258064516128</v>
      </c>
      <c r="AF218" s="23">
        <f t="shared" si="114"/>
        <v>-309.67741935483872</v>
      </c>
      <c r="AG218" s="23">
        <f t="shared" si="114"/>
        <v>-330.32258064516128</v>
      </c>
      <c r="AH218" s="23">
        <f t="shared" si="114"/>
        <v>-320</v>
      </c>
      <c r="AI218" s="23">
        <f t="shared" si="114"/>
        <v>-309.67741935483872</v>
      </c>
      <c r="AJ218" s="23">
        <f t="shared" si="114"/>
        <v>-330.32258064516128</v>
      </c>
      <c r="AK218" s="23">
        <f t="shared" si="114"/>
        <v>-309.67741935483872</v>
      </c>
      <c r="AL218" s="23">
        <f t="shared" si="114"/>
        <v>-330.32258064516128</v>
      </c>
      <c r="AM218" s="23">
        <f t="shared" si="114"/>
        <v>-320</v>
      </c>
      <c r="AN218" s="23">
        <f t="shared" si="114"/>
        <v>-289.0322580645161</v>
      </c>
      <c r="AO218" s="23">
        <f t="shared" si="114"/>
        <v>-350.96774193548384</v>
      </c>
      <c r="AP218" s="23">
        <f t="shared" si="114"/>
        <v>-309.67741935483872</v>
      </c>
      <c r="AQ218" s="23">
        <f t="shared" si="114"/>
        <v>-330.32258064516128</v>
      </c>
      <c r="AR218" s="23">
        <f t="shared" si="114"/>
        <v>-309.67741935483872</v>
      </c>
      <c r="AS218" s="23">
        <f t="shared" si="114"/>
        <v>-330.32258064516128</v>
      </c>
    </row>
    <row r="219" spans="2:45" hidden="1" outlineLevel="2" collapsed="1" x14ac:dyDescent="0.15">
      <c r="B219" s="107" t="str">
        <f>B187</f>
        <v>Creditors (Quarterly)</v>
      </c>
      <c r="J219" s="24">
        <f t="shared" ref="J219:AS219" si="115">J202</f>
        <v>-1034.9386021505377</v>
      </c>
      <c r="K219" s="24">
        <f t="shared" si="115"/>
        <v>-16483.301397849464</v>
      </c>
      <c r="L219" s="24">
        <f t="shared" si="115"/>
        <v>0</v>
      </c>
      <c r="M219" s="24">
        <f t="shared" si="115"/>
        <v>-258.34258064516132</v>
      </c>
      <c r="N219" s="24">
        <f t="shared" si="115"/>
        <v>-23734.057419354842</v>
      </c>
      <c r="O219" s="24">
        <f t="shared" si="115"/>
        <v>0</v>
      </c>
      <c r="P219" s="24">
        <f t="shared" si="115"/>
        <v>0</v>
      </c>
      <c r="Q219" s="24">
        <f t="shared" si="115"/>
        <v>-23992.400000000001</v>
      </c>
      <c r="R219" s="24">
        <f t="shared" si="115"/>
        <v>0</v>
      </c>
      <c r="S219" s="24">
        <f t="shared" si="115"/>
        <v>-526.37593548387099</v>
      </c>
      <c r="T219" s="24">
        <f t="shared" si="115"/>
        <v>-23466.024064516132</v>
      </c>
      <c r="U219" s="24">
        <f t="shared" si="115"/>
        <v>0</v>
      </c>
      <c r="V219" s="24">
        <f t="shared" si="115"/>
        <v>-780.5787096774194</v>
      </c>
      <c r="W219" s="24">
        <f t="shared" si="115"/>
        <v>-23450.821290322583</v>
      </c>
      <c r="X219" s="24">
        <f t="shared" si="115"/>
        <v>0</v>
      </c>
      <c r="Y219" s="24">
        <f t="shared" si="115"/>
        <v>-262.96838709677422</v>
      </c>
      <c r="Z219" s="24">
        <f t="shared" si="115"/>
        <v>-24078.371612903229</v>
      </c>
      <c r="AA219" s="24">
        <f t="shared" si="115"/>
        <v>0</v>
      </c>
      <c r="AB219" s="24">
        <f t="shared" si="115"/>
        <v>0</v>
      </c>
      <c r="AC219" s="24">
        <f t="shared" si="115"/>
        <v>-24102.271612903227</v>
      </c>
      <c r="AD219" s="24">
        <f t="shared" si="115"/>
        <v>-262.96838709677422</v>
      </c>
      <c r="AE219" s="24">
        <f t="shared" si="115"/>
        <v>-539.09176344086018</v>
      </c>
      <c r="AF219" s="24">
        <f t="shared" si="115"/>
        <v>-24074.708236559141</v>
      </c>
      <c r="AG219" s="24">
        <f t="shared" si="115"/>
        <v>0</v>
      </c>
      <c r="AH219" s="24">
        <f t="shared" si="115"/>
        <v>-796.76903225806461</v>
      </c>
      <c r="AI219" s="24">
        <f t="shared" si="115"/>
        <v>-23860.050967741936</v>
      </c>
      <c r="AJ219" s="24">
        <f t="shared" si="115"/>
        <v>0</v>
      </c>
      <c r="AK219" s="24">
        <f t="shared" si="115"/>
        <v>-266.51483870967746</v>
      </c>
      <c r="AL219" s="24">
        <f t="shared" si="115"/>
        <v>-24390.305161290325</v>
      </c>
      <c r="AM219" s="24">
        <f t="shared" si="115"/>
        <v>0</v>
      </c>
      <c r="AN219" s="24">
        <f t="shared" si="115"/>
        <v>0</v>
      </c>
      <c r="AO219" s="24">
        <f t="shared" si="115"/>
        <v>-24608.180645161294</v>
      </c>
      <c r="AP219" s="24">
        <f t="shared" si="115"/>
        <v>-268.51935483870972</v>
      </c>
      <c r="AQ219" s="24">
        <f t="shared" si="115"/>
        <v>-544.44741935483876</v>
      </c>
      <c r="AR219" s="24">
        <f t="shared" si="115"/>
        <v>-24380.052580645162</v>
      </c>
      <c r="AS219" s="24">
        <f t="shared" si="115"/>
        <v>0</v>
      </c>
    </row>
    <row r="220" spans="2:45" outlineLevel="1" collapsed="1" x14ac:dyDescent="0.15">
      <c r="B220" s="107" t="s">
        <v>126</v>
      </c>
      <c r="J220" s="14">
        <f t="shared" ref="J220:AS220" si="116">SUM(J218:J219)</f>
        <v>-6199.2611827956989</v>
      </c>
      <c r="K220" s="14">
        <f t="shared" si="116"/>
        <v>-16792.978817204301</v>
      </c>
      <c r="L220" s="14">
        <f t="shared" si="116"/>
        <v>-330.32258064516128</v>
      </c>
      <c r="M220" s="14">
        <f t="shared" si="116"/>
        <v>-568.02</v>
      </c>
      <c r="N220" s="14">
        <f t="shared" si="116"/>
        <v>-24064.380000000005</v>
      </c>
      <c r="O220" s="14">
        <f t="shared" si="116"/>
        <v>-320</v>
      </c>
      <c r="P220" s="14">
        <f t="shared" si="116"/>
        <v>-299.35483870967744</v>
      </c>
      <c r="Q220" s="14">
        <f t="shared" si="116"/>
        <v>-24333.045161290323</v>
      </c>
      <c r="R220" s="14">
        <f t="shared" si="116"/>
        <v>-309.67741935483872</v>
      </c>
      <c r="S220" s="14">
        <f t="shared" si="116"/>
        <v>-856.69851612903221</v>
      </c>
      <c r="T220" s="14">
        <f t="shared" si="116"/>
        <v>-23775.701483870969</v>
      </c>
      <c r="U220" s="14">
        <f t="shared" si="116"/>
        <v>-330.32258064516128</v>
      </c>
      <c r="V220" s="14">
        <f t="shared" si="116"/>
        <v>-1100.5787096774193</v>
      </c>
      <c r="W220" s="14">
        <f t="shared" si="116"/>
        <v>-23760.49870967742</v>
      </c>
      <c r="X220" s="14">
        <f t="shared" si="116"/>
        <v>-330.32258064516128</v>
      </c>
      <c r="Y220" s="14">
        <f t="shared" si="116"/>
        <v>-572.645806451613</v>
      </c>
      <c r="Z220" s="14">
        <f t="shared" si="116"/>
        <v>-24408.694193548392</v>
      </c>
      <c r="AA220" s="14">
        <f t="shared" si="116"/>
        <v>-320</v>
      </c>
      <c r="AB220" s="14">
        <f t="shared" si="116"/>
        <v>-289.0322580645161</v>
      </c>
      <c r="AC220" s="14">
        <f t="shared" si="116"/>
        <v>-24453.239354838712</v>
      </c>
      <c r="AD220" s="14">
        <f t="shared" si="116"/>
        <v>-572.645806451613</v>
      </c>
      <c r="AE220" s="14">
        <f t="shared" si="116"/>
        <v>-869.4143440860214</v>
      </c>
      <c r="AF220" s="14">
        <f t="shared" si="116"/>
        <v>-24384.385655913979</v>
      </c>
      <c r="AG220" s="14">
        <f t="shared" si="116"/>
        <v>-330.32258064516128</v>
      </c>
      <c r="AH220" s="14">
        <f t="shared" si="116"/>
        <v>-1116.7690322580647</v>
      </c>
      <c r="AI220" s="14">
        <f t="shared" si="116"/>
        <v>-24169.728387096773</v>
      </c>
      <c r="AJ220" s="14">
        <f t="shared" si="116"/>
        <v>-330.32258064516128</v>
      </c>
      <c r="AK220" s="14">
        <f t="shared" si="116"/>
        <v>-576.19225806451618</v>
      </c>
      <c r="AL220" s="14">
        <f t="shared" si="116"/>
        <v>-24720.627741935488</v>
      </c>
      <c r="AM220" s="14">
        <f t="shared" si="116"/>
        <v>-320</v>
      </c>
      <c r="AN220" s="14">
        <f t="shared" si="116"/>
        <v>-289.0322580645161</v>
      </c>
      <c r="AO220" s="14">
        <f t="shared" si="116"/>
        <v>-24959.148387096779</v>
      </c>
      <c r="AP220" s="14">
        <f t="shared" si="116"/>
        <v>-578.19677419354844</v>
      </c>
      <c r="AQ220" s="14">
        <f t="shared" si="116"/>
        <v>-874.77</v>
      </c>
      <c r="AR220" s="14">
        <f t="shared" si="116"/>
        <v>-24689.73</v>
      </c>
      <c r="AS220" s="14">
        <f t="shared" si="116"/>
        <v>-330.32258064516128</v>
      </c>
    </row>
    <row r="221" spans="2:45" hidden="1" outlineLevel="2" x14ac:dyDescent="0.15"/>
    <row r="222" spans="2:45" hidden="1" outlineLevel="2" x14ac:dyDescent="0.15">
      <c r="B222" s="107" t="str">
        <f>B166</f>
        <v>Creditors (Monthly)</v>
      </c>
      <c r="J222" s="23">
        <f t="shared" ref="J222:AS222" si="117">J182</f>
        <v>-4844.322580645161</v>
      </c>
      <c r="K222" s="23">
        <f t="shared" si="117"/>
        <v>10.322580645161281</v>
      </c>
      <c r="L222" s="23">
        <f t="shared" si="117"/>
        <v>-10.322580645161281</v>
      </c>
      <c r="M222" s="23">
        <f t="shared" si="117"/>
        <v>10.322580645161281</v>
      </c>
      <c r="N222" s="23">
        <f t="shared" si="117"/>
        <v>-10.322580645161281</v>
      </c>
      <c r="O222" s="23">
        <f t="shared" si="117"/>
        <v>0</v>
      </c>
      <c r="P222" s="23">
        <f t="shared" si="117"/>
        <v>20.645161290322562</v>
      </c>
      <c r="Q222" s="23">
        <f t="shared" si="117"/>
        <v>-20.645161290322562</v>
      </c>
      <c r="R222" s="23">
        <f t="shared" si="117"/>
        <v>10.322580645161281</v>
      </c>
      <c r="S222" s="23">
        <f t="shared" si="117"/>
        <v>-10.322580645161281</v>
      </c>
      <c r="T222" s="23">
        <f t="shared" si="117"/>
        <v>10.322580645161281</v>
      </c>
      <c r="U222" s="23">
        <f t="shared" si="117"/>
        <v>-10.322580645161281</v>
      </c>
      <c r="V222" s="23">
        <f t="shared" si="117"/>
        <v>0</v>
      </c>
      <c r="W222" s="23">
        <f t="shared" si="117"/>
        <v>10.322580645161281</v>
      </c>
      <c r="X222" s="23">
        <f t="shared" si="117"/>
        <v>-10.322580645161281</v>
      </c>
      <c r="Y222" s="23">
        <f t="shared" si="117"/>
        <v>10.322580645161281</v>
      </c>
      <c r="Z222" s="23">
        <f t="shared" si="117"/>
        <v>-10.322580645161281</v>
      </c>
      <c r="AA222" s="23">
        <f t="shared" si="117"/>
        <v>0</v>
      </c>
      <c r="AB222" s="23">
        <f t="shared" si="117"/>
        <v>30.9677419354839</v>
      </c>
      <c r="AC222" s="23">
        <f t="shared" si="117"/>
        <v>-30.967741935483843</v>
      </c>
      <c r="AD222" s="23">
        <f t="shared" si="117"/>
        <v>10.322580645161281</v>
      </c>
      <c r="AE222" s="23">
        <f t="shared" si="117"/>
        <v>-10.322580645161281</v>
      </c>
      <c r="AF222" s="23">
        <f t="shared" si="117"/>
        <v>10.322580645161281</v>
      </c>
      <c r="AG222" s="23">
        <f t="shared" si="117"/>
        <v>-10.322580645161281</v>
      </c>
      <c r="AH222" s="23">
        <f t="shared" si="117"/>
        <v>0</v>
      </c>
      <c r="AI222" s="23">
        <f t="shared" si="117"/>
        <v>10.322580645161281</v>
      </c>
      <c r="AJ222" s="23">
        <f t="shared" si="117"/>
        <v>-10.322580645161281</v>
      </c>
      <c r="AK222" s="23">
        <f t="shared" si="117"/>
        <v>10.322580645161281</v>
      </c>
      <c r="AL222" s="23">
        <f t="shared" si="117"/>
        <v>-10.322580645161281</v>
      </c>
      <c r="AM222" s="23">
        <f t="shared" si="117"/>
        <v>0</v>
      </c>
      <c r="AN222" s="23">
        <f t="shared" si="117"/>
        <v>30.9677419354839</v>
      </c>
      <c r="AO222" s="23">
        <f t="shared" si="117"/>
        <v>-30.967741935483843</v>
      </c>
      <c r="AP222" s="23">
        <f t="shared" si="117"/>
        <v>10.322580645161281</v>
      </c>
      <c r="AQ222" s="23">
        <f t="shared" si="117"/>
        <v>-10.322580645161281</v>
      </c>
      <c r="AR222" s="23">
        <f t="shared" si="117"/>
        <v>10.322580645161281</v>
      </c>
      <c r="AS222" s="23">
        <f t="shared" si="117"/>
        <v>-10.322580645161281</v>
      </c>
    </row>
    <row r="223" spans="2:45" hidden="1" outlineLevel="2" collapsed="1" x14ac:dyDescent="0.15">
      <c r="B223" s="107" t="str">
        <f>B187</f>
        <v>Creditors (Quarterly)</v>
      </c>
      <c r="J223" s="24">
        <f t="shared" ref="J223:AS223" si="118">J203</f>
        <v>7007.1413978494629</v>
      </c>
      <c r="K223" s="24">
        <f t="shared" si="118"/>
        <v>-8508.1413978494638</v>
      </c>
      <c r="L223" s="24">
        <f t="shared" si="118"/>
        <v>8008.6200000000008</v>
      </c>
      <c r="M223" s="24">
        <f t="shared" si="118"/>
        <v>7750.2774193548394</v>
      </c>
      <c r="N223" s="24">
        <f t="shared" si="118"/>
        <v>-15758.897419354842</v>
      </c>
      <c r="O223" s="24">
        <f t="shared" si="118"/>
        <v>8042.0800000000008</v>
      </c>
      <c r="P223" s="24">
        <f t="shared" si="118"/>
        <v>7975.1600000000008</v>
      </c>
      <c r="Q223" s="24">
        <f t="shared" si="118"/>
        <v>-16017.240000000002</v>
      </c>
      <c r="R223" s="24">
        <f t="shared" si="118"/>
        <v>8008.6200000000008</v>
      </c>
      <c r="S223" s="24">
        <f t="shared" si="118"/>
        <v>7515.7040645161296</v>
      </c>
      <c r="T223" s="24">
        <f t="shared" si="118"/>
        <v>-15524.324064516131</v>
      </c>
      <c r="U223" s="24">
        <f t="shared" si="118"/>
        <v>8042.0800000000008</v>
      </c>
      <c r="V223" s="24">
        <f t="shared" si="118"/>
        <v>7333.2012903225814</v>
      </c>
      <c r="W223" s="24">
        <f t="shared" si="118"/>
        <v>-15375.281290322582</v>
      </c>
      <c r="X223" s="24">
        <f t="shared" si="118"/>
        <v>8152.02</v>
      </c>
      <c r="Y223" s="24">
        <f t="shared" si="118"/>
        <v>7812.5716129032262</v>
      </c>
      <c r="Z223" s="24">
        <f t="shared" si="118"/>
        <v>-15964.591612903228</v>
      </c>
      <c r="AA223" s="24">
        <f t="shared" si="118"/>
        <v>8152.02</v>
      </c>
      <c r="AB223" s="24">
        <f t="shared" si="118"/>
        <v>8037.3000000000011</v>
      </c>
      <c r="AC223" s="24">
        <f t="shared" si="118"/>
        <v>-15926.351612903225</v>
      </c>
      <c r="AD223" s="24">
        <f t="shared" si="118"/>
        <v>7955.9716129032258</v>
      </c>
      <c r="AE223" s="24">
        <f t="shared" si="118"/>
        <v>7679.8482365591408</v>
      </c>
      <c r="AF223" s="24">
        <f t="shared" si="118"/>
        <v>-15898.788236559139</v>
      </c>
      <c r="AG223" s="24">
        <f t="shared" si="118"/>
        <v>8261.9600000000009</v>
      </c>
      <c r="AH223" s="24">
        <f t="shared" si="118"/>
        <v>7379.1509677419363</v>
      </c>
      <c r="AI223" s="24">
        <f t="shared" si="118"/>
        <v>-15641.110967741935</v>
      </c>
      <c r="AJ223" s="24">
        <f t="shared" si="118"/>
        <v>8261.9600000000009</v>
      </c>
      <c r="AK223" s="24">
        <f t="shared" si="118"/>
        <v>7866.3851612903227</v>
      </c>
      <c r="AL223" s="24">
        <f t="shared" si="118"/>
        <v>-16128.345161290325</v>
      </c>
      <c r="AM223" s="24">
        <f t="shared" si="118"/>
        <v>8324.1</v>
      </c>
      <c r="AN223" s="24">
        <f t="shared" si="118"/>
        <v>8228.5000000000018</v>
      </c>
      <c r="AO223" s="24">
        <f t="shared" si="118"/>
        <v>-16284.080645161293</v>
      </c>
      <c r="AP223" s="24">
        <f t="shared" si="118"/>
        <v>8055.5806451612907</v>
      </c>
      <c r="AQ223" s="24">
        <f t="shared" si="118"/>
        <v>7731.8525806451626</v>
      </c>
      <c r="AR223" s="24">
        <f t="shared" si="118"/>
        <v>-16055.952580645162</v>
      </c>
      <c r="AS223" s="24">
        <f t="shared" si="118"/>
        <v>8371.9000000000015</v>
      </c>
    </row>
    <row r="224" spans="2:45" outlineLevel="1" collapsed="1" x14ac:dyDescent="0.15">
      <c r="B224" s="107" t="s">
        <v>420</v>
      </c>
      <c r="J224" s="14">
        <f t="shared" ref="J224:AS224" si="119">SUM(J222:J223)</f>
        <v>2162.8188172043019</v>
      </c>
      <c r="K224" s="14">
        <f t="shared" si="119"/>
        <v>-8497.8188172043028</v>
      </c>
      <c r="L224" s="14">
        <f t="shared" si="119"/>
        <v>7998.2974193548398</v>
      </c>
      <c r="M224" s="14">
        <f t="shared" si="119"/>
        <v>7760.6</v>
      </c>
      <c r="N224" s="14">
        <f t="shared" si="119"/>
        <v>-15769.220000000003</v>
      </c>
      <c r="O224" s="14">
        <f t="shared" si="119"/>
        <v>8042.0800000000008</v>
      </c>
      <c r="P224" s="14">
        <f t="shared" si="119"/>
        <v>7995.8051612903237</v>
      </c>
      <c r="Q224" s="14">
        <f t="shared" si="119"/>
        <v>-16037.885161290324</v>
      </c>
      <c r="R224" s="14">
        <f t="shared" si="119"/>
        <v>8018.9425806451618</v>
      </c>
      <c r="S224" s="14">
        <f t="shared" si="119"/>
        <v>7505.3814838709686</v>
      </c>
      <c r="T224" s="14">
        <f t="shared" si="119"/>
        <v>-15514.00148387097</v>
      </c>
      <c r="U224" s="14">
        <f t="shared" si="119"/>
        <v>8031.7574193548398</v>
      </c>
      <c r="V224" s="14">
        <f t="shared" si="119"/>
        <v>7333.2012903225814</v>
      </c>
      <c r="W224" s="14">
        <f t="shared" si="119"/>
        <v>-15364.958709677421</v>
      </c>
      <c r="X224" s="14">
        <f t="shared" si="119"/>
        <v>8141.6974193548394</v>
      </c>
      <c r="Y224" s="14">
        <f t="shared" si="119"/>
        <v>7822.8941935483872</v>
      </c>
      <c r="Z224" s="14">
        <f t="shared" si="119"/>
        <v>-15974.914193548389</v>
      </c>
      <c r="AA224" s="14">
        <f t="shared" si="119"/>
        <v>8152.02</v>
      </c>
      <c r="AB224" s="14">
        <f t="shared" si="119"/>
        <v>8068.267741935485</v>
      </c>
      <c r="AC224" s="14">
        <f t="shared" si="119"/>
        <v>-15957.319354838708</v>
      </c>
      <c r="AD224" s="14">
        <f t="shared" si="119"/>
        <v>7966.2941935483868</v>
      </c>
      <c r="AE224" s="14">
        <f t="shared" si="119"/>
        <v>7669.5256559139798</v>
      </c>
      <c r="AF224" s="14">
        <f t="shared" si="119"/>
        <v>-15888.465655913978</v>
      </c>
      <c r="AG224" s="14">
        <f t="shared" si="119"/>
        <v>8251.6374193548399</v>
      </c>
      <c r="AH224" s="14">
        <f t="shared" si="119"/>
        <v>7379.1509677419363</v>
      </c>
      <c r="AI224" s="14">
        <f t="shared" si="119"/>
        <v>-15630.788387096774</v>
      </c>
      <c r="AJ224" s="14">
        <f t="shared" si="119"/>
        <v>8251.6374193548399</v>
      </c>
      <c r="AK224" s="14">
        <f t="shared" si="119"/>
        <v>7876.7077419354837</v>
      </c>
      <c r="AL224" s="14">
        <f t="shared" si="119"/>
        <v>-16138.667741935486</v>
      </c>
      <c r="AM224" s="14">
        <f t="shared" si="119"/>
        <v>8324.1</v>
      </c>
      <c r="AN224" s="14">
        <f t="shared" si="119"/>
        <v>8259.4677419354848</v>
      </c>
      <c r="AO224" s="14">
        <f t="shared" si="119"/>
        <v>-16315.048387096776</v>
      </c>
      <c r="AP224" s="14">
        <f t="shared" si="119"/>
        <v>8065.9032258064517</v>
      </c>
      <c r="AQ224" s="14">
        <f t="shared" si="119"/>
        <v>7721.5300000000016</v>
      </c>
      <c r="AR224" s="14">
        <f t="shared" si="119"/>
        <v>-16045.630000000001</v>
      </c>
      <c r="AS224" s="14">
        <f t="shared" si="119"/>
        <v>8361.5774193548405</v>
      </c>
    </row>
    <row r="225" spans="2:45" hidden="1" outlineLevel="2" x14ac:dyDescent="0.15"/>
    <row r="226" spans="2:45" hidden="1" outlineLevel="2" x14ac:dyDescent="0.15">
      <c r="B226" s="107" t="str">
        <f>B166</f>
        <v>Creditors (Monthly)</v>
      </c>
      <c r="J226" s="23">
        <f t="shared" ref="J226:AS226" si="120">J183</f>
        <v>309.677419354839</v>
      </c>
      <c r="K226" s="23">
        <f t="shared" si="120"/>
        <v>320.00000000000028</v>
      </c>
      <c r="L226" s="23">
        <f t="shared" si="120"/>
        <v>309.677419354839</v>
      </c>
      <c r="M226" s="23">
        <f t="shared" si="120"/>
        <v>320.00000000000028</v>
      </c>
      <c r="N226" s="23">
        <f t="shared" si="120"/>
        <v>309.677419354839</v>
      </c>
      <c r="O226" s="23">
        <f t="shared" si="120"/>
        <v>309.677419354839</v>
      </c>
      <c r="P226" s="23">
        <f t="shared" si="120"/>
        <v>330.32258064516157</v>
      </c>
      <c r="Q226" s="23">
        <f t="shared" si="120"/>
        <v>309.677419354839</v>
      </c>
      <c r="R226" s="23">
        <f t="shared" si="120"/>
        <v>320.00000000000028</v>
      </c>
      <c r="S226" s="23">
        <f t="shared" si="120"/>
        <v>309.677419354839</v>
      </c>
      <c r="T226" s="23">
        <f t="shared" si="120"/>
        <v>320.00000000000028</v>
      </c>
      <c r="U226" s="23">
        <f t="shared" si="120"/>
        <v>309.677419354839</v>
      </c>
      <c r="V226" s="23">
        <f t="shared" si="120"/>
        <v>309.677419354839</v>
      </c>
      <c r="W226" s="23">
        <f t="shared" si="120"/>
        <v>320.00000000000028</v>
      </c>
      <c r="X226" s="23">
        <f t="shared" si="120"/>
        <v>309.677419354839</v>
      </c>
      <c r="Y226" s="23">
        <f t="shared" si="120"/>
        <v>320.00000000000028</v>
      </c>
      <c r="Z226" s="23">
        <f t="shared" si="120"/>
        <v>309.677419354839</v>
      </c>
      <c r="AA226" s="23">
        <f t="shared" si="120"/>
        <v>309.677419354839</v>
      </c>
      <c r="AB226" s="23">
        <f t="shared" si="120"/>
        <v>340.6451612903229</v>
      </c>
      <c r="AC226" s="23">
        <f t="shared" si="120"/>
        <v>309.67741935483906</v>
      </c>
      <c r="AD226" s="23">
        <f t="shared" si="120"/>
        <v>320.00000000000034</v>
      </c>
      <c r="AE226" s="23">
        <f t="shared" si="120"/>
        <v>309.67741935483906</v>
      </c>
      <c r="AF226" s="23">
        <f t="shared" si="120"/>
        <v>320.00000000000034</v>
      </c>
      <c r="AG226" s="23">
        <f t="shared" si="120"/>
        <v>309.67741935483906</v>
      </c>
      <c r="AH226" s="23">
        <f t="shared" si="120"/>
        <v>309.67741935483906</v>
      </c>
      <c r="AI226" s="23">
        <f t="shared" si="120"/>
        <v>320.00000000000034</v>
      </c>
      <c r="AJ226" s="23">
        <f t="shared" si="120"/>
        <v>309.67741935483906</v>
      </c>
      <c r="AK226" s="23">
        <f t="shared" si="120"/>
        <v>320.00000000000034</v>
      </c>
      <c r="AL226" s="23">
        <f t="shared" si="120"/>
        <v>309.67741935483906</v>
      </c>
      <c r="AM226" s="23">
        <f t="shared" si="120"/>
        <v>309.67741935483906</v>
      </c>
      <c r="AN226" s="23">
        <f t="shared" si="120"/>
        <v>340.64516129032296</v>
      </c>
      <c r="AO226" s="23">
        <f t="shared" si="120"/>
        <v>309.67741935483912</v>
      </c>
      <c r="AP226" s="23">
        <f t="shared" si="120"/>
        <v>320.0000000000004</v>
      </c>
      <c r="AQ226" s="23">
        <f t="shared" si="120"/>
        <v>309.67741935483912</v>
      </c>
      <c r="AR226" s="23">
        <f t="shared" si="120"/>
        <v>320.0000000000004</v>
      </c>
      <c r="AS226" s="23">
        <f t="shared" si="120"/>
        <v>309.67741935483912</v>
      </c>
    </row>
    <row r="227" spans="2:45" hidden="1" outlineLevel="2" collapsed="1" x14ac:dyDescent="0.15">
      <c r="B227" s="107" t="str">
        <f>B187</f>
        <v>Creditors (Quarterly)</v>
      </c>
      <c r="J227" s="23">
        <f t="shared" ref="J227:AS227" si="121">J204</f>
        <v>8508.1413978494638</v>
      </c>
      <c r="K227" s="23">
        <f t="shared" si="121"/>
        <v>0</v>
      </c>
      <c r="L227" s="23">
        <f t="shared" si="121"/>
        <v>8008.6200000000008</v>
      </c>
      <c r="M227" s="23">
        <f t="shared" si="121"/>
        <v>15758.89741935484</v>
      </c>
      <c r="N227" s="23">
        <f t="shared" si="121"/>
        <v>0</v>
      </c>
      <c r="O227" s="23">
        <f t="shared" si="121"/>
        <v>8042.0800000000008</v>
      </c>
      <c r="P227" s="23">
        <f t="shared" si="121"/>
        <v>16017.240000000002</v>
      </c>
      <c r="Q227" s="23">
        <f t="shared" si="121"/>
        <v>0</v>
      </c>
      <c r="R227" s="23">
        <f t="shared" si="121"/>
        <v>8008.6200000000008</v>
      </c>
      <c r="S227" s="23">
        <f t="shared" si="121"/>
        <v>15524.324064516131</v>
      </c>
      <c r="T227" s="23">
        <f t="shared" si="121"/>
        <v>0</v>
      </c>
      <c r="U227" s="23">
        <f t="shared" si="121"/>
        <v>8042.0800000000008</v>
      </c>
      <c r="V227" s="23">
        <f t="shared" si="121"/>
        <v>15375.281290322582</v>
      </c>
      <c r="W227" s="23">
        <f t="shared" si="121"/>
        <v>0</v>
      </c>
      <c r="X227" s="23">
        <f t="shared" si="121"/>
        <v>8152.02</v>
      </c>
      <c r="Y227" s="23">
        <f t="shared" si="121"/>
        <v>15964.591612903227</v>
      </c>
      <c r="Z227" s="23">
        <f t="shared" si="121"/>
        <v>0</v>
      </c>
      <c r="AA227" s="23">
        <f t="shared" si="121"/>
        <v>8152.02</v>
      </c>
      <c r="AB227" s="23">
        <f t="shared" si="121"/>
        <v>16189.320000000002</v>
      </c>
      <c r="AC227" s="23">
        <f t="shared" si="121"/>
        <v>262.9683870967765</v>
      </c>
      <c r="AD227" s="23">
        <f t="shared" si="121"/>
        <v>8218.9400000000023</v>
      </c>
      <c r="AE227" s="23">
        <f t="shared" si="121"/>
        <v>15898.788236559143</v>
      </c>
      <c r="AF227" s="23">
        <f t="shared" si="121"/>
        <v>0</v>
      </c>
      <c r="AG227" s="23">
        <f t="shared" si="121"/>
        <v>8261.9600000000009</v>
      </c>
      <c r="AH227" s="23">
        <f t="shared" si="121"/>
        <v>15641.110967741937</v>
      </c>
      <c r="AI227" s="23">
        <f t="shared" si="121"/>
        <v>0</v>
      </c>
      <c r="AJ227" s="23">
        <f t="shared" si="121"/>
        <v>8261.9600000000009</v>
      </c>
      <c r="AK227" s="23">
        <f t="shared" si="121"/>
        <v>16128.345161290323</v>
      </c>
      <c r="AL227" s="23">
        <f t="shared" si="121"/>
        <v>0</v>
      </c>
      <c r="AM227" s="23">
        <f t="shared" si="121"/>
        <v>8324.1</v>
      </c>
      <c r="AN227" s="23">
        <f t="shared" si="121"/>
        <v>16552.600000000002</v>
      </c>
      <c r="AO227" s="23">
        <f t="shared" si="121"/>
        <v>268.51935483870875</v>
      </c>
      <c r="AP227" s="23">
        <f t="shared" si="121"/>
        <v>8324.0999999999985</v>
      </c>
      <c r="AQ227" s="23">
        <f t="shared" si="121"/>
        <v>16055.95258064516</v>
      </c>
      <c r="AR227" s="23">
        <f t="shared" si="121"/>
        <v>0</v>
      </c>
      <c r="AS227" s="23">
        <f t="shared" si="121"/>
        <v>8371.9000000000015</v>
      </c>
    </row>
    <row r="228" spans="2:45" outlineLevel="1" collapsed="1" x14ac:dyDescent="0.15">
      <c r="B228" s="16" t="s">
        <v>388</v>
      </c>
      <c r="J228" s="18">
        <f t="shared" ref="J228:AS228" si="122">SUM(J226:J227)</f>
        <v>8817.8188172043028</v>
      </c>
      <c r="K228" s="18">
        <f t="shared" si="122"/>
        <v>320.00000000000028</v>
      </c>
      <c r="L228" s="18">
        <f t="shared" si="122"/>
        <v>8318.2974193548398</v>
      </c>
      <c r="M228" s="18">
        <f t="shared" si="122"/>
        <v>16078.89741935484</v>
      </c>
      <c r="N228" s="18">
        <f t="shared" si="122"/>
        <v>309.677419354839</v>
      </c>
      <c r="O228" s="18">
        <f t="shared" si="122"/>
        <v>8351.7574193548389</v>
      </c>
      <c r="P228" s="18">
        <f t="shared" si="122"/>
        <v>16347.562580645163</v>
      </c>
      <c r="Q228" s="18">
        <f t="shared" si="122"/>
        <v>309.677419354839</v>
      </c>
      <c r="R228" s="18">
        <f t="shared" si="122"/>
        <v>8328.6200000000008</v>
      </c>
      <c r="S228" s="18">
        <f t="shared" si="122"/>
        <v>15834.00148387097</v>
      </c>
      <c r="T228" s="18">
        <f t="shared" si="122"/>
        <v>320.00000000000028</v>
      </c>
      <c r="U228" s="18">
        <f t="shared" si="122"/>
        <v>8351.7574193548389</v>
      </c>
      <c r="V228" s="18">
        <f t="shared" si="122"/>
        <v>15684.958709677421</v>
      </c>
      <c r="W228" s="18">
        <f t="shared" si="122"/>
        <v>320.00000000000028</v>
      </c>
      <c r="X228" s="18">
        <f t="shared" si="122"/>
        <v>8461.6974193548394</v>
      </c>
      <c r="Y228" s="18">
        <f t="shared" si="122"/>
        <v>16284.591612903227</v>
      </c>
      <c r="Z228" s="18">
        <f t="shared" si="122"/>
        <v>309.677419354839</v>
      </c>
      <c r="AA228" s="18">
        <f t="shared" si="122"/>
        <v>8461.6974193548394</v>
      </c>
      <c r="AB228" s="18">
        <f t="shared" si="122"/>
        <v>16529.965161290325</v>
      </c>
      <c r="AC228" s="18">
        <f t="shared" si="122"/>
        <v>572.6458064516155</v>
      </c>
      <c r="AD228" s="18">
        <f t="shared" si="122"/>
        <v>8538.9400000000023</v>
      </c>
      <c r="AE228" s="18">
        <f t="shared" si="122"/>
        <v>16208.465655913982</v>
      </c>
      <c r="AF228" s="18">
        <f t="shared" si="122"/>
        <v>320.00000000000034</v>
      </c>
      <c r="AG228" s="18">
        <f t="shared" si="122"/>
        <v>8571.6374193548399</v>
      </c>
      <c r="AH228" s="18">
        <f t="shared" si="122"/>
        <v>15950.788387096776</v>
      </c>
      <c r="AI228" s="18">
        <f t="shared" si="122"/>
        <v>320.00000000000034</v>
      </c>
      <c r="AJ228" s="18">
        <f t="shared" si="122"/>
        <v>8571.6374193548399</v>
      </c>
      <c r="AK228" s="18">
        <f t="shared" si="122"/>
        <v>16448.345161290323</v>
      </c>
      <c r="AL228" s="18">
        <f t="shared" si="122"/>
        <v>309.67741935483906</v>
      </c>
      <c r="AM228" s="18">
        <f t="shared" si="122"/>
        <v>8633.7774193548394</v>
      </c>
      <c r="AN228" s="18">
        <f t="shared" si="122"/>
        <v>16893.245161290324</v>
      </c>
      <c r="AO228" s="18">
        <f t="shared" si="122"/>
        <v>578.19677419354787</v>
      </c>
      <c r="AP228" s="18">
        <f t="shared" si="122"/>
        <v>8644.0999999999985</v>
      </c>
      <c r="AQ228" s="18">
        <f t="shared" si="122"/>
        <v>16365.63</v>
      </c>
      <c r="AR228" s="18">
        <f t="shared" si="122"/>
        <v>320.0000000000004</v>
      </c>
      <c r="AS228" s="18">
        <f t="shared" si="122"/>
        <v>8681.5774193548405</v>
      </c>
    </row>
    <row r="229" spans="2:45" outlineLevel="1" x14ac:dyDescent="0.15"/>
    <row r="230" spans="2:45" hidden="1" outlineLevel="2" x14ac:dyDescent="0.15">
      <c r="C230" s="107" t="s">
        <v>192</v>
      </c>
      <c r="J230" s="17">
        <f t="shared" ref="J230:AS230" si="123">IF(ISERROR(J212-J224-J228),1,0)</f>
        <v>0</v>
      </c>
      <c r="K230" s="17">
        <f t="shared" si="123"/>
        <v>0</v>
      </c>
      <c r="L230" s="17">
        <f t="shared" si="123"/>
        <v>0</v>
      </c>
      <c r="M230" s="17">
        <f t="shared" si="123"/>
        <v>0</v>
      </c>
      <c r="N230" s="17">
        <f t="shared" si="123"/>
        <v>0</v>
      </c>
      <c r="O230" s="17">
        <f t="shared" si="123"/>
        <v>0</v>
      </c>
      <c r="P230" s="17">
        <f t="shared" si="123"/>
        <v>0</v>
      </c>
      <c r="Q230" s="17">
        <f t="shared" si="123"/>
        <v>0</v>
      </c>
      <c r="R230" s="17">
        <f t="shared" si="123"/>
        <v>0</v>
      </c>
      <c r="S230" s="17">
        <f t="shared" si="123"/>
        <v>0</v>
      </c>
      <c r="T230" s="17">
        <f t="shared" si="123"/>
        <v>0</v>
      </c>
      <c r="U230" s="17">
        <f t="shared" si="123"/>
        <v>0</v>
      </c>
      <c r="V230" s="17">
        <f t="shared" si="123"/>
        <v>0</v>
      </c>
      <c r="W230" s="17">
        <f t="shared" si="123"/>
        <v>0</v>
      </c>
      <c r="X230" s="17">
        <f t="shared" si="123"/>
        <v>0</v>
      </c>
      <c r="Y230" s="17">
        <f t="shared" si="123"/>
        <v>0</v>
      </c>
      <c r="Z230" s="17">
        <f t="shared" si="123"/>
        <v>0</v>
      </c>
      <c r="AA230" s="17">
        <f t="shared" si="123"/>
        <v>0</v>
      </c>
      <c r="AB230" s="17">
        <f t="shared" si="123"/>
        <v>0</v>
      </c>
      <c r="AC230" s="17">
        <f t="shared" si="123"/>
        <v>0</v>
      </c>
      <c r="AD230" s="17">
        <f t="shared" si="123"/>
        <v>0</v>
      </c>
      <c r="AE230" s="17">
        <f t="shared" si="123"/>
        <v>0</v>
      </c>
      <c r="AF230" s="17">
        <f t="shared" si="123"/>
        <v>0</v>
      </c>
      <c r="AG230" s="17">
        <f t="shared" si="123"/>
        <v>0</v>
      </c>
      <c r="AH230" s="17">
        <f t="shared" si="123"/>
        <v>0</v>
      </c>
      <c r="AI230" s="17">
        <f t="shared" si="123"/>
        <v>0</v>
      </c>
      <c r="AJ230" s="17">
        <f t="shared" si="123"/>
        <v>0</v>
      </c>
      <c r="AK230" s="17">
        <f t="shared" si="123"/>
        <v>0</v>
      </c>
      <c r="AL230" s="17">
        <f t="shared" si="123"/>
        <v>0</v>
      </c>
      <c r="AM230" s="17">
        <f t="shared" si="123"/>
        <v>0</v>
      </c>
      <c r="AN230" s="17">
        <f t="shared" si="123"/>
        <v>0</v>
      </c>
      <c r="AO230" s="17">
        <f t="shared" si="123"/>
        <v>0</v>
      </c>
      <c r="AP230" s="17">
        <f t="shared" si="123"/>
        <v>0</v>
      </c>
      <c r="AQ230" s="17">
        <f t="shared" si="123"/>
        <v>0</v>
      </c>
      <c r="AR230" s="17">
        <f t="shared" si="123"/>
        <v>0</v>
      </c>
      <c r="AS230" s="17">
        <f t="shared" si="123"/>
        <v>0</v>
      </c>
    </row>
    <row r="231" spans="2:45" hidden="1" outlineLevel="2" x14ac:dyDescent="0.15">
      <c r="C231" s="107" t="s">
        <v>305</v>
      </c>
      <c r="J231" s="42">
        <f t="shared" ref="J231:AS231" si="124">IF(J230&lt;&gt;0,0,IF(ROUND(J228-J224-J212,5)&lt;&gt;0,1,0))</f>
        <v>0</v>
      </c>
      <c r="K231" s="42">
        <f t="shared" si="124"/>
        <v>0</v>
      </c>
      <c r="L231" s="42">
        <f t="shared" si="124"/>
        <v>0</v>
      </c>
      <c r="M231" s="42">
        <f t="shared" si="124"/>
        <v>0</v>
      </c>
      <c r="N231" s="42">
        <f t="shared" si="124"/>
        <v>0</v>
      </c>
      <c r="O231" s="42">
        <f t="shared" si="124"/>
        <v>0</v>
      </c>
      <c r="P231" s="42">
        <f t="shared" si="124"/>
        <v>0</v>
      </c>
      <c r="Q231" s="42">
        <f t="shared" si="124"/>
        <v>0</v>
      </c>
      <c r="R231" s="42">
        <f t="shared" si="124"/>
        <v>0</v>
      </c>
      <c r="S231" s="42">
        <f t="shared" si="124"/>
        <v>0</v>
      </c>
      <c r="T231" s="42">
        <f t="shared" si="124"/>
        <v>0</v>
      </c>
      <c r="U231" s="42">
        <f t="shared" si="124"/>
        <v>0</v>
      </c>
      <c r="V231" s="42">
        <f t="shared" si="124"/>
        <v>0</v>
      </c>
      <c r="W231" s="42">
        <f t="shared" si="124"/>
        <v>0</v>
      </c>
      <c r="X231" s="42">
        <f t="shared" si="124"/>
        <v>0</v>
      </c>
      <c r="Y231" s="42">
        <f t="shared" si="124"/>
        <v>0</v>
      </c>
      <c r="Z231" s="42">
        <f t="shared" si="124"/>
        <v>0</v>
      </c>
      <c r="AA231" s="42">
        <f t="shared" si="124"/>
        <v>0</v>
      </c>
      <c r="AB231" s="42">
        <f t="shared" si="124"/>
        <v>0</v>
      </c>
      <c r="AC231" s="42">
        <f t="shared" si="124"/>
        <v>0</v>
      </c>
      <c r="AD231" s="42">
        <f t="shared" si="124"/>
        <v>0</v>
      </c>
      <c r="AE231" s="42">
        <f t="shared" si="124"/>
        <v>0</v>
      </c>
      <c r="AF231" s="42">
        <f t="shared" si="124"/>
        <v>0</v>
      </c>
      <c r="AG231" s="42">
        <f t="shared" si="124"/>
        <v>0</v>
      </c>
      <c r="AH231" s="42">
        <f t="shared" si="124"/>
        <v>0</v>
      </c>
      <c r="AI231" s="42">
        <f t="shared" si="124"/>
        <v>0</v>
      </c>
      <c r="AJ231" s="42">
        <f t="shared" si="124"/>
        <v>0</v>
      </c>
      <c r="AK231" s="42">
        <f t="shared" si="124"/>
        <v>0</v>
      </c>
      <c r="AL231" s="42">
        <f t="shared" si="124"/>
        <v>0</v>
      </c>
      <c r="AM231" s="42">
        <f t="shared" si="124"/>
        <v>0</v>
      </c>
      <c r="AN231" s="42">
        <f t="shared" si="124"/>
        <v>0</v>
      </c>
      <c r="AO231" s="42">
        <f t="shared" si="124"/>
        <v>0</v>
      </c>
      <c r="AP231" s="42">
        <f t="shared" si="124"/>
        <v>0</v>
      </c>
      <c r="AQ231" s="42">
        <f t="shared" si="124"/>
        <v>0</v>
      </c>
      <c r="AR231" s="42">
        <f t="shared" si="124"/>
        <v>0</v>
      </c>
      <c r="AS231" s="42">
        <f t="shared" si="124"/>
        <v>0</v>
      </c>
    </row>
    <row r="232" spans="2:45" outlineLevel="1" collapsed="1" x14ac:dyDescent="0.15">
      <c r="B232" s="107" t="s">
        <v>335</v>
      </c>
      <c r="I232" s="22">
        <f>IF(ISERROR(SUM(J232:AS232)),1,MIN(SUM(J232:AS232),1))</f>
        <v>0</v>
      </c>
      <c r="J232" s="17">
        <f t="shared" ref="J232:AS232" si="125">MIN(SUM(J230:J231),1)</f>
        <v>0</v>
      </c>
      <c r="K232" s="17">
        <f t="shared" si="125"/>
        <v>0</v>
      </c>
      <c r="L232" s="17">
        <f t="shared" si="125"/>
        <v>0</v>
      </c>
      <c r="M232" s="17">
        <f t="shared" si="125"/>
        <v>0</v>
      </c>
      <c r="N232" s="17">
        <f t="shared" si="125"/>
        <v>0</v>
      </c>
      <c r="O232" s="17">
        <f t="shared" si="125"/>
        <v>0</v>
      </c>
      <c r="P232" s="17">
        <f t="shared" si="125"/>
        <v>0</v>
      </c>
      <c r="Q232" s="17">
        <f t="shared" si="125"/>
        <v>0</v>
      </c>
      <c r="R232" s="17">
        <f t="shared" si="125"/>
        <v>0</v>
      </c>
      <c r="S232" s="17">
        <f t="shared" si="125"/>
        <v>0</v>
      </c>
      <c r="T232" s="17">
        <f t="shared" si="125"/>
        <v>0</v>
      </c>
      <c r="U232" s="17">
        <f t="shared" si="125"/>
        <v>0</v>
      </c>
      <c r="V232" s="17">
        <f t="shared" si="125"/>
        <v>0</v>
      </c>
      <c r="W232" s="17">
        <f t="shared" si="125"/>
        <v>0</v>
      </c>
      <c r="X232" s="17">
        <f t="shared" si="125"/>
        <v>0</v>
      </c>
      <c r="Y232" s="17">
        <f t="shared" si="125"/>
        <v>0</v>
      </c>
      <c r="Z232" s="17">
        <f t="shared" si="125"/>
        <v>0</v>
      </c>
      <c r="AA232" s="17">
        <f t="shared" si="125"/>
        <v>0</v>
      </c>
      <c r="AB232" s="17">
        <f t="shared" si="125"/>
        <v>0</v>
      </c>
      <c r="AC232" s="17">
        <f t="shared" si="125"/>
        <v>0</v>
      </c>
      <c r="AD232" s="17">
        <f t="shared" si="125"/>
        <v>0</v>
      </c>
      <c r="AE232" s="17">
        <f t="shared" si="125"/>
        <v>0</v>
      </c>
      <c r="AF232" s="17">
        <f t="shared" si="125"/>
        <v>0</v>
      </c>
      <c r="AG232" s="17">
        <f t="shared" si="125"/>
        <v>0</v>
      </c>
      <c r="AH232" s="17">
        <f t="shared" si="125"/>
        <v>0</v>
      </c>
      <c r="AI232" s="17">
        <f t="shared" si="125"/>
        <v>0</v>
      </c>
      <c r="AJ232" s="17">
        <f t="shared" si="125"/>
        <v>0</v>
      </c>
      <c r="AK232" s="17">
        <f t="shared" si="125"/>
        <v>0</v>
      </c>
      <c r="AL232" s="17">
        <f t="shared" si="125"/>
        <v>0</v>
      </c>
      <c r="AM232" s="17">
        <f t="shared" si="125"/>
        <v>0</v>
      </c>
      <c r="AN232" s="17">
        <f t="shared" si="125"/>
        <v>0</v>
      </c>
      <c r="AO232" s="17">
        <f t="shared" si="125"/>
        <v>0</v>
      </c>
      <c r="AP232" s="17">
        <f t="shared" si="125"/>
        <v>0</v>
      </c>
      <c r="AQ232" s="17">
        <f t="shared" si="125"/>
        <v>0</v>
      </c>
      <c r="AR232" s="17">
        <f t="shared" si="125"/>
        <v>0</v>
      </c>
      <c r="AS232" s="17">
        <f t="shared" si="125"/>
        <v>0</v>
      </c>
    </row>
    <row r="233" spans="2:45" ht="6" hidden="1" customHeight="1" outlineLevel="2" x14ac:dyDescent="0.15"/>
    <row r="234" spans="2:45" hidden="1" outlineLevel="2" x14ac:dyDescent="0.15">
      <c r="C234" s="107" t="s">
        <v>422</v>
      </c>
      <c r="J234" s="17">
        <f t="shared" ref="J234:AS234" si="126">IF(J232&lt;&gt;0,0,IF(ROUND(MIN(J226:J227),5)&lt;0,1,0))</f>
        <v>0</v>
      </c>
      <c r="K234" s="17">
        <f t="shared" si="126"/>
        <v>0</v>
      </c>
      <c r="L234" s="17">
        <f t="shared" si="126"/>
        <v>0</v>
      </c>
      <c r="M234" s="17">
        <f t="shared" si="126"/>
        <v>0</v>
      </c>
      <c r="N234" s="17">
        <f t="shared" si="126"/>
        <v>0</v>
      </c>
      <c r="O234" s="17">
        <f t="shared" si="126"/>
        <v>0</v>
      </c>
      <c r="P234" s="17">
        <f t="shared" si="126"/>
        <v>0</v>
      </c>
      <c r="Q234" s="17">
        <f t="shared" si="126"/>
        <v>0</v>
      </c>
      <c r="R234" s="17">
        <f t="shared" si="126"/>
        <v>0</v>
      </c>
      <c r="S234" s="17">
        <f t="shared" si="126"/>
        <v>0</v>
      </c>
      <c r="T234" s="17">
        <f t="shared" si="126"/>
        <v>0</v>
      </c>
      <c r="U234" s="17">
        <f t="shared" si="126"/>
        <v>0</v>
      </c>
      <c r="V234" s="17">
        <f t="shared" si="126"/>
        <v>0</v>
      </c>
      <c r="W234" s="17">
        <f t="shared" si="126"/>
        <v>0</v>
      </c>
      <c r="X234" s="17">
        <f t="shared" si="126"/>
        <v>0</v>
      </c>
      <c r="Y234" s="17">
        <f t="shared" si="126"/>
        <v>0</v>
      </c>
      <c r="Z234" s="17">
        <f t="shared" si="126"/>
        <v>0</v>
      </c>
      <c r="AA234" s="17">
        <f t="shared" si="126"/>
        <v>0</v>
      </c>
      <c r="AB234" s="17">
        <f t="shared" si="126"/>
        <v>0</v>
      </c>
      <c r="AC234" s="17">
        <f t="shared" si="126"/>
        <v>0</v>
      </c>
      <c r="AD234" s="17">
        <f t="shared" si="126"/>
        <v>0</v>
      </c>
      <c r="AE234" s="17">
        <f t="shared" si="126"/>
        <v>0</v>
      </c>
      <c r="AF234" s="17">
        <f t="shared" si="126"/>
        <v>0</v>
      </c>
      <c r="AG234" s="17">
        <f t="shared" si="126"/>
        <v>0</v>
      </c>
      <c r="AH234" s="17">
        <f t="shared" si="126"/>
        <v>0</v>
      </c>
      <c r="AI234" s="17">
        <f t="shared" si="126"/>
        <v>0</v>
      </c>
      <c r="AJ234" s="17">
        <f t="shared" si="126"/>
        <v>0</v>
      </c>
      <c r="AK234" s="17">
        <f t="shared" si="126"/>
        <v>0</v>
      </c>
      <c r="AL234" s="17">
        <f t="shared" si="126"/>
        <v>0</v>
      </c>
      <c r="AM234" s="17">
        <f t="shared" si="126"/>
        <v>0</v>
      </c>
      <c r="AN234" s="17">
        <f t="shared" si="126"/>
        <v>0</v>
      </c>
      <c r="AO234" s="17">
        <f t="shared" si="126"/>
        <v>0</v>
      </c>
      <c r="AP234" s="17">
        <f t="shared" si="126"/>
        <v>0</v>
      </c>
      <c r="AQ234" s="17">
        <f t="shared" si="126"/>
        <v>0</v>
      </c>
      <c r="AR234" s="17">
        <f t="shared" si="126"/>
        <v>0</v>
      </c>
      <c r="AS234" s="17">
        <f t="shared" si="126"/>
        <v>0</v>
      </c>
    </row>
    <row r="235" spans="2:45" hidden="1" outlineLevel="2" x14ac:dyDescent="0.15">
      <c r="C235" s="107" t="s">
        <v>423</v>
      </c>
      <c r="J235" s="42">
        <f t="shared" ref="J235:AS235" si="127">IF(J232&lt;&gt;0,0,IF(ROUND(MAX(J218:J219),5)&gt;0,1,0))</f>
        <v>0</v>
      </c>
      <c r="K235" s="42">
        <f t="shared" si="127"/>
        <v>0</v>
      </c>
      <c r="L235" s="42">
        <f t="shared" si="127"/>
        <v>0</v>
      </c>
      <c r="M235" s="42">
        <f t="shared" si="127"/>
        <v>0</v>
      </c>
      <c r="N235" s="42">
        <f t="shared" si="127"/>
        <v>0</v>
      </c>
      <c r="O235" s="42">
        <f t="shared" si="127"/>
        <v>0</v>
      </c>
      <c r="P235" s="42">
        <f t="shared" si="127"/>
        <v>0</v>
      </c>
      <c r="Q235" s="42">
        <f t="shared" si="127"/>
        <v>0</v>
      </c>
      <c r="R235" s="42">
        <f t="shared" si="127"/>
        <v>0</v>
      </c>
      <c r="S235" s="42">
        <f t="shared" si="127"/>
        <v>0</v>
      </c>
      <c r="T235" s="42">
        <f t="shared" si="127"/>
        <v>0</v>
      </c>
      <c r="U235" s="42">
        <f t="shared" si="127"/>
        <v>0</v>
      </c>
      <c r="V235" s="42">
        <f t="shared" si="127"/>
        <v>0</v>
      </c>
      <c r="W235" s="42">
        <f t="shared" si="127"/>
        <v>0</v>
      </c>
      <c r="X235" s="42">
        <f t="shared" si="127"/>
        <v>0</v>
      </c>
      <c r="Y235" s="42">
        <f t="shared" si="127"/>
        <v>0</v>
      </c>
      <c r="Z235" s="42">
        <f t="shared" si="127"/>
        <v>0</v>
      </c>
      <c r="AA235" s="42">
        <f t="shared" si="127"/>
        <v>0</v>
      </c>
      <c r="AB235" s="42">
        <f t="shared" si="127"/>
        <v>0</v>
      </c>
      <c r="AC235" s="42">
        <f t="shared" si="127"/>
        <v>0</v>
      </c>
      <c r="AD235" s="42">
        <f t="shared" si="127"/>
        <v>0</v>
      </c>
      <c r="AE235" s="42">
        <f t="shared" si="127"/>
        <v>0</v>
      </c>
      <c r="AF235" s="42">
        <f t="shared" si="127"/>
        <v>0</v>
      </c>
      <c r="AG235" s="42">
        <f t="shared" si="127"/>
        <v>0</v>
      </c>
      <c r="AH235" s="42">
        <f t="shared" si="127"/>
        <v>0</v>
      </c>
      <c r="AI235" s="42">
        <f t="shared" si="127"/>
        <v>0</v>
      </c>
      <c r="AJ235" s="42">
        <f t="shared" si="127"/>
        <v>0</v>
      </c>
      <c r="AK235" s="42">
        <f t="shared" si="127"/>
        <v>0</v>
      </c>
      <c r="AL235" s="42">
        <f t="shared" si="127"/>
        <v>0</v>
      </c>
      <c r="AM235" s="42">
        <f t="shared" si="127"/>
        <v>0</v>
      </c>
      <c r="AN235" s="42">
        <f t="shared" si="127"/>
        <v>0</v>
      </c>
      <c r="AO235" s="42">
        <f t="shared" si="127"/>
        <v>0</v>
      </c>
      <c r="AP235" s="42">
        <f t="shared" si="127"/>
        <v>0</v>
      </c>
      <c r="AQ235" s="42">
        <f t="shared" si="127"/>
        <v>0</v>
      </c>
      <c r="AR235" s="42">
        <f t="shared" si="127"/>
        <v>0</v>
      </c>
      <c r="AS235" s="42">
        <f t="shared" si="127"/>
        <v>0</v>
      </c>
    </row>
    <row r="236" spans="2:45" outlineLevel="1" collapsed="1" x14ac:dyDescent="0.15">
      <c r="B236" s="107" t="s">
        <v>392</v>
      </c>
      <c r="I236" s="22">
        <f>IF(ISERROR(SUM(J236:AS236)),1,MIN(SUM(J236:AS236),1))</f>
        <v>0</v>
      </c>
      <c r="J236" s="17">
        <f t="shared" ref="J236:AS236" si="128">MIN(SUM(J234:J235),1)</f>
        <v>0</v>
      </c>
      <c r="K236" s="17">
        <f t="shared" si="128"/>
        <v>0</v>
      </c>
      <c r="L236" s="17">
        <f t="shared" si="128"/>
        <v>0</v>
      </c>
      <c r="M236" s="17">
        <f t="shared" si="128"/>
        <v>0</v>
      </c>
      <c r="N236" s="17">
        <f t="shared" si="128"/>
        <v>0</v>
      </c>
      <c r="O236" s="17">
        <f t="shared" si="128"/>
        <v>0</v>
      </c>
      <c r="P236" s="17">
        <f t="shared" si="128"/>
        <v>0</v>
      </c>
      <c r="Q236" s="17">
        <f t="shared" si="128"/>
        <v>0</v>
      </c>
      <c r="R236" s="17">
        <f t="shared" si="128"/>
        <v>0</v>
      </c>
      <c r="S236" s="17">
        <f t="shared" si="128"/>
        <v>0</v>
      </c>
      <c r="T236" s="17">
        <f t="shared" si="128"/>
        <v>0</v>
      </c>
      <c r="U236" s="17">
        <f t="shared" si="128"/>
        <v>0</v>
      </c>
      <c r="V236" s="17">
        <f t="shared" si="128"/>
        <v>0</v>
      </c>
      <c r="W236" s="17">
        <f t="shared" si="128"/>
        <v>0</v>
      </c>
      <c r="X236" s="17">
        <f t="shared" si="128"/>
        <v>0</v>
      </c>
      <c r="Y236" s="17">
        <f t="shared" si="128"/>
        <v>0</v>
      </c>
      <c r="Z236" s="17">
        <f t="shared" si="128"/>
        <v>0</v>
      </c>
      <c r="AA236" s="17">
        <f t="shared" si="128"/>
        <v>0</v>
      </c>
      <c r="AB236" s="17">
        <f t="shared" si="128"/>
        <v>0</v>
      </c>
      <c r="AC236" s="17">
        <f t="shared" si="128"/>
        <v>0</v>
      </c>
      <c r="AD236" s="17">
        <f t="shared" si="128"/>
        <v>0</v>
      </c>
      <c r="AE236" s="17">
        <f t="shared" si="128"/>
        <v>0</v>
      </c>
      <c r="AF236" s="17">
        <f t="shared" si="128"/>
        <v>0</v>
      </c>
      <c r="AG236" s="17">
        <f t="shared" si="128"/>
        <v>0</v>
      </c>
      <c r="AH236" s="17">
        <f t="shared" si="128"/>
        <v>0</v>
      </c>
      <c r="AI236" s="17">
        <f t="shared" si="128"/>
        <v>0</v>
      </c>
      <c r="AJ236" s="17">
        <f t="shared" si="128"/>
        <v>0</v>
      </c>
      <c r="AK236" s="17">
        <f t="shared" si="128"/>
        <v>0</v>
      </c>
      <c r="AL236" s="17">
        <f t="shared" si="128"/>
        <v>0</v>
      </c>
      <c r="AM236" s="17">
        <f t="shared" si="128"/>
        <v>0</v>
      </c>
      <c r="AN236" s="17">
        <f t="shared" si="128"/>
        <v>0</v>
      </c>
      <c r="AO236" s="17">
        <f t="shared" si="128"/>
        <v>0</v>
      </c>
      <c r="AP236" s="17">
        <f t="shared" si="128"/>
        <v>0</v>
      </c>
      <c r="AQ236" s="17">
        <f t="shared" si="128"/>
        <v>0</v>
      </c>
      <c r="AR236" s="17">
        <f t="shared" si="128"/>
        <v>0</v>
      </c>
      <c r="AS236" s="17">
        <f t="shared" si="128"/>
        <v>0</v>
      </c>
    </row>
    <row r="238" spans="2:45" x14ac:dyDescent="0.15">
      <c r="B238" s="1" t="s">
        <v>296</v>
      </c>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2:45" hidden="1" outlineLevel="1" x14ac:dyDescent="0.15"/>
    <row r="240" spans="2:45" hidden="1" outlineLevel="1" x14ac:dyDescent="0.15">
      <c r="B240" s="108" t="s">
        <v>424</v>
      </c>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row>
    <row r="241" spans="2:45" hidden="1" outlineLevel="1" x14ac:dyDescent="0.15"/>
    <row r="242" spans="2:45" hidden="1" outlineLevel="1" x14ac:dyDescent="0.15">
      <c r="B242" s="16" t="s">
        <v>394</v>
      </c>
      <c r="H242" s="16" t="s">
        <v>368</v>
      </c>
    </row>
    <row r="243" spans="2:45" hidden="1" outlineLevel="1" x14ac:dyDescent="0.15">
      <c r="B243" s="339" t="str">
        <f>Tax!B195</f>
        <v>Inventory</v>
      </c>
      <c r="C243" s="339"/>
      <c r="D243" s="339"/>
      <c r="E243" s="339"/>
      <c r="F243" s="339"/>
      <c r="G243" s="339"/>
      <c r="H243" s="4">
        <v>1</v>
      </c>
      <c r="J243" s="14">
        <f ca="1">Tax!J195</f>
        <v>-334.8</v>
      </c>
      <c r="K243" s="14">
        <f ca="1">Tax!K195</f>
        <v>0</v>
      </c>
      <c r="L243" s="14">
        <f ca="1">Tax!L195</f>
        <v>0</v>
      </c>
      <c r="M243" s="14">
        <f ca="1">Tax!M195</f>
        <v>0</v>
      </c>
      <c r="N243" s="14">
        <f ca="1">Tax!N195</f>
        <v>0</v>
      </c>
      <c r="O243" s="14">
        <f ca="1">Tax!O195</f>
        <v>0</v>
      </c>
      <c r="P243" s="14">
        <f ca="1">Tax!P195</f>
        <v>0</v>
      </c>
      <c r="Q243" s="14">
        <f ca="1">Tax!Q195</f>
        <v>0</v>
      </c>
      <c r="R243" s="14">
        <f ca="1">Tax!R195</f>
        <v>0</v>
      </c>
      <c r="S243" s="14">
        <f ca="1">Tax!S195</f>
        <v>0</v>
      </c>
      <c r="T243" s="14">
        <f ca="1">Tax!T195</f>
        <v>0</v>
      </c>
      <c r="U243" s="14">
        <f ca="1">Tax!U195</f>
        <v>0</v>
      </c>
      <c r="V243" s="14">
        <f ca="1">Tax!V195</f>
        <v>0</v>
      </c>
      <c r="W243" s="14">
        <f ca="1">Tax!W195</f>
        <v>0</v>
      </c>
      <c r="X243" s="14">
        <f ca="1">Tax!X195</f>
        <v>0</v>
      </c>
      <c r="Y243" s="14">
        <f ca="1">Tax!Y195</f>
        <v>0</v>
      </c>
      <c r="Z243" s="14">
        <f ca="1">Tax!Z195</f>
        <v>0</v>
      </c>
      <c r="AA243" s="14">
        <f ca="1">Tax!AA195</f>
        <v>0</v>
      </c>
      <c r="AB243" s="14">
        <f ca="1">Tax!AB195</f>
        <v>0</v>
      </c>
      <c r="AC243" s="14">
        <f ca="1">Tax!AC195</f>
        <v>0</v>
      </c>
      <c r="AD243" s="14">
        <f ca="1">Tax!AD195</f>
        <v>0</v>
      </c>
      <c r="AE243" s="14">
        <f ca="1">Tax!AE195</f>
        <v>0</v>
      </c>
      <c r="AF243" s="14">
        <f ca="1">Tax!AF195</f>
        <v>0</v>
      </c>
      <c r="AG243" s="14">
        <f ca="1">Tax!AG195</f>
        <v>0</v>
      </c>
      <c r="AH243" s="14">
        <f ca="1">Tax!AH195</f>
        <v>0</v>
      </c>
      <c r="AI243" s="14">
        <f ca="1">Tax!AI195</f>
        <v>0</v>
      </c>
      <c r="AJ243" s="14">
        <f ca="1">Tax!AJ195</f>
        <v>0</v>
      </c>
      <c r="AK243" s="14">
        <f ca="1">Tax!AK195</f>
        <v>0</v>
      </c>
      <c r="AL243" s="14">
        <f ca="1">Tax!AL195</f>
        <v>0</v>
      </c>
      <c r="AM243" s="14">
        <f ca="1">Tax!AM195</f>
        <v>0</v>
      </c>
      <c r="AN243" s="14">
        <f ca="1">Tax!AN195</f>
        <v>0</v>
      </c>
      <c r="AO243" s="14">
        <f ca="1">Tax!AO195</f>
        <v>0</v>
      </c>
      <c r="AP243" s="14">
        <f ca="1">Tax!AP195</f>
        <v>0</v>
      </c>
      <c r="AQ243" s="14">
        <f ca="1">Tax!AQ195</f>
        <v>0</v>
      </c>
      <c r="AR243" s="14">
        <f ca="1">Tax!AR195</f>
        <v>0</v>
      </c>
      <c r="AS243" s="14">
        <f ca="1">Tax!AS195</f>
        <v>0</v>
      </c>
    </row>
    <row r="244" spans="2:45" hidden="1" outlineLevel="1" x14ac:dyDescent="0.15"/>
    <row r="245" spans="2:45" hidden="1" outlineLevel="1" x14ac:dyDescent="0.15">
      <c r="B245" s="108" t="s">
        <v>369</v>
      </c>
      <c r="C245" s="108"/>
      <c r="D245" s="108"/>
      <c r="E245" s="108"/>
      <c r="F245" s="108"/>
      <c r="G245" s="108"/>
      <c r="H245" s="108"/>
      <c r="I245" s="12" t="s">
        <v>370</v>
      </c>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row>
    <row r="246" spans="2:45" hidden="1" outlineLevel="2" x14ac:dyDescent="0.15"/>
    <row r="247" spans="2:45" hidden="1" outlineLevel="2" x14ac:dyDescent="0.15">
      <c r="B247" s="16" t="s">
        <v>371</v>
      </c>
    </row>
    <row r="248" spans="2:45" hidden="1" outlineLevel="2" x14ac:dyDescent="0.15">
      <c r="B248" s="107" t="s">
        <v>372</v>
      </c>
      <c r="J248" s="17">
        <f t="shared" ref="J248:AS248" si="129">J$7-J$6+1</f>
        <v>31</v>
      </c>
      <c r="K248" s="17">
        <f t="shared" si="129"/>
        <v>30</v>
      </c>
      <c r="L248" s="17">
        <f t="shared" si="129"/>
        <v>31</v>
      </c>
      <c r="M248" s="17">
        <f t="shared" si="129"/>
        <v>30</v>
      </c>
      <c r="N248" s="17">
        <f t="shared" si="129"/>
        <v>31</v>
      </c>
      <c r="O248" s="17">
        <f t="shared" si="129"/>
        <v>31</v>
      </c>
      <c r="P248" s="17">
        <f t="shared" si="129"/>
        <v>29</v>
      </c>
      <c r="Q248" s="17">
        <f t="shared" si="129"/>
        <v>31</v>
      </c>
      <c r="R248" s="17">
        <f t="shared" si="129"/>
        <v>30</v>
      </c>
      <c r="S248" s="17">
        <f t="shared" si="129"/>
        <v>31</v>
      </c>
      <c r="T248" s="17">
        <f t="shared" si="129"/>
        <v>30</v>
      </c>
      <c r="U248" s="17">
        <f t="shared" si="129"/>
        <v>31</v>
      </c>
      <c r="V248" s="17">
        <f t="shared" si="129"/>
        <v>31</v>
      </c>
      <c r="W248" s="17">
        <f t="shared" si="129"/>
        <v>30</v>
      </c>
      <c r="X248" s="17">
        <f t="shared" si="129"/>
        <v>31</v>
      </c>
      <c r="Y248" s="17">
        <f t="shared" si="129"/>
        <v>30</v>
      </c>
      <c r="Z248" s="17">
        <f t="shared" si="129"/>
        <v>31</v>
      </c>
      <c r="AA248" s="17">
        <f t="shared" si="129"/>
        <v>31</v>
      </c>
      <c r="AB248" s="17">
        <f t="shared" si="129"/>
        <v>28</v>
      </c>
      <c r="AC248" s="17">
        <f t="shared" si="129"/>
        <v>31</v>
      </c>
      <c r="AD248" s="17">
        <f t="shared" si="129"/>
        <v>30</v>
      </c>
      <c r="AE248" s="17">
        <f t="shared" si="129"/>
        <v>31</v>
      </c>
      <c r="AF248" s="17">
        <f t="shared" si="129"/>
        <v>30</v>
      </c>
      <c r="AG248" s="17">
        <f t="shared" si="129"/>
        <v>31</v>
      </c>
      <c r="AH248" s="17">
        <f t="shared" si="129"/>
        <v>31</v>
      </c>
      <c r="AI248" s="17">
        <f t="shared" si="129"/>
        <v>30</v>
      </c>
      <c r="AJ248" s="17">
        <f t="shared" si="129"/>
        <v>31</v>
      </c>
      <c r="AK248" s="17">
        <f t="shared" si="129"/>
        <v>30</v>
      </c>
      <c r="AL248" s="17">
        <f t="shared" si="129"/>
        <v>31</v>
      </c>
      <c r="AM248" s="17">
        <f t="shared" si="129"/>
        <v>31</v>
      </c>
      <c r="AN248" s="17">
        <f t="shared" si="129"/>
        <v>28</v>
      </c>
      <c r="AO248" s="17">
        <f t="shared" si="129"/>
        <v>31</v>
      </c>
      <c r="AP248" s="17">
        <f t="shared" si="129"/>
        <v>30</v>
      </c>
      <c r="AQ248" s="17">
        <f t="shared" si="129"/>
        <v>31</v>
      </c>
      <c r="AR248" s="17">
        <f t="shared" si="129"/>
        <v>30</v>
      </c>
      <c r="AS248" s="17">
        <f t="shared" si="129"/>
        <v>31</v>
      </c>
    </row>
    <row r="249" spans="2:45" hidden="1" outlineLevel="2" x14ac:dyDescent="0.15">
      <c r="B249" s="107" t="s">
        <v>373</v>
      </c>
      <c r="J249" s="17">
        <f t="shared" ref="J249:AS249" si="130">IF(J$8=1,0,I250)</f>
        <v>0</v>
      </c>
      <c r="K249" s="17">
        <f t="shared" si="130"/>
        <v>31</v>
      </c>
      <c r="L249" s="17">
        <f t="shared" si="130"/>
        <v>61</v>
      </c>
      <c r="M249" s="17">
        <f t="shared" si="130"/>
        <v>92</v>
      </c>
      <c r="N249" s="17">
        <f t="shared" si="130"/>
        <v>122</v>
      </c>
      <c r="O249" s="17">
        <f t="shared" si="130"/>
        <v>153</v>
      </c>
      <c r="P249" s="17">
        <f t="shared" si="130"/>
        <v>184</v>
      </c>
      <c r="Q249" s="17">
        <f t="shared" si="130"/>
        <v>213</v>
      </c>
      <c r="R249" s="17">
        <f t="shared" si="130"/>
        <v>244</v>
      </c>
      <c r="S249" s="17">
        <f t="shared" si="130"/>
        <v>274</v>
      </c>
      <c r="T249" s="17">
        <f t="shared" si="130"/>
        <v>305</v>
      </c>
      <c r="U249" s="17">
        <f t="shared" si="130"/>
        <v>335</v>
      </c>
      <c r="V249" s="17">
        <f t="shared" si="130"/>
        <v>366</v>
      </c>
      <c r="W249" s="17">
        <f t="shared" si="130"/>
        <v>397</v>
      </c>
      <c r="X249" s="17">
        <f t="shared" si="130"/>
        <v>427</v>
      </c>
      <c r="Y249" s="17">
        <f t="shared" si="130"/>
        <v>458</v>
      </c>
      <c r="Z249" s="17">
        <f t="shared" si="130"/>
        <v>488</v>
      </c>
      <c r="AA249" s="17">
        <f t="shared" si="130"/>
        <v>519</v>
      </c>
      <c r="AB249" s="17">
        <f t="shared" si="130"/>
        <v>550</v>
      </c>
      <c r="AC249" s="17">
        <f t="shared" si="130"/>
        <v>578</v>
      </c>
      <c r="AD249" s="17">
        <f t="shared" si="130"/>
        <v>609</v>
      </c>
      <c r="AE249" s="17">
        <f t="shared" si="130"/>
        <v>639</v>
      </c>
      <c r="AF249" s="17">
        <f t="shared" si="130"/>
        <v>670</v>
      </c>
      <c r="AG249" s="17">
        <f t="shared" si="130"/>
        <v>700</v>
      </c>
      <c r="AH249" s="17">
        <f t="shared" si="130"/>
        <v>731</v>
      </c>
      <c r="AI249" s="17">
        <f t="shared" si="130"/>
        <v>762</v>
      </c>
      <c r="AJ249" s="17">
        <f t="shared" si="130"/>
        <v>792</v>
      </c>
      <c r="AK249" s="17">
        <f t="shared" si="130"/>
        <v>823</v>
      </c>
      <c r="AL249" s="17">
        <f t="shared" si="130"/>
        <v>853</v>
      </c>
      <c r="AM249" s="17">
        <f t="shared" si="130"/>
        <v>884</v>
      </c>
      <c r="AN249" s="17">
        <f t="shared" si="130"/>
        <v>915</v>
      </c>
      <c r="AO249" s="17">
        <f t="shared" si="130"/>
        <v>943</v>
      </c>
      <c r="AP249" s="17">
        <f t="shared" si="130"/>
        <v>974</v>
      </c>
      <c r="AQ249" s="17">
        <f t="shared" si="130"/>
        <v>1004</v>
      </c>
      <c r="AR249" s="17">
        <f t="shared" si="130"/>
        <v>1035</v>
      </c>
      <c r="AS249" s="17">
        <f t="shared" si="130"/>
        <v>1065</v>
      </c>
    </row>
    <row r="250" spans="2:45" hidden="1" outlineLevel="2" x14ac:dyDescent="0.15">
      <c r="B250" s="107" t="s">
        <v>374</v>
      </c>
      <c r="J250" s="17">
        <f t="shared" ref="J250:AS250" si="131">J249+J248</f>
        <v>31</v>
      </c>
      <c r="K250" s="17">
        <f t="shared" si="131"/>
        <v>61</v>
      </c>
      <c r="L250" s="17">
        <f t="shared" si="131"/>
        <v>92</v>
      </c>
      <c r="M250" s="17">
        <f t="shared" si="131"/>
        <v>122</v>
      </c>
      <c r="N250" s="17">
        <f t="shared" si="131"/>
        <v>153</v>
      </c>
      <c r="O250" s="17">
        <f t="shared" si="131"/>
        <v>184</v>
      </c>
      <c r="P250" s="17">
        <f t="shared" si="131"/>
        <v>213</v>
      </c>
      <c r="Q250" s="17">
        <f t="shared" si="131"/>
        <v>244</v>
      </c>
      <c r="R250" s="17">
        <f t="shared" si="131"/>
        <v>274</v>
      </c>
      <c r="S250" s="17">
        <f t="shared" si="131"/>
        <v>305</v>
      </c>
      <c r="T250" s="17">
        <f t="shared" si="131"/>
        <v>335</v>
      </c>
      <c r="U250" s="17">
        <f t="shared" si="131"/>
        <v>366</v>
      </c>
      <c r="V250" s="17">
        <f t="shared" si="131"/>
        <v>397</v>
      </c>
      <c r="W250" s="17">
        <f t="shared" si="131"/>
        <v>427</v>
      </c>
      <c r="X250" s="17">
        <f t="shared" si="131"/>
        <v>458</v>
      </c>
      <c r="Y250" s="17">
        <f t="shared" si="131"/>
        <v>488</v>
      </c>
      <c r="Z250" s="17">
        <f t="shared" si="131"/>
        <v>519</v>
      </c>
      <c r="AA250" s="17">
        <f t="shared" si="131"/>
        <v>550</v>
      </c>
      <c r="AB250" s="17">
        <f t="shared" si="131"/>
        <v>578</v>
      </c>
      <c r="AC250" s="17">
        <f t="shared" si="131"/>
        <v>609</v>
      </c>
      <c r="AD250" s="17">
        <f t="shared" si="131"/>
        <v>639</v>
      </c>
      <c r="AE250" s="17">
        <f t="shared" si="131"/>
        <v>670</v>
      </c>
      <c r="AF250" s="17">
        <f t="shared" si="131"/>
        <v>700</v>
      </c>
      <c r="AG250" s="17">
        <f t="shared" si="131"/>
        <v>731</v>
      </c>
      <c r="AH250" s="17">
        <f t="shared" si="131"/>
        <v>762</v>
      </c>
      <c r="AI250" s="17">
        <f t="shared" si="131"/>
        <v>792</v>
      </c>
      <c r="AJ250" s="17">
        <f t="shared" si="131"/>
        <v>823</v>
      </c>
      <c r="AK250" s="17">
        <f t="shared" si="131"/>
        <v>853</v>
      </c>
      <c r="AL250" s="17">
        <f t="shared" si="131"/>
        <v>884</v>
      </c>
      <c r="AM250" s="17">
        <f t="shared" si="131"/>
        <v>915</v>
      </c>
      <c r="AN250" s="17">
        <f t="shared" si="131"/>
        <v>943</v>
      </c>
      <c r="AO250" s="17">
        <f t="shared" si="131"/>
        <v>974</v>
      </c>
      <c r="AP250" s="17">
        <f t="shared" si="131"/>
        <v>1004</v>
      </c>
      <c r="AQ250" s="17">
        <f t="shared" si="131"/>
        <v>1035</v>
      </c>
      <c r="AR250" s="17">
        <f t="shared" si="131"/>
        <v>1065</v>
      </c>
      <c r="AS250" s="17">
        <f t="shared" si="131"/>
        <v>1096</v>
      </c>
    </row>
    <row r="251" spans="2:45" hidden="1" outlineLevel="1" collapsed="1" x14ac:dyDescent="0.15"/>
    <row r="252" spans="2:45" hidden="1" outlineLevel="1" x14ac:dyDescent="0.15">
      <c r="B252" s="16" t="str">
        <f>OBS!B34</f>
        <v>Inventory Payables Category 1</v>
      </c>
    </row>
    <row r="253" spans="2:45" hidden="1" outlineLevel="1" x14ac:dyDescent="0.15">
      <c r="B253" s="107" t="s">
        <v>375</v>
      </c>
      <c r="J253" s="14">
        <f>IF(J$8=1,OBS!J34,I269)</f>
        <v>0</v>
      </c>
      <c r="K253" s="14">
        <f>IF(K$8=1,OBS!K34,J269)</f>
        <v>0</v>
      </c>
      <c r="L253" s="14">
        <f>IF(L$8=1,OBS!L34,K269)</f>
        <v>0</v>
      </c>
      <c r="M253" s="14">
        <f>IF(M$8=1,OBS!M34,L269)</f>
        <v>0</v>
      </c>
      <c r="N253" s="14">
        <f>IF(N$8=1,OBS!N34,M269)</f>
        <v>0</v>
      </c>
      <c r="O253" s="14">
        <f>IF(O$8=1,OBS!O34,N269)</f>
        <v>0</v>
      </c>
      <c r="P253" s="14">
        <f>IF(P$8=1,OBS!P34,O269)</f>
        <v>0</v>
      </c>
      <c r="Q253" s="14">
        <f>IF(Q$8=1,OBS!Q34,P269)</f>
        <v>0</v>
      </c>
      <c r="R253" s="14">
        <f>IF(R$8=1,OBS!R34,Q269)</f>
        <v>0</v>
      </c>
      <c r="S253" s="14">
        <f>IF(S$8=1,OBS!S34,R269)</f>
        <v>0</v>
      </c>
      <c r="T253" s="14">
        <f>IF(T$8=1,OBS!T34,S269)</f>
        <v>0</v>
      </c>
      <c r="U253" s="14">
        <f>IF(U$8=1,OBS!U34,T269)</f>
        <v>0</v>
      </c>
      <c r="V253" s="14">
        <f>IF(V$8=1,OBS!V34,U269)</f>
        <v>0</v>
      </c>
      <c r="W253" s="14">
        <f>IF(W$8=1,OBS!W34,V269)</f>
        <v>0</v>
      </c>
      <c r="X253" s="14">
        <f>IF(X$8=1,OBS!X34,W269)</f>
        <v>0</v>
      </c>
      <c r="Y253" s="14">
        <f>IF(Y$8=1,OBS!Y34,X269)</f>
        <v>0</v>
      </c>
      <c r="Z253" s="14">
        <f>IF(Z$8=1,OBS!Z34,Y269)</f>
        <v>0</v>
      </c>
      <c r="AA253" s="14">
        <f>IF(AA$8=1,OBS!AA34,Z269)</f>
        <v>0</v>
      </c>
      <c r="AB253" s="14">
        <f>IF(AB$8=1,OBS!AB34,AA269)</f>
        <v>0</v>
      </c>
      <c r="AC253" s="14">
        <f>IF(AC$8=1,OBS!AC34,AB269)</f>
        <v>0</v>
      </c>
      <c r="AD253" s="14">
        <f>IF(AD$8=1,OBS!AD34,AC269)</f>
        <v>0</v>
      </c>
      <c r="AE253" s="14">
        <f>IF(AE$8=1,OBS!AE34,AD269)</f>
        <v>0</v>
      </c>
      <c r="AF253" s="14">
        <f>IF(AF$8=1,OBS!AF34,AE269)</f>
        <v>0</v>
      </c>
      <c r="AG253" s="14">
        <f>IF(AG$8=1,OBS!AG34,AF269)</f>
        <v>0</v>
      </c>
      <c r="AH253" s="14">
        <f>IF(AH$8=1,OBS!AH34,AG269)</f>
        <v>0</v>
      </c>
      <c r="AI253" s="14">
        <f>IF(AI$8=1,OBS!AI34,AH269)</f>
        <v>0</v>
      </c>
      <c r="AJ253" s="14">
        <f>IF(AJ$8=1,OBS!AJ34,AI269)</f>
        <v>0</v>
      </c>
      <c r="AK253" s="14">
        <f>IF(AK$8=1,OBS!AK34,AJ269)</f>
        <v>0</v>
      </c>
      <c r="AL253" s="14">
        <f>IF(AL$8=1,OBS!AL34,AK269)</f>
        <v>0</v>
      </c>
      <c r="AM253" s="14">
        <f>IF(AM$8=1,OBS!AM34,AL269)</f>
        <v>0</v>
      </c>
      <c r="AN253" s="14">
        <f>IF(AN$8=1,OBS!AN34,AM269)</f>
        <v>0</v>
      </c>
      <c r="AO253" s="14">
        <f>IF(AO$8=1,OBS!AO34,AN269)</f>
        <v>0</v>
      </c>
      <c r="AP253" s="14">
        <f>IF(AP$8=1,OBS!AP34,AO269)</f>
        <v>0</v>
      </c>
      <c r="AQ253" s="14">
        <f>IF(AQ$8=1,OBS!AQ34,AP269)</f>
        <v>0</v>
      </c>
      <c r="AR253" s="14">
        <f>IF(AR$8=1,OBS!AR34,AQ269)</f>
        <v>0</v>
      </c>
      <c r="AS253" s="14">
        <f>IF(AS$8=1,OBS!AS34,AR269)</f>
        <v>0</v>
      </c>
    </row>
    <row r="254" spans="2:45" hidden="1" outlineLevel="1" x14ac:dyDescent="0.15">
      <c r="B254" s="107" t="s">
        <v>394</v>
      </c>
      <c r="J254" s="14">
        <f>SUMIF($H$243:$H$243,ROWS(Lookups!$D139:$D$139)+1,J$243:J$243)</f>
        <v>0</v>
      </c>
      <c r="K254" s="14">
        <f>SUMIF($H$243:$H$243,ROWS(Lookups!$D139:$D$139)+1,K$243:K$243)</f>
        <v>0</v>
      </c>
      <c r="L254" s="14">
        <f>SUMIF($H$243:$H$243,ROWS(Lookups!$D139:$D$139)+1,L$243:L$243)</f>
        <v>0</v>
      </c>
      <c r="M254" s="14">
        <f>SUMIF($H$243:$H$243,ROWS(Lookups!$D139:$D$139)+1,M$243:M$243)</f>
        <v>0</v>
      </c>
      <c r="N254" s="14">
        <f>SUMIF($H$243:$H$243,ROWS(Lookups!$D139:$D$139)+1,N$243:N$243)</f>
        <v>0</v>
      </c>
      <c r="O254" s="14">
        <f>SUMIF($H$243:$H$243,ROWS(Lookups!$D139:$D$139)+1,O$243:O$243)</f>
        <v>0</v>
      </c>
      <c r="P254" s="14">
        <f>SUMIF($H$243:$H$243,ROWS(Lookups!$D139:$D$139)+1,P$243:P$243)</f>
        <v>0</v>
      </c>
      <c r="Q254" s="14">
        <f>SUMIF($H$243:$H$243,ROWS(Lookups!$D139:$D$139)+1,Q$243:Q$243)</f>
        <v>0</v>
      </c>
      <c r="R254" s="14">
        <f>SUMIF($H$243:$H$243,ROWS(Lookups!$D139:$D$139)+1,R$243:R$243)</f>
        <v>0</v>
      </c>
      <c r="S254" s="14">
        <f>SUMIF($H$243:$H$243,ROWS(Lookups!$D139:$D$139)+1,S$243:S$243)</f>
        <v>0</v>
      </c>
      <c r="T254" s="14">
        <f>SUMIF($H$243:$H$243,ROWS(Lookups!$D139:$D$139)+1,T$243:T$243)</f>
        <v>0</v>
      </c>
      <c r="U254" s="14">
        <f>SUMIF($H$243:$H$243,ROWS(Lookups!$D139:$D$139)+1,U$243:U$243)</f>
        <v>0</v>
      </c>
      <c r="V254" s="14">
        <f>SUMIF($H$243:$H$243,ROWS(Lookups!$D139:$D$139)+1,V$243:V$243)</f>
        <v>0</v>
      </c>
      <c r="W254" s="14">
        <f>SUMIF($H$243:$H$243,ROWS(Lookups!$D139:$D$139)+1,W$243:W$243)</f>
        <v>0</v>
      </c>
      <c r="X254" s="14">
        <f>SUMIF($H$243:$H$243,ROWS(Lookups!$D139:$D$139)+1,X$243:X$243)</f>
        <v>0</v>
      </c>
      <c r="Y254" s="14">
        <f>SUMIF($H$243:$H$243,ROWS(Lookups!$D139:$D$139)+1,Y$243:Y$243)</f>
        <v>0</v>
      </c>
      <c r="Z254" s="14">
        <f>SUMIF($H$243:$H$243,ROWS(Lookups!$D139:$D$139)+1,Z$243:Z$243)</f>
        <v>0</v>
      </c>
      <c r="AA254" s="14">
        <f>SUMIF($H$243:$H$243,ROWS(Lookups!$D139:$D$139)+1,AA$243:AA$243)</f>
        <v>0</v>
      </c>
      <c r="AB254" s="14">
        <f>SUMIF($H$243:$H$243,ROWS(Lookups!$D139:$D$139)+1,AB$243:AB$243)</f>
        <v>0</v>
      </c>
      <c r="AC254" s="14">
        <f>SUMIF($H$243:$H$243,ROWS(Lookups!$D139:$D$139)+1,AC$243:AC$243)</f>
        <v>0</v>
      </c>
      <c r="AD254" s="14">
        <f>SUMIF($H$243:$H$243,ROWS(Lookups!$D139:$D$139)+1,AD$243:AD$243)</f>
        <v>0</v>
      </c>
      <c r="AE254" s="14">
        <f>SUMIF($H$243:$H$243,ROWS(Lookups!$D139:$D$139)+1,AE$243:AE$243)</f>
        <v>0</v>
      </c>
      <c r="AF254" s="14">
        <f>SUMIF($H$243:$H$243,ROWS(Lookups!$D139:$D$139)+1,AF$243:AF$243)</f>
        <v>0</v>
      </c>
      <c r="AG254" s="14">
        <f>SUMIF($H$243:$H$243,ROWS(Lookups!$D139:$D$139)+1,AG$243:AG$243)</f>
        <v>0</v>
      </c>
      <c r="AH254" s="14">
        <f>SUMIF($H$243:$H$243,ROWS(Lookups!$D139:$D$139)+1,AH$243:AH$243)</f>
        <v>0</v>
      </c>
      <c r="AI254" s="14">
        <f>SUMIF($H$243:$H$243,ROWS(Lookups!$D139:$D$139)+1,AI$243:AI$243)</f>
        <v>0</v>
      </c>
      <c r="AJ254" s="14">
        <f>SUMIF($H$243:$H$243,ROWS(Lookups!$D139:$D$139)+1,AJ$243:AJ$243)</f>
        <v>0</v>
      </c>
      <c r="AK254" s="14">
        <f>SUMIF($H$243:$H$243,ROWS(Lookups!$D139:$D$139)+1,AK$243:AK$243)</f>
        <v>0</v>
      </c>
      <c r="AL254" s="14">
        <f>SUMIF($H$243:$H$243,ROWS(Lookups!$D139:$D$139)+1,AL$243:AL$243)</f>
        <v>0</v>
      </c>
      <c r="AM254" s="14">
        <f>SUMIF($H$243:$H$243,ROWS(Lookups!$D139:$D$139)+1,AM$243:AM$243)</f>
        <v>0</v>
      </c>
      <c r="AN254" s="14">
        <f>SUMIF($H$243:$H$243,ROWS(Lookups!$D139:$D$139)+1,AN$243:AN$243)</f>
        <v>0</v>
      </c>
      <c r="AO254" s="14">
        <f>SUMIF($H$243:$H$243,ROWS(Lookups!$D139:$D$139)+1,AO$243:AO$243)</f>
        <v>0</v>
      </c>
      <c r="AP254" s="14">
        <f>SUMIF($H$243:$H$243,ROWS(Lookups!$D139:$D$139)+1,AP$243:AP$243)</f>
        <v>0</v>
      </c>
      <c r="AQ254" s="14">
        <f>SUMIF($H$243:$H$243,ROWS(Lookups!$D139:$D$139)+1,AQ$243:AQ$243)</f>
        <v>0</v>
      </c>
      <c r="AR254" s="14">
        <f>SUMIF($H$243:$H$243,ROWS(Lookups!$D139:$D$139)+1,AR$243:AR$243)</f>
        <v>0</v>
      </c>
      <c r="AS254" s="14">
        <f>SUMIF($H$243:$H$243,ROWS(Lookups!$D139:$D$139)+1,AS$243:AS$243)</f>
        <v>0</v>
      </c>
    </row>
    <row r="255" spans="2:45" hidden="1" outlineLevel="2" x14ac:dyDescent="0.15">
      <c r="F255" s="107" t="s">
        <v>409</v>
      </c>
      <c r="J255" s="40">
        <f t="shared" ref="J255:AS255" si="132">IF($I271=0,0,(MIN($I271,J$250)-MIN($I271,J$249))/$I271)</f>
        <v>0</v>
      </c>
      <c r="K255" s="40">
        <f t="shared" si="132"/>
        <v>0</v>
      </c>
      <c r="L255" s="40">
        <f t="shared" si="132"/>
        <v>0</v>
      </c>
      <c r="M255" s="40">
        <f t="shared" si="132"/>
        <v>0</v>
      </c>
      <c r="N255" s="40">
        <f t="shared" si="132"/>
        <v>0</v>
      </c>
      <c r="O255" s="40">
        <f t="shared" si="132"/>
        <v>0</v>
      </c>
      <c r="P255" s="40">
        <f t="shared" si="132"/>
        <v>0</v>
      </c>
      <c r="Q255" s="40">
        <f t="shared" si="132"/>
        <v>0</v>
      </c>
      <c r="R255" s="40">
        <f t="shared" si="132"/>
        <v>0</v>
      </c>
      <c r="S255" s="40">
        <f t="shared" si="132"/>
        <v>0</v>
      </c>
      <c r="T255" s="40">
        <f t="shared" si="132"/>
        <v>0</v>
      </c>
      <c r="U255" s="40">
        <f t="shared" si="132"/>
        <v>0</v>
      </c>
      <c r="V255" s="40">
        <f t="shared" si="132"/>
        <v>0</v>
      </c>
      <c r="W255" s="40">
        <f t="shared" si="132"/>
        <v>0</v>
      </c>
      <c r="X255" s="40">
        <f t="shared" si="132"/>
        <v>0</v>
      </c>
      <c r="Y255" s="40">
        <f t="shared" si="132"/>
        <v>0</v>
      </c>
      <c r="Z255" s="40">
        <f t="shared" si="132"/>
        <v>0</v>
      </c>
      <c r="AA255" s="40">
        <f t="shared" si="132"/>
        <v>0</v>
      </c>
      <c r="AB255" s="40">
        <f t="shared" si="132"/>
        <v>0</v>
      </c>
      <c r="AC255" s="40">
        <f t="shared" si="132"/>
        <v>0</v>
      </c>
      <c r="AD255" s="40">
        <f t="shared" si="132"/>
        <v>0</v>
      </c>
      <c r="AE255" s="40">
        <f t="shared" si="132"/>
        <v>0</v>
      </c>
      <c r="AF255" s="40">
        <f t="shared" si="132"/>
        <v>0</v>
      </c>
      <c r="AG255" s="40">
        <f t="shared" si="132"/>
        <v>0</v>
      </c>
      <c r="AH255" s="40">
        <f t="shared" si="132"/>
        <v>0</v>
      </c>
      <c r="AI255" s="40">
        <f t="shared" si="132"/>
        <v>0</v>
      </c>
      <c r="AJ255" s="40">
        <f t="shared" si="132"/>
        <v>0</v>
      </c>
      <c r="AK255" s="40">
        <f t="shared" si="132"/>
        <v>0</v>
      </c>
      <c r="AL255" s="40">
        <f t="shared" si="132"/>
        <v>0</v>
      </c>
      <c r="AM255" s="40">
        <f t="shared" si="132"/>
        <v>0</v>
      </c>
      <c r="AN255" s="40">
        <f t="shared" si="132"/>
        <v>0</v>
      </c>
      <c r="AO255" s="40">
        <f t="shared" si="132"/>
        <v>0</v>
      </c>
      <c r="AP255" s="40">
        <f t="shared" si="132"/>
        <v>0</v>
      </c>
      <c r="AQ255" s="40">
        <f t="shared" si="132"/>
        <v>0</v>
      </c>
      <c r="AR255" s="40">
        <f t="shared" si="132"/>
        <v>0</v>
      </c>
      <c r="AS255" s="40">
        <f t="shared" si="132"/>
        <v>0</v>
      </c>
    </row>
    <row r="256" spans="2:45" hidden="1" outlineLevel="2" x14ac:dyDescent="0.15">
      <c r="C256" s="107" t="s">
        <v>410</v>
      </c>
      <c r="J256" s="24">
        <f t="shared" ref="J256:AS256" si="133">-$J253*J255</f>
        <v>0</v>
      </c>
      <c r="K256" s="24">
        <f t="shared" si="133"/>
        <v>0</v>
      </c>
      <c r="L256" s="24">
        <f t="shared" si="133"/>
        <v>0</v>
      </c>
      <c r="M256" s="24">
        <f t="shared" si="133"/>
        <v>0</v>
      </c>
      <c r="N256" s="24">
        <f t="shared" si="133"/>
        <v>0</v>
      </c>
      <c r="O256" s="24">
        <f t="shared" si="133"/>
        <v>0</v>
      </c>
      <c r="P256" s="24">
        <f t="shared" si="133"/>
        <v>0</v>
      </c>
      <c r="Q256" s="24">
        <f t="shared" si="133"/>
        <v>0</v>
      </c>
      <c r="R256" s="24">
        <f t="shared" si="133"/>
        <v>0</v>
      </c>
      <c r="S256" s="24">
        <f t="shared" si="133"/>
        <v>0</v>
      </c>
      <c r="T256" s="24">
        <f t="shared" si="133"/>
        <v>0</v>
      </c>
      <c r="U256" s="24">
        <f t="shared" si="133"/>
        <v>0</v>
      </c>
      <c r="V256" s="24">
        <f t="shared" si="133"/>
        <v>0</v>
      </c>
      <c r="W256" s="24">
        <f t="shared" si="133"/>
        <v>0</v>
      </c>
      <c r="X256" s="24">
        <f t="shared" si="133"/>
        <v>0</v>
      </c>
      <c r="Y256" s="24">
        <f t="shared" si="133"/>
        <v>0</v>
      </c>
      <c r="Z256" s="24">
        <f t="shared" si="133"/>
        <v>0</v>
      </c>
      <c r="AA256" s="24">
        <f t="shared" si="133"/>
        <v>0</v>
      </c>
      <c r="AB256" s="24">
        <f t="shared" si="133"/>
        <v>0</v>
      </c>
      <c r="AC256" s="24">
        <f t="shared" si="133"/>
        <v>0</v>
      </c>
      <c r="AD256" s="24">
        <f t="shared" si="133"/>
        <v>0</v>
      </c>
      <c r="AE256" s="24">
        <f t="shared" si="133"/>
        <v>0</v>
      </c>
      <c r="AF256" s="24">
        <f t="shared" si="133"/>
        <v>0</v>
      </c>
      <c r="AG256" s="24">
        <f t="shared" si="133"/>
        <v>0</v>
      </c>
      <c r="AH256" s="24">
        <f t="shared" si="133"/>
        <v>0</v>
      </c>
      <c r="AI256" s="24">
        <f t="shared" si="133"/>
        <v>0</v>
      </c>
      <c r="AJ256" s="24">
        <f t="shared" si="133"/>
        <v>0</v>
      </c>
      <c r="AK256" s="24">
        <f t="shared" si="133"/>
        <v>0</v>
      </c>
      <c r="AL256" s="24">
        <f t="shared" si="133"/>
        <v>0</v>
      </c>
      <c r="AM256" s="24">
        <f t="shared" si="133"/>
        <v>0</v>
      </c>
      <c r="AN256" s="24">
        <f t="shared" si="133"/>
        <v>0</v>
      </c>
      <c r="AO256" s="24">
        <f t="shared" si="133"/>
        <v>0</v>
      </c>
      <c r="AP256" s="24">
        <f t="shared" si="133"/>
        <v>0</v>
      </c>
      <c r="AQ256" s="24">
        <f t="shared" si="133"/>
        <v>0</v>
      </c>
      <c r="AR256" s="24">
        <f t="shared" si="133"/>
        <v>0</v>
      </c>
      <c r="AS256" s="24">
        <f t="shared" si="133"/>
        <v>0</v>
      </c>
    </row>
    <row r="257" spans="2:45" hidden="1" outlineLevel="2" x14ac:dyDescent="0.15">
      <c r="F257" s="107" t="str">
        <f>B271</f>
        <v>Cash Payment Delay (Days)</v>
      </c>
      <c r="J257" s="17">
        <f t="shared" ref="J257:AS257" si="134">J271</f>
        <v>0</v>
      </c>
      <c r="K257" s="17">
        <f t="shared" si="134"/>
        <v>0</v>
      </c>
      <c r="L257" s="17">
        <f t="shared" si="134"/>
        <v>0</v>
      </c>
      <c r="M257" s="17">
        <f t="shared" si="134"/>
        <v>0</v>
      </c>
      <c r="N257" s="17">
        <f t="shared" si="134"/>
        <v>0</v>
      </c>
      <c r="O257" s="17">
        <f t="shared" si="134"/>
        <v>0</v>
      </c>
      <c r="P257" s="17">
        <f t="shared" si="134"/>
        <v>0</v>
      </c>
      <c r="Q257" s="17">
        <f t="shared" si="134"/>
        <v>0</v>
      </c>
      <c r="R257" s="17">
        <f t="shared" si="134"/>
        <v>0</v>
      </c>
      <c r="S257" s="17">
        <f t="shared" si="134"/>
        <v>0</v>
      </c>
      <c r="T257" s="17">
        <f t="shared" si="134"/>
        <v>0</v>
      </c>
      <c r="U257" s="17">
        <f t="shared" si="134"/>
        <v>0</v>
      </c>
      <c r="V257" s="17">
        <f t="shared" si="134"/>
        <v>0</v>
      </c>
      <c r="W257" s="17">
        <f t="shared" si="134"/>
        <v>0</v>
      </c>
      <c r="X257" s="17">
        <f t="shared" si="134"/>
        <v>0</v>
      </c>
      <c r="Y257" s="17">
        <f t="shared" si="134"/>
        <v>0</v>
      </c>
      <c r="Z257" s="17">
        <f t="shared" si="134"/>
        <v>0</v>
      </c>
      <c r="AA257" s="17">
        <f t="shared" si="134"/>
        <v>0</v>
      </c>
      <c r="AB257" s="17">
        <f t="shared" si="134"/>
        <v>0</v>
      </c>
      <c r="AC257" s="17">
        <f t="shared" si="134"/>
        <v>0</v>
      </c>
      <c r="AD257" s="17">
        <f t="shared" si="134"/>
        <v>0</v>
      </c>
      <c r="AE257" s="17">
        <f t="shared" si="134"/>
        <v>0</v>
      </c>
      <c r="AF257" s="17">
        <f t="shared" si="134"/>
        <v>0</v>
      </c>
      <c r="AG257" s="17">
        <f t="shared" si="134"/>
        <v>0</v>
      </c>
      <c r="AH257" s="17">
        <f t="shared" si="134"/>
        <v>0</v>
      </c>
      <c r="AI257" s="17">
        <f t="shared" si="134"/>
        <v>0</v>
      </c>
      <c r="AJ257" s="17">
        <f t="shared" si="134"/>
        <v>0</v>
      </c>
      <c r="AK257" s="17">
        <f t="shared" si="134"/>
        <v>0</v>
      </c>
      <c r="AL257" s="17">
        <f t="shared" si="134"/>
        <v>0</v>
      </c>
      <c r="AM257" s="17">
        <f t="shared" si="134"/>
        <v>0</v>
      </c>
      <c r="AN257" s="17">
        <f t="shared" si="134"/>
        <v>0</v>
      </c>
      <c r="AO257" s="17">
        <f t="shared" si="134"/>
        <v>0</v>
      </c>
      <c r="AP257" s="17">
        <f t="shared" si="134"/>
        <v>0</v>
      </c>
      <c r="AQ257" s="17">
        <f t="shared" si="134"/>
        <v>0</v>
      </c>
      <c r="AR257" s="17">
        <f t="shared" si="134"/>
        <v>0</v>
      </c>
      <c r="AS257" s="17">
        <f t="shared" si="134"/>
        <v>0</v>
      </c>
    </row>
    <row r="258" spans="2:45" hidden="1" outlineLevel="2" x14ac:dyDescent="0.15">
      <c r="F258" s="107" t="s">
        <v>411</v>
      </c>
      <c r="J258" s="17">
        <f t="shared" ref="J258:AS258" si="135">J$249+J257</f>
        <v>0</v>
      </c>
      <c r="K258" s="17">
        <f t="shared" si="135"/>
        <v>31</v>
      </c>
      <c r="L258" s="17">
        <f t="shared" si="135"/>
        <v>61</v>
      </c>
      <c r="M258" s="17">
        <f t="shared" si="135"/>
        <v>92</v>
      </c>
      <c r="N258" s="17">
        <f t="shared" si="135"/>
        <v>122</v>
      </c>
      <c r="O258" s="17">
        <f t="shared" si="135"/>
        <v>153</v>
      </c>
      <c r="P258" s="17">
        <f t="shared" si="135"/>
        <v>184</v>
      </c>
      <c r="Q258" s="17">
        <f t="shared" si="135"/>
        <v>213</v>
      </c>
      <c r="R258" s="17">
        <f t="shared" si="135"/>
        <v>244</v>
      </c>
      <c r="S258" s="17">
        <f t="shared" si="135"/>
        <v>274</v>
      </c>
      <c r="T258" s="17">
        <f t="shared" si="135"/>
        <v>305</v>
      </c>
      <c r="U258" s="17">
        <f t="shared" si="135"/>
        <v>335</v>
      </c>
      <c r="V258" s="17">
        <f t="shared" si="135"/>
        <v>366</v>
      </c>
      <c r="W258" s="17">
        <f t="shared" si="135"/>
        <v>397</v>
      </c>
      <c r="X258" s="17">
        <f t="shared" si="135"/>
        <v>427</v>
      </c>
      <c r="Y258" s="17">
        <f t="shared" si="135"/>
        <v>458</v>
      </c>
      <c r="Z258" s="17">
        <f t="shared" si="135"/>
        <v>488</v>
      </c>
      <c r="AA258" s="17">
        <f t="shared" si="135"/>
        <v>519</v>
      </c>
      <c r="AB258" s="17">
        <f t="shared" si="135"/>
        <v>550</v>
      </c>
      <c r="AC258" s="17">
        <f t="shared" si="135"/>
        <v>578</v>
      </c>
      <c r="AD258" s="17">
        <f t="shared" si="135"/>
        <v>609</v>
      </c>
      <c r="AE258" s="17">
        <f t="shared" si="135"/>
        <v>639</v>
      </c>
      <c r="AF258" s="17">
        <f t="shared" si="135"/>
        <v>670</v>
      </c>
      <c r="AG258" s="17">
        <f t="shared" si="135"/>
        <v>700</v>
      </c>
      <c r="AH258" s="17">
        <f t="shared" si="135"/>
        <v>731</v>
      </c>
      <c r="AI258" s="17">
        <f t="shared" si="135"/>
        <v>762</v>
      </c>
      <c r="AJ258" s="17">
        <f t="shared" si="135"/>
        <v>792</v>
      </c>
      <c r="AK258" s="17">
        <f t="shared" si="135"/>
        <v>823</v>
      </c>
      <c r="AL258" s="17">
        <f t="shared" si="135"/>
        <v>853</v>
      </c>
      <c r="AM258" s="17">
        <f t="shared" si="135"/>
        <v>884</v>
      </c>
      <c r="AN258" s="17">
        <f t="shared" si="135"/>
        <v>915</v>
      </c>
      <c r="AO258" s="17">
        <f t="shared" si="135"/>
        <v>943</v>
      </c>
      <c r="AP258" s="17">
        <f t="shared" si="135"/>
        <v>974</v>
      </c>
      <c r="AQ258" s="17">
        <f t="shared" si="135"/>
        <v>1004</v>
      </c>
      <c r="AR258" s="17">
        <f t="shared" si="135"/>
        <v>1035</v>
      </c>
      <c r="AS258" s="17">
        <f t="shared" si="135"/>
        <v>1065</v>
      </c>
    </row>
    <row r="259" spans="2:45" hidden="1" outlineLevel="2" x14ac:dyDescent="0.15">
      <c r="F259" s="107" t="s">
        <v>412</v>
      </c>
      <c r="J259" s="17">
        <f t="shared" ref="J259:AS259" si="136">J258+J$248</f>
        <v>31</v>
      </c>
      <c r="K259" s="17">
        <f t="shared" si="136"/>
        <v>61</v>
      </c>
      <c r="L259" s="17">
        <f t="shared" si="136"/>
        <v>92</v>
      </c>
      <c r="M259" s="17">
        <f t="shared" si="136"/>
        <v>122</v>
      </c>
      <c r="N259" s="17">
        <f t="shared" si="136"/>
        <v>153</v>
      </c>
      <c r="O259" s="17">
        <f t="shared" si="136"/>
        <v>184</v>
      </c>
      <c r="P259" s="17">
        <f t="shared" si="136"/>
        <v>213</v>
      </c>
      <c r="Q259" s="17">
        <f t="shared" si="136"/>
        <v>244</v>
      </c>
      <c r="R259" s="17">
        <f t="shared" si="136"/>
        <v>274</v>
      </c>
      <c r="S259" s="17">
        <f t="shared" si="136"/>
        <v>305</v>
      </c>
      <c r="T259" s="17">
        <f t="shared" si="136"/>
        <v>335</v>
      </c>
      <c r="U259" s="17">
        <f t="shared" si="136"/>
        <v>366</v>
      </c>
      <c r="V259" s="17">
        <f t="shared" si="136"/>
        <v>397</v>
      </c>
      <c r="W259" s="17">
        <f t="shared" si="136"/>
        <v>427</v>
      </c>
      <c r="X259" s="17">
        <f t="shared" si="136"/>
        <v>458</v>
      </c>
      <c r="Y259" s="17">
        <f t="shared" si="136"/>
        <v>488</v>
      </c>
      <c r="Z259" s="17">
        <f t="shared" si="136"/>
        <v>519</v>
      </c>
      <c r="AA259" s="17">
        <f t="shared" si="136"/>
        <v>550</v>
      </c>
      <c r="AB259" s="17">
        <f t="shared" si="136"/>
        <v>578</v>
      </c>
      <c r="AC259" s="17">
        <f t="shared" si="136"/>
        <v>609</v>
      </c>
      <c r="AD259" s="17">
        <f t="shared" si="136"/>
        <v>639</v>
      </c>
      <c r="AE259" s="17">
        <f t="shared" si="136"/>
        <v>670</v>
      </c>
      <c r="AF259" s="17">
        <f t="shared" si="136"/>
        <v>700</v>
      </c>
      <c r="AG259" s="17">
        <f t="shared" si="136"/>
        <v>731</v>
      </c>
      <c r="AH259" s="17">
        <f t="shared" si="136"/>
        <v>762</v>
      </c>
      <c r="AI259" s="17">
        <f t="shared" si="136"/>
        <v>792</v>
      </c>
      <c r="AJ259" s="17">
        <f t="shared" si="136"/>
        <v>823</v>
      </c>
      <c r="AK259" s="17">
        <f t="shared" si="136"/>
        <v>853</v>
      </c>
      <c r="AL259" s="17">
        <f t="shared" si="136"/>
        <v>884</v>
      </c>
      <c r="AM259" s="17">
        <f t="shared" si="136"/>
        <v>915</v>
      </c>
      <c r="AN259" s="17">
        <f t="shared" si="136"/>
        <v>943</v>
      </c>
      <c r="AO259" s="17">
        <f t="shared" si="136"/>
        <v>974</v>
      </c>
      <c r="AP259" s="17">
        <f t="shared" si="136"/>
        <v>1004</v>
      </c>
      <c r="AQ259" s="17">
        <f t="shared" si="136"/>
        <v>1035</v>
      </c>
      <c r="AR259" s="17">
        <f t="shared" si="136"/>
        <v>1065</v>
      </c>
      <c r="AS259" s="17">
        <f t="shared" si="136"/>
        <v>1096</v>
      </c>
    </row>
    <row r="260" spans="2:45" hidden="1" outlineLevel="2" x14ac:dyDescent="0.15">
      <c r="F260" s="107" t="s">
        <v>413</v>
      </c>
      <c r="J260" s="41">
        <f t="shared" ref="J260:AS260" si="137">IF(J258&gt;MAX($J$250:$AS$250),0,MATCH(J258,$J$249:$AS$249,1))</f>
        <v>1</v>
      </c>
      <c r="K260" s="41">
        <f t="shared" si="137"/>
        <v>2</v>
      </c>
      <c r="L260" s="41">
        <f t="shared" si="137"/>
        <v>3</v>
      </c>
      <c r="M260" s="41">
        <f t="shared" si="137"/>
        <v>4</v>
      </c>
      <c r="N260" s="41">
        <f t="shared" si="137"/>
        <v>5</v>
      </c>
      <c r="O260" s="41">
        <f t="shared" si="137"/>
        <v>6</v>
      </c>
      <c r="P260" s="41">
        <f t="shared" si="137"/>
        <v>7</v>
      </c>
      <c r="Q260" s="41">
        <f t="shared" si="137"/>
        <v>8</v>
      </c>
      <c r="R260" s="41">
        <f t="shared" si="137"/>
        <v>9</v>
      </c>
      <c r="S260" s="41">
        <f t="shared" si="137"/>
        <v>10</v>
      </c>
      <c r="T260" s="41">
        <f t="shared" si="137"/>
        <v>11</v>
      </c>
      <c r="U260" s="41">
        <f t="shared" si="137"/>
        <v>12</v>
      </c>
      <c r="V260" s="41">
        <f t="shared" si="137"/>
        <v>13</v>
      </c>
      <c r="W260" s="41">
        <f t="shared" si="137"/>
        <v>14</v>
      </c>
      <c r="X260" s="41">
        <f t="shared" si="137"/>
        <v>15</v>
      </c>
      <c r="Y260" s="41">
        <f t="shared" si="137"/>
        <v>16</v>
      </c>
      <c r="Z260" s="41">
        <f t="shared" si="137"/>
        <v>17</v>
      </c>
      <c r="AA260" s="41">
        <f t="shared" si="137"/>
        <v>18</v>
      </c>
      <c r="AB260" s="41">
        <f t="shared" si="137"/>
        <v>19</v>
      </c>
      <c r="AC260" s="41">
        <f t="shared" si="137"/>
        <v>20</v>
      </c>
      <c r="AD260" s="41">
        <f t="shared" si="137"/>
        <v>21</v>
      </c>
      <c r="AE260" s="41">
        <f t="shared" si="137"/>
        <v>22</v>
      </c>
      <c r="AF260" s="41">
        <f t="shared" si="137"/>
        <v>23</v>
      </c>
      <c r="AG260" s="41">
        <f t="shared" si="137"/>
        <v>24</v>
      </c>
      <c r="AH260" s="41">
        <f t="shared" si="137"/>
        <v>25</v>
      </c>
      <c r="AI260" s="41">
        <f t="shared" si="137"/>
        <v>26</v>
      </c>
      <c r="AJ260" s="41">
        <f t="shared" si="137"/>
        <v>27</v>
      </c>
      <c r="AK260" s="41">
        <f t="shared" si="137"/>
        <v>28</v>
      </c>
      <c r="AL260" s="41">
        <f t="shared" si="137"/>
        <v>29</v>
      </c>
      <c r="AM260" s="41">
        <f t="shared" si="137"/>
        <v>30</v>
      </c>
      <c r="AN260" s="41">
        <f t="shared" si="137"/>
        <v>31</v>
      </c>
      <c r="AO260" s="41">
        <f t="shared" si="137"/>
        <v>32</v>
      </c>
      <c r="AP260" s="41">
        <f t="shared" si="137"/>
        <v>33</v>
      </c>
      <c r="AQ260" s="41">
        <f t="shared" si="137"/>
        <v>34</v>
      </c>
      <c r="AR260" s="41">
        <f t="shared" si="137"/>
        <v>35</v>
      </c>
      <c r="AS260" s="41">
        <f t="shared" si="137"/>
        <v>36</v>
      </c>
    </row>
    <row r="261" spans="2:45" hidden="1" outlineLevel="2" x14ac:dyDescent="0.15">
      <c r="F261" s="107" t="s">
        <v>414</v>
      </c>
      <c r="J261" s="17">
        <f t="shared" ref="J261:AS261" si="138">IF(J260&lt;1,0,IF(J260&gt;=COLUMNS($J260:$AS260),0,J260+1))</f>
        <v>2</v>
      </c>
      <c r="K261" s="17">
        <f t="shared" si="138"/>
        <v>3</v>
      </c>
      <c r="L261" s="17">
        <f t="shared" si="138"/>
        <v>4</v>
      </c>
      <c r="M261" s="17">
        <f t="shared" si="138"/>
        <v>5</v>
      </c>
      <c r="N261" s="17">
        <f t="shared" si="138"/>
        <v>6</v>
      </c>
      <c r="O261" s="17">
        <f t="shared" si="138"/>
        <v>7</v>
      </c>
      <c r="P261" s="17">
        <f t="shared" si="138"/>
        <v>8</v>
      </c>
      <c r="Q261" s="17">
        <f t="shared" si="138"/>
        <v>9</v>
      </c>
      <c r="R261" s="17">
        <f t="shared" si="138"/>
        <v>10</v>
      </c>
      <c r="S261" s="17">
        <f t="shared" si="138"/>
        <v>11</v>
      </c>
      <c r="T261" s="17">
        <f t="shared" si="138"/>
        <v>12</v>
      </c>
      <c r="U261" s="17">
        <f t="shared" si="138"/>
        <v>13</v>
      </c>
      <c r="V261" s="17">
        <f t="shared" si="138"/>
        <v>14</v>
      </c>
      <c r="W261" s="17">
        <f t="shared" si="138"/>
        <v>15</v>
      </c>
      <c r="X261" s="17">
        <f t="shared" si="138"/>
        <v>16</v>
      </c>
      <c r="Y261" s="17">
        <f t="shared" si="138"/>
        <v>17</v>
      </c>
      <c r="Z261" s="17">
        <f t="shared" si="138"/>
        <v>18</v>
      </c>
      <c r="AA261" s="17">
        <f t="shared" si="138"/>
        <v>19</v>
      </c>
      <c r="AB261" s="17">
        <f t="shared" si="138"/>
        <v>20</v>
      </c>
      <c r="AC261" s="17">
        <f t="shared" si="138"/>
        <v>21</v>
      </c>
      <c r="AD261" s="17">
        <f t="shared" si="138"/>
        <v>22</v>
      </c>
      <c r="AE261" s="17">
        <f t="shared" si="138"/>
        <v>23</v>
      </c>
      <c r="AF261" s="17">
        <f t="shared" si="138"/>
        <v>24</v>
      </c>
      <c r="AG261" s="17">
        <f t="shared" si="138"/>
        <v>25</v>
      </c>
      <c r="AH261" s="17">
        <f t="shared" si="138"/>
        <v>26</v>
      </c>
      <c r="AI261" s="17">
        <f t="shared" si="138"/>
        <v>27</v>
      </c>
      <c r="AJ261" s="17">
        <f t="shared" si="138"/>
        <v>28</v>
      </c>
      <c r="AK261" s="17">
        <f t="shared" si="138"/>
        <v>29</v>
      </c>
      <c r="AL261" s="17">
        <f t="shared" si="138"/>
        <v>30</v>
      </c>
      <c r="AM261" s="17">
        <f t="shared" si="138"/>
        <v>31</v>
      </c>
      <c r="AN261" s="17">
        <f t="shared" si="138"/>
        <v>32</v>
      </c>
      <c r="AO261" s="17">
        <f t="shared" si="138"/>
        <v>33</v>
      </c>
      <c r="AP261" s="17">
        <f t="shared" si="138"/>
        <v>34</v>
      </c>
      <c r="AQ261" s="17">
        <f t="shared" si="138"/>
        <v>35</v>
      </c>
      <c r="AR261" s="17">
        <f t="shared" si="138"/>
        <v>36</v>
      </c>
      <c r="AS261" s="17">
        <f t="shared" si="138"/>
        <v>0</v>
      </c>
    </row>
    <row r="262" spans="2:45" hidden="1" outlineLevel="2" x14ac:dyDescent="0.15">
      <c r="F262" s="107" t="s">
        <v>415</v>
      </c>
      <c r="J262" s="42">
        <f t="shared" ref="J262:AS262" si="139">IF(J261&lt;1,0,IF(J261&gt;=COLUMNS($J261:$AS261),0,J261+1))</f>
        <v>3</v>
      </c>
      <c r="K262" s="42">
        <f t="shared" si="139"/>
        <v>4</v>
      </c>
      <c r="L262" s="42">
        <f t="shared" si="139"/>
        <v>5</v>
      </c>
      <c r="M262" s="42">
        <f t="shared" si="139"/>
        <v>6</v>
      </c>
      <c r="N262" s="42">
        <f t="shared" si="139"/>
        <v>7</v>
      </c>
      <c r="O262" s="42">
        <f t="shared" si="139"/>
        <v>8</v>
      </c>
      <c r="P262" s="42">
        <f t="shared" si="139"/>
        <v>9</v>
      </c>
      <c r="Q262" s="42">
        <f t="shared" si="139"/>
        <v>10</v>
      </c>
      <c r="R262" s="42">
        <f t="shared" si="139"/>
        <v>11</v>
      </c>
      <c r="S262" s="42">
        <f t="shared" si="139"/>
        <v>12</v>
      </c>
      <c r="T262" s="42">
        <f t="shared" si="139"/>
        <v>13</v>
      </c>
      <c r="U262" s="42">
        <f t="shared" si="139"/>
        <v>14</v>
      </c>
      <c r="V262" s="42">
        <f t="shared" si="139"/>
        <v>15</v>
      </c>
      <c r="W262" s="42">
        <f t="shared" si="139"/>
        <v>16</v>
      </c>
      <c r="X262" s="42">
        <f t="shared" si="139"/>
        <v>17</v>
      </c>
      <c r="Y262" s="42">
        <f t="shared" si="139"/>
        <v>18</v>
      </c>
      <c r="Z262" s="42">
        <f t="shared" si="139"/>
        <v>19</v>
      </c>
      <c r="AA262" s="42">
        <f t="shared" si="139"/>
        <v>20</v>
      </c>
      <c r="AB262" s="42">
        <f t="shared" si="139"/>
        <v>21</v>
      </c>
      <c r="AC262" s="42">
        <f t="shared" si="139"/>
        <v>22</v>
      </c>
      <c r="AD262" s="42">
        <f t="shared" si="139"/>
        <v>23</v>
      </c>
      <c r="AE262" s="42">
        <f t="shared" si="139"/>
        <v>24</v>
      </c>
      <c r="AF262" s="42">
        <f t="shared" si="139"/>
        <v>25</v>
      </c>
      <c r="AG262" s="42">
        <f t="shared" si="139"/>
        <v>26</v>
      </c>
      <c r="AH262" s="42">
        <f t="shared" si="139"/>
        <v>27</v>
      </c>
      <c r="AI262" s="42">
        <f t="shared" si="139"/>
        <v>28</v>
      </c>
      <c r="AJ262" s="42">
        <f t="shared" si="139"/>
        <v>29</v>
      </c>
      <c r="AK262" s="42">
        <f t="shared" si="139"/>
        <v>30</v>
      </c>
      <c r="AL262" s="42">
        <f t="shared" si="139"/>
        <v>31</v>
      </c>
      <c r="AM262" s="42">
        <f t="shared" si="139"/>
        <v>32</v>
      </c>
      <c r="AN262" s="42">
        <f t="shared" si="139"/>
        <v>33</v>
      </c>
      <c r="AO262" s="42">
        <f t="shared" si="139"/>
        <v>34</v>
      </c>
      <c r="AP262" s="42">
        <f t="shared" si="139"/>
        <v>35</v>
      </c>
      <c r="AQ262" s="42">
        <f t="shared" si="139"/>
        <v>36</v>
      </c>
      <c r="AR262" s="42">
        <f t="shared" si="139"/>
        <v>0</v>
      </c>
      <c r="AS262" s="42">
        <f t="shared" si="139"/>
        <v>0</v>
      </c>
    </row>
    <row r="263" spans="2:45" hidden="1" outlineLevel="2" x14ac:dyDescent="0.15">
      <c r="F263" s="107" t="s">
        <v>416</v>
      </c>
      <c r="J263" s="14">
        <f t="shared" ref="J263:AS263" si="140">J254/J$248*MAX(MIN(INDEX($J$250:$AS$250,J260),J259)-J258,0)</f>
        <v>0</v>
      </c>
      <c r="K263" s="14">
        <f t="shared" si="140"/>
        <v>0</v>
      </c>
      <c r="L263" s="14">
        <f t="shared" si="140"/>
        <v>0</v>
      </c>
      <c r="M263" s="14">
        <f t="shared" si="140"/>
        <v>0</v>
      </c>
      <c r="N263" s="14">
        <f t="shared" si="140"/>
        <v>0</v>
      </c>
      <c r="O263" s="14">
        <f t="shared" si="140"/>
        <v>0</v>
      </c>
      <c r="P263" s="14">
        <f t="shared" si="140"/>
        <v>0</v>
      </c>
      <c r="Q263" s="14">
        <f t="shared" si="140"/>
        <v>0</v>
      </c>
      <c r="R263" s="14">
        <f t="shared" si="140"/>
        <v>0</v>
      </c>
      <c r="S263" s="14">
        <f t="shared" si="140"/>
        <v>0</v>
      </c>
      <c r="T263" s="14">
        <f t="shared" si="140"/>
        <v>0</v>
      </c>
      <c r="U263" s="14">
        <f t="shared" si="140"/>
        <v>0</v>
      </c>
      <c r="V263" s="14">
        <f t="shared" si="140"/>
        <v>0</v>
      </c>
      <c r="W263" s="14">
        <f t="shared" si="140"/>
        <v>0</v>
      </c>
      <c r="X263" s="14">
        <f t="shared" si="140"/>
        <v>0</v>
      </c>
      <c r="Y263" s="14">
        <f t="shared" si="140"/>
        <v>0</v>
      </c>
      <c r="Z263" s="14">
        <f t="shared" si="140"/>
        <v>0</v>
      </c>
      <c r="AA263" s="14">
        <f t="shared" si="140"/>
        <v>0</v>
      </c>
      <c r="AB263" s="14">
        <f t="shared" si="140"/>
        <v>0</v>
      </c>
      <c r="AC263" s="14">
        <f t="shared" si="140"/>
        <v>0</v>
      </c>
      <c r="AD263" s="14">
        <f t="shared" si="140"/>
        <v>0</v>
      </c>
      <c r="AE263" s="14">
        <f t="shared" si="140"/>
        <v>0</v>
      </c>
      <c r="AF263" s="14">
        <f t="shared" si="140"/>
        <v>0</v>
      </c>
      <c r="AG263" s="14">
        <f t="shared" si="140"/>
        <v>0</v>
      </c>
      <c r="AH263" s="14">
        <f t="shared" si="140"/>
        <v>0</v>
      </c>
      <c r="AI263" s="14">
        <f t="shared" si="140"/>
        <v>0</v>
      </c>
      <c r="AJ263" s="14">
        <f t="shared" si="140"/>
        <v>0</v>
      </c>
      <c r="AK263" s="14">
        <f t="shared" si="140"/>
        <v>0</v>
      </c>
      <c r="AL263" s="14">
        <f t="shared" si="140"/>
        <v>0</v>
      </c>
      <c r="AM263" s="14">
        <f t="shared" si="140"/>
        <v>0</v>
      </c>
      <c r="AN263" s="14">
        <f t="shared" si="140"/>
        <v>0</v>
      </c>
      <c r="AO263" s="14">
        <f t="shared" si="140"/>
        <v>0</v>
      </c>
      <c r="AP263" s="14">
        <f t="shared" si="140"/>
        <v>0</v>
      </c>
      <c r="AQ263" s="14">
        <f t="shared" si="140"/>
        <v>0</v>
      </c>
      <c r="AR263" s="14">
        <f t="shared" si="140"/>
        <v>0</v>
      </c>
      <c r="AS263" s="14">
        <f t="shared" si="140"/>
        <v>0</v>
      </c>
    </row>
    <row r="264" spans="2:45" hidden="1" outlineLevel="2" x14ac:dyDescent="0.15">
      <c r="F264" s="107" t="s">
        <v>417</v>
      </c>
      <c r="J264" s="14">
        <f t="shared" ref="J264:AS264" si="141">J254/J$248*MAX(MIN(INDEX($J$250:$AS$250,J261),J259)-INDEX($J$249:$AS$249,J261),0)</f>
        <v>0</v>
      </c>
      <c r="K264" s="14">
        <f t="shared" si="141"/>
        <v>0</v>
      </c>
      <c r="L264" s="14">
        <f t="shared" si="141"/>
        <v>0</v>
      </c>
      <c r="M264" s="14">
        <f t="shared" si="141"/>
        <v>0</v>
      </c>
      <c r="N264" s="14">
        <f t="shared" si="141"/>
        <v>0</v>
      </c>
      <c r="O264" s="14">
        <f t="shared" si="141"/>
        <v>0</v>
      </c>
      <c r="P264" s="14">
        <f t="shared" si="141"/>
        <v>0</v>
      </c>
      <c r="Q264" s="14">
        <f t="shared" si="141"/>
        <v>0</v>
      </c>
      <c r="R264" s="14">
        <f t="shared" si="141"/>
        <v>0</v>
      </c>
      <c r="S264" s="14">
        <f t="shared" si="141"/>
        <v>0</v>
      </c>
      <c r="T264" s="14">
        <f t="shared" si="141"/>
        <v>0</v>
      </c>
      <c r="U264" s="14">
        <f t="shared" si="141"/>
        <v>0</v>
      </c>
      <c r="V264" s="14">
        <f t="shared" si="141"/>
        <v>0</v>
      </c>
      <c r="W264" s="14">
        <f t="shared" si="141"/>
        <v>0</v>
      </c>
      <c r="X264" s="14">
        <f t="shared" si="141"/>
        <v>0</v>
      </c>
      <c r="Y264" s="14">
        <f t="shared" si="141"/>
        <v>0</v>
      </c>
      <c r="Z264" s="14">
        <f t="shared" si="141"/>
        <v>0</v>
      </c>
      <c r="AA264" s="14">
        <f t="shared" si="141"/>
        <v>0</v>
      </c>
      <c r="AB264" s="14">
        <f t="shared" si="141"/>
        <v>0</v>
      </c>
      <c r="AC264" s="14">
        <f t="shared" si="141"/>
        <v>0</v>
      </c>
      <c r="AD264" s="14">
        <f t="shared" si="141"/>
        <v>0</v>
      </c>
      <c r="AE264" s="14">
        <f t="shared" si="141"/>
        <v>0</v>
      </c>
      <c r="AF264" s="14">
        <f t="shared" si="141"/>
        <v>0</v>
      </c>
      <c r="AG264" s="14">
        <f t="shared" si="141"/>
        <v>0</v>
      </c>
      <c r="AH264" s="14">
        <f t="shared" si="141"/>
        <v>0</v>
      </c>
      <c r="AI264" s="14">
        <f t="shared" si="141"/>
        <v>0</v>
      </c>
      <c r="AJ264" s="14">
        <f t="shared" si="141"/>
        <v>0</v>
      </c>
      <c r="AK264" s="14">
        <f t="shared" si="141"/>
        <v>0</v>
      </c>
      <c r="AL264" s="14">
        <f t="shared" si="141"/>
        <v>0</v>
      </c>
      <c r="AM264" s="14">
        <f t="shared" si="141"/>
        <v>0</v>
      </c>
      <c r="AN264" s="14">
        <f t="shared" si="141"/>
        <v>0</v>
      </c>
      <c r="AO264" s="14">
        <f t="shared" si="141"/>
        <v>0</v>
      </c>
      <c r="AP264" s="14">
        <f t="shared" si="141"/>
        <v>0</v>
      </c>
      <c r="AQ264" s="14">
        <f t="shared" si="141"/>
        <v>0</v>
      </c>
      <c r="AR264" s="14">
        <f t="shared" si="141"/>
        <v>0</v>
      </c>
      <c r="AS264" s="14">
        <f t="shared" si="141"/>
        <v>0</v>
      </c>
    </row>
    <row r="265" spans="2:45" hidden="1" outlineLevel="2" x14ac:dyDescent="0.15">
      <c r="F265" s="107" t="s">
        <v>418</v>
      </c>
      <c r="J265" s="24">
        <f t="shared" ref="J265:AS265" si="142">J254/J$248*MAX(MIN(INDEX($J$250:$AS$250,J262),J259)-INDEX($J$249:$AS$249,J262),0)</f>
        <v>0</v>
      </c>
      <c r="K265" s="24">
        <f t="shared" si="142"/>
        <v>0</v>
      </c>
      <c r="L265" s="24">
        <f t="shared" si="142"/>
        <v>0</v>
      </c>
      <c r="M265" s="24">
        <f t="shared" si="142"/>
        <v>0</v>
      </c>
      <c r="N265" s="24">
        <f t="shared" si="142"/>
        <v>0</v>
      </c>
      <c r="O265" s="24">
        <f t="shared" si="142"/>
        <v>0</v>
      </c>
      <c r="P265" s="24">
        <f t="shared" si="142"/>
        <v>0</v>
      </c>
      <c r="Q265" s="24">
        <f t="shared" si="142"/>
        <v>0</v>
      </c>
      <c r="R265" s="24">
        <f t="shared" si="142"/>
        <v>0</v>
      </c>
      <c r="S265" s="24">
        <f t="shared" si="142"/>
        <v>0</v>
      </c>
      <c r="T265" s="24">
        <f t="shared" si="142"/>
        <v>0</v>
      </c>
      <c r="U265" s="24">
        <f t="shared" si="142"/>
        <v>0</v>
      </c>
      <c r="V265" s="24">
        <f t="shared" si="142"/>
        <v>0</v>
      </c>
      <c r="W265" s="24">
        <f t="shared" si="142"/>
        <v>0</v>
      </c>
      <c r="X265" s="24">
        <f t="shared" si="142"/>
        <v>0</v>
      </c>
      <c r="Y265" s="24">
        <f t="shared" si="142"/>
        <v>0</v>
      </c>
      <c r="Z265" s="24">
        <f t="shared" si="142"/>
        <v>0</v>
      </c>
      <c r="AA265" s="24">
        <f t="shared" si="142"/>
        <v>0</v>
      </c>
      <c r="AB265" s="24">
        <f t="shared" si="142"/>
        <v>0</v>
      </c>
      <c r="AC265" s="24">
        <f t="shared" si="142"/>
        <v>0</v>
      </c>
      <c r="AD265" s="24">
        <f t="shared" si="142"/>
        <v>0</v>
      </c>
      <c r="AE265" s="24">
        <f t="shared" si="142"/>
        <v>0</v>
      </c>
      <c r="AF265" s="24">
        <f t="shared" si="142"/>
        <v>0</v>
      </c>
      <c r="AG265" s="24">
        <f t="shared" si="142"/>
        <v>0</v>
      </c>
      <c r="AH265" s="24">
        <f t="shared" si="142"/>
        <v>0</v>
      </c>
      <c r="AI265" s="24">
        <f t="shared" si="142"/>
        <v>0</v>
      </c>
      <c r="AJ265" s="24">
        <f t="shared" si="142"/>
        <v>0</v>
      </c>
      <c r="AK265" s="24">
        <f t="shared" si="142"/>
        <v>0</v>
      </c>
      <c r="AL265" s="24">
        <f t="shared" si="142"/>
        <v>0</v>
      </c>
      <c r="AM265" s="24">
        <f t="shared" si="142"/>
        <v>0</v>
      </c>
      <c r="AN265" s="24">
        <f t="shared" si="142"/>
        <v>0</v>
      </c>
      <c r="AO265" s="24">
        <f t="shared" si="142"/>
        <v>0</v>
      </c>
      <c r="AP265" s="24">
        <f t="shared" si="142"/>
        <v>0</v>
      </c>
      <c r="AQ265" s="24">
        <f t="shared" si="142"/>
        <v>0</v>
      </c>
      <c r="AR265" s="24">
        <f t="shared" si="142"/>
        <v>0</v>
      </c>
      <c r="AS265" s="24">
        <f t="shared" si="142"/>
        <v>0</v>
      </c>
    </row>
    <row r="266" spans="2:45" hidden="1" outlineLevel="2" x14ac:dyDescent="0.15">
      <c r="C266" s="107" t="s">
        <v>419</v>
      </c>
      <c r="J266" s="14">
        <f t="shared" ref="J266:AS266" si="143">-SUMPRODUCT((($J260:$AS262)=J$8)*$J263:$AS265)</f>
        <v>0</v>
      </c>
      <c r="K266" s="14">
        <f t="shared" si="143"/>
        <v>0</v>
      </c>
      <c r="L266" s="14">
        <f t="shared" si="143"/>
        <v>0</v>
      </c>
      <c r="M266" s="14">
        <f t="shared" si="143"/>
        <v>0</v>
      </c>
      <c r="N266" s="14">
        <f t="shared" si="143"/>
        <v>0</v>
      </c>
      <c r="O266" s="14">
        <f t="shared" si="143"/>
        <v>0</v>
      </c>
      <c r="P266" s="14">
        <f t="shared" si="143"/>
        <v>0</v>
      </c>
      <c r="Q266" s="14">
        <f t="shared" si="143"/>
        <v>0</v>
      </c>
      <c r="R266" s="14">
        <f t="shared" si="143"/>
        <v>0</v>
      </c>
      <c r="S266" s="14">
        <f t="shared" si="143"/>
        <v>0</v>
      </c>
      <c r="T266" s="14">
        <f t="shared" si="143"/>
        <v>0</v>
      </c>
      <c r="U266" s="14">
        <f t="shared" si="143"/>
        <v>0</v>
      </c>
      <c r="V266" s="14">
        <f t="shared" si="143"/>
        <v>0</v>
      </c>
      <c r="W266" s="14">
        <f t="shared" si="143"/>
        <v>0</v>
      </c>
      <c r="X266" s="14">
        <f t="shared" si="143"/>
        <v>0</v>
      </c>
      <c r="Y266" s="14">
        <f t="shared" si="143"/>
        <v>0</v>
      </c>
      <c r="Z266" s="14">
        <f t="shared" si="143"/>
        <v>0</v>
      </c>
      <c r="AA266" s="14">
        <f t="shared" si="143"/>
        <v>0</v>
      </c>
      <c r="AB266" s="14">
        <f t="shared" si="143"/>
        <v>0</v>
      </c>
      <c r="AC266" s="14">
        <f t="shared" si="143"/>
        <v>0</v>
      </c>
      <c r="AD266" s="14">
        <f t="shared" si="143"/>
        <v>0</v>
      </c>
      <c r="AE266" s="14">
        <f t="shared" si="143"/>
        <v>0</v>
      </c>
      <c r="AF266" s="14">
        <f t="shared" si="143"/>
        <v>0</v>
      </c>
      <c r="AG266" s="14">
        <f t="shared" si="143"/>
        <v>0</v>
      </c>
      <c r="AH266" s="14">
        <f t="shared" si="143"/>
        <v>0</v>
      </c>
      <c r="AI266" s="14">
        <f t="shared" si="143"/>
        <v>0</v>
      </c>
      <c r="AJ266" s="14">
        <f t="shared" si="143"/>
        <v>0</v>
      </c>
      <c r="AK266" s="14">
        <f t="shared" si="143"/>
        <v>0</v>
      </c>
      <c r="AL266" s="14">
        <f t="shared" si="143"/>
        <v>0</v>
      </c>
      <c r="AM266" s="14">
        <f t="shared" si="143"/>
        <v>0</v>
      </c>
      <c r="AN266" s="14">
        <f t="shared" si="143"/>
        <v>0</v>
      </c>
      <c r="AO266" s="14">
        <f t="shared" si="143"/>
        <v>0</v>
      </c>
      <c r="AP266" s="14">
        <f t="shared" si="143"/>
        <v>0</v>
      </c>
      <c r="AQ266" s="14">
        <f t="shared" si="143"/>
        <v>0</v>
      </c>
      <c r="AR266" s="14">
        <f t="shared" si="143"/>
        <v>0</v>
      </c>
      <c r="AS266" s="14">
        <f t="shared" si="143"/>
        <v>0</v>
      </c>
    </row>
    <row r="267" spans="2:45" hidden="1" outlineLevel="1" collapsed="1" x14ac:dyDescent="0.15">
      <c r="B267" s="107" t="s">
        <v>126</v>
      </c>
      <c r="J267" s="14">
        <f t="shared" ref="J267:AS267" si="144">J266+J256</f>
        <v>0</v>
      </c>
      <c r="K267" s="14">
        <f t="shared" si="144"/>
        <v>0</v>
      </c>
      <c r="L267" s="14">
        <f t="shared" si="144"/>
        <v>0</v>
      </c>
      <c r="M267" s="14">
        <f t="shared" si="144"/>
        <v>0</v>
      </c>
      <c r="N267" s="14">
        <f t="shared" si="144"/>
        <v>0</v>
      </c>
      <c r="O267" s="14">
        <f t="shared" si="144"/>
        <v>0</v>
      </c>
      <c r="P267" s="14">
        <f t="shared" si="144"/>
        <v>0</v>
      </c>
      <c r="Q267" s="14">
        <f t="shared" si="144"/>
        <v>0</v>
      </c>
      <c r="R267" s="14">
        <f t="shared" si="144"/>
        <v>0</v>
      </c>
      <c r="S267" s="14">
        <f t="shared" si="144"/>
        <v>0</v>
      </c>
      <c r="T267" s="14">
        <f t="shared" si="144"/>
        <v>0</v>
      </c>
      <c r="U267" s="14">
        <f t="shared" si="144"/>
        <v>0</v>
      </c>
      <c r="V267" s="14">
        <f t="shared" si="144"/>
        <v>0</v>
      </c>
      <c r="W267" s="14">
        <f t="shared" si="144"/>
        <v>0</v>
      </c>
      <c r="X267" s="14">
        <f t="shared" si="144"/>
        <v>0</v>
      </c>
      <c r="Y267" s="14">
        <f t="shared" si="144"/>
        <v>0</v>
      </c>
      <c r="Z267" s="14">
        <f t="shared" si="144"/>
        <v>0</v>
      </c>
      <c r="AA267" s="14">
        <f t="shared" si="144"/>
        <v>0</v>
      </c>
      <c r="AB267" s="14">
        <f t="shared" si="144"/>
        <v>0</v>
      </c>
      <c r="AC267" s="14">
        <f t="shared" si="144"/>
        <v>0</v>
      </c>
      <c r="AD267" s="14">
        <f t="shared" si="144"/>
        <v>0</v>
      </c>
      <c r="AE267" s="14">
        <f t="shared" si="144"/>
        <v>0</v>
      </c>
      <c r="AF267" s="14">
        <f t="shared" si="144"/>
        <v>0</v>
      </c>
      <c r="AG267" s="14">
        <f t="shared" si="144"/>
        <v>0</v>
      </c>
      <c r="AH267" s="14">
        <f t="shared" si="144"/>
        <v>0</v>
      </c>
      <c r="AI267" s="14">
        <f t="shared" si="144"/>
        <v>0</v>
      </c>
      <c r="AJ267" s="14">
        <f t="shared" si="144"/>
        <v>0</v>
      </c>
      <c r="AK267" s="14">
        <f t="shared" si="144"/>
        <v>0</v>
      </c>
      <c r="AL267" s="14">
        <f t="shared" si="144"/>
        <v>0</v>
      </c>
      <c r="AM267" s="14">
        <f t="shared" si="144"/>
        <v>0</v>
      </c>
      <c r="AN267" s="14">
        <f t="shared" si="144"/>
        <v>0</v>
      </c>
      <c r="AO267" s="14">
        <f t="shared" si="144"/>
        <v>0</v>
      </c>
      <c r="AP267" s="14">
        <f t="shared" si="144"/>
        <v>0</v>
      </c>
      <c r="AQ267" s="14">
        <f t="shared" si="144"/>
        <v>0</v>
      </c>
      <c r="AR267" s="14">
        <f t="shared" si="144"/>
        <v>0</v>
      </c>
      <c r="AS267" s="14">
        <f t="shared" si="144"/>
        <v>0</v>
      </c>
    </row>
    <row r="268" spans="2:45" hidden="1" outlineLevel="1" x14ac:dyDescent="0.15">
      <c r="B268" s="107" t="s">
        <v>425</v>
      </c>
      <c r="J268" s="38">
        <f t="shared" ref="J268:AS268" si="145">J254+J267</f>
        <v>0</v>
      </c>
      <c r="K268" s="38">
        <f t="shared" si="145"/>
        <v>0</v>
      </c>
      <c r="L268" s="38">
        <f t="shared" si="145"/>
        <v>0</v>
      </c>
      <c r="M268" s="38">
        <f t="shared" si="145"/>
        <v>0</v>
      </c>
      <c r="N268" s="38">
        <f t="shared" si="145"/>
        <v>0</v>
      </c>
      <c r="O268" s="38">
        <f t="shared" si="145"/>
        <v>0</v>
      </c>
      <c r="P268" s="38">
        <f t="shared" si="145"/>
        <v>0</v>
      </c>
      <c r="Q268" s="38">
        <f t="shared" si="145"/>
        <v>0</v>
      </c>
      <c r="R268" s="38">
        <f t="shared" si="145"/>
        <v>0</v>
      </c>
      <c r="S268" s="38">
        <f t="shared" si="145"/>
        <v>0</v>
      </c>
      <c r="T268" s="38">
        <f t="shared" si="145"/>
        <v>0</v>
      </c>
      <c r="U268" s="38">
        <f t="shared" si="145"/>
        <v>0</v>
      </c>
      <c r="V268" s="38">
        <f t="shared" si="145"/>
        <v>0</v>
      </c>
      <c r="W268" s="38">
        <f t="shared" si="145"/>
        <v>0</v>
      </c>
      <c r="X268" s="38">
        <f t="shared" si="145"/>
        <v>0</v>
      </c>
      <c r="Y268" s="38">
        <f t="shared" si="145"/>
        <v>0</v>
      </c>
      <c r="Z268" s="38">
        <f t="shared" si="145"/>
        <v>0</v>
      </c>
      <c r="AA268" s="38">
        <f t="shared" si="145"/>
        <v>0</v>
      </c>
      <c r="AB268" s="38">
        <f t="shared" si="145"/>
        <v>0</v>
      </c>
      <c r="AC268" s="38">
        <f t="shared" si="145"/>
        <v>0</v>
      </c>
      <c r="AD268" s="38">
        <f t="shared" si="145"/>
        <v>0</v>
      </c>
      <c r="AE268" s="38">
        <f t="shared" si="145"/>
        <v>0</v>
      </c>
      <c r="AF268" s="38">
        <f t="shared" si="145"/>
        <v>0</v>
      </c>
      <c r="AG268" s="38">
        <f t="shared" si="145"/>
        <v>0</v>
      </c>
      <c r="AH268" s="38">
        <f t="shared" si="145"/>
        <v>0</v>
      </c>
      <c r="AI268" s="38">
        <f t="shared" si="145"/>
        <v>0</v>
      </c>
      <c r="AJ268" s="38">
        <f t="shared" si="145"/>
        <v>0</v>
      </c>
      <c r="AK268" s="38">
        <f t="shared" si="145"/>
        <v>0</v>
      </c>
      <c r="AL268" s="38">
        <f t="shared" si="145"/>
        <v>0</v>
      </c>
      <c r="AM268" s="38">
        <f t="shared" si="145"/>
        <v>0</v>
      </c>
      <c r="AN268" s="38">
        <f t="shared" si="145"/>
        <v>0</v>
      </c>
      <c r="AO268" s="38">
        <f t="shared" si="145"/>
        <v>0</v>
      </c>
      <c r="AP268" s="38">
        <f t="shared" si="145"/>
        <v>0</v>
      </c>
      <c r="AQ268" s="38">
        <f t="shared" si="145"/>
        <v>0</v>
      </c>
      <c r="AR268" s="38">
        <f t="shared" si="145"/>
        <v>0</v>
      </c>
      <c r="AS268" s="38">
        <f t="shared" si="145"/>
        <v>0</v>
      </c>
    </row>
    <row r="269" spans="2:45" hidden="1" outlineLevel="1" x14ac:dyDescent="0.15">
      <c r="B269" s="16" t="s">
        <v>388</v>
      </c>
      <c r="J269" s="15">
        <f t="shared" ref="J269:AS269" si="146">J253+J268</f>
        <v>0</v>
      </c>
      <c r="K269" s="15">
        <f t="shared" si="146"/>
        <v>0</v>
      </c>
      <c r="L269" s="15">
        <f t="shared" si="146"/>
        <v>0</v>
      </c>
      <c r="M269" s="15">
        <f t="shared" si="146"/>
        <v>0</v>
      </c>
      <c r="N269" s="15">
        <f t="shared" si="146"/>
        <v>0</v>
      </c>
      <c r="O269" s="15">
        <f t="shared" si="146"/>
        <v>0</v>
      </c>
      <c r="P269" s="15">
        <f t="shared" si="146"/>
        <v>0</v>
      </c>
      <c r="Q269" s="15">
        <f t="shared" si="146"/>
        <v>0</v>
      </c>
      <c r="R269" s="15">
        <f t="shared" si="146"/>
        <v>0</v>
      </c>
      <c r="S269" s="15">
        <f t="shared" si="146"/>
        <v>0</v>
      </c>
      <c r="T269" s="15">
        <f t="shared" si="146"/>
        <v>0</v>
      </c>
      <c r="U269" s="15">
        <f t="shared" si="146"/>
        <v>0</v>
      </c>
      <c r="V269" s="15">
        <f t="shared" si="146"/>
        <v>0</v>
      </c>
      <c r="W269" s="15">
        <f t="shared" si="146"/>
        <v>0</v>
      </c>
      <c r="X269" s="15">
        <f t="shared" si="146"/>
        <v>0</v>
      </c>
      <c r="Y269" s="15">
        <f t="shared" si="146"/>
        <v>0</v>
      </c>
      <c r="Z269" s="15">
        <f t="shared" si="146"/>
        <v>0</v>
      </c>
      <c r="AA269" s="15">
        <f t="shared" si="146"/>
        <v>0</v>
      </c>
      <c r="AB269" s="15">
        <f t="shared" si="146"/>
        <v>0</v>
      </c>
      <c r="AC269" s="15">
        <f t="shared" si="146"/>
        <v>0</v>
      </c>
      <c r="AD269" s="15">
        <f t="shared" si="146"/>
        <v>0</v>
      </c>
      <c r="AE269" s="15">
        <f t="shared" si="146"/>
        <v>0</v>
      </c>
      <c r="AF269" s="15">
        <f t="shared" si="146"/>
        <v>0</v>
      </c>
      <c r="AG269" s="15">
        <f t="shared" si="146"/>
        <v>0</v>
      </c>
      <c r="AH269" s="15">
        <f t="shared" si="146"/>
        <v>0</v>
      </c>
      <c r="AI269" s="15">
        <f t="shared" si="146"/>
        <v>0</v>
      </c>
      <c r="AJ269" s="15">
        <f t="shared" si="146"/>
        <v>0</v>
      </c>
      <c r="AK269" s="15">
        <f t="shared" si="146"/>
        <v>0</v>
      </c>
      <c r="AL269" s="15">
        <f t="shared" si="146"/>
        <v>0</v>
      </c>
      <c r="AM269" s="15">
        <f t="shared" si="146"/>
        <v>0</v>
      </c>
      <c r="AN269" s="15">
        <f t="shared" si="146"/>
        <v>0</v>
      </c>
      <c r="AO269" s="15">
        <f t="shared" si="146"/>
        <v>0</v>
      </c>
      <c r="AP269" s="15">
        <f t="shared" si="146"/>
        <v>0</v>
      </c>
      <c r="AQ269" s="15">
        <f t="shared" si="146"/>
        <v>0</v>
      </c>
      <c r="AR269" s="15">
        <f t="shared" si="146"/>
        <v>0</v>
      </c>
      <c r="AS269" s="15">
        <f t="shared" si="146"/>
        <v>0</v>
      </c>
    </row>
    <row r="270" spans="2:45" ht="6" hidden="1" customHeight="1" outlineLevel="1" x14ac:dyDescent="0.15"/>
    <row r="271" spans="2:45" hidden="1" outlineLevel="1" x14ac:dyDescent="0.15">
      <c r="B271" s="107" t="s">
        <v>421</v>
      </c>
      <c r="I271" s="183">
        <v>0</v>
      </c>
      <c r="J271" s="166">
        <v>0</v>
      </c>
      <c r="K271" s="166">
        <v>0</v>
      </c>
      <c r="L271" s="166">
        <v>0</v>
      </c>
      <c r="M271" s="166">
        <v>0</v>
      </c>
      <c r="N271" s="166">
        <v>0</v>
      </c>
      <c r="O271" s="166">
        <v>0</v>
      </c>
      <c r="P271" s="166">
        <v>0</v>
      </c>
      <c r="Q271" s="166">
        <v>0</v>
      </c>
      <c r="R271" s="166">
        <v>0</v>
      </c>
      <c r="S271" s="166">
        <v>0</v>
      </c>
      <c r="T271" s="166">
        <v>0</v>
      </c>
      <c r="U271" s="166">
        <v>0</v>
      </c>
      <c r="V271" s="166">
        <v>0</v>
      </c>
      <c r="W271" s="166">
        <v>0</v>
      </c>
      <c r="X271" s="166">
        <v>0</v>
      </c>
      <c r="Y271" s="166">
        <v>0</v>
      </c>
      <c r="Z271" s="166">
        <v>0</v>
      </c>
      <c r="AA271" s="166">
        <v>0</v>
      </c>
      <c r="AB271" s="166">
        <v>0</v>
      </c>
      <c r="AC271" s="166">
        <v>0</v>
      </c>
      <c r="AD271" s="166">
        <v>0</v>
      </c>
      <c r="AE271" s="166">
        <v>0</v>
      </c>
      <c r="AF271" s="166">
        <v>0</v>
      </c>
      <c r="AG271" s="166">
        <v>0</v>
      </c>
      <c r="AH271" s="166">
        <v>0</v>
      </c>
      <c r="AI271" s="166">
        <v>0</v>
      </c>
      <c r="AJ271" s="166">
        <v>0</v>
      </c>
      <c r="AK271" s="166">
        <v>0</v>
      </c>
      <c r="AL271" s="166">
        <v>0</v>
      </c>
      <c r="AM271" s="166">
        <v>0</v>
      </c>
      <c r="AN271" s="166">
        <v>0</v>
      </c>
      <c r="AO271" s="166">
        <v>0</v>
      </c>
      <c r="AP271" s="166">
        <v>0</v>
      </c>
      <c r="AQ271" s="166">
        <v>0</v>
      </c>
      <c r="AR271" s="166">
        <v>0</v>
      </c>
      <c r="AS271" s="166">
        <v>0</v>
      </c>
    </row>
    <row r="272" spans="2:45" hidden="1" outlineLevel="1" x14ac:dyDescent="0.15"/>
    <row r="273" spans="2:45" hidden="1" outlineLevel="1" x14ac:dyDescent="0.15">
      <c r="B273" s="108" t="s">
        <v>59</v>
      </c>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row>
    <row r="274" spans="2:45" hidden="1" outlineLevel="1" x14ac:dyDescent="0.15"/>
    <row r="275" spans="2:45" hidden="1" outlineLevel="2" x14ac:dyDescent="0.15">
      <c r="B275" s="107" t="str">
        <f>B252</f>
        <v>Inventory Payables Category 1</v>
      </c>
      <c r="J275" s="24">
        <f t="shared" ref="J275:AS275" si="147">J253</f>
        <v>0</v>
      </c>
      <c r="K275" s="24">
        <f t="shared" si="147"/>
        <v>0</v>
      </c>
      <c r="L275" s="24">
        <f t="shared" si="147"/>
        <v>0</v>
      </c>
      <c r="M275" s="24">
        <f t="shared" si="147"/>
        <v>0</v>
      </c>
      <c r="N275" s="24">
        <f t="shared" si="147"/>
        <v>0</v>
      </c>
      <c r="O275" s="24">
        <f t="shared" si="147"/>
        <v>0</v>
      </c>
      <c r="P275" s="24">
        <f t="shared" si="147"/>
        <v>0</v>
      </c>
      <c r="Q275" s="24">
        <f t="shared" si="147"/>
        <v>0</v>
      </c>
      <c r="R275" s="24">
        <f t="shared" si="147"/>
        <v>0</v>
      </c>
      <c r="S275" s="24">
        <f t="shared" si="147"/>
        <v>0</v>
      </c>
      <c r="T275" s="24">
        <f t="shared" si="147"/>
        <v>0</v>
      </c>
      <c r="U275" s="24">
        <f t="shared" si="147"/>
        <v>0</v>
      </c>
      <c r="V275" s="24">
        <f t="shared" si="147"/>
        <v>0</v>
      </c>
      <c r="W275" s="24">
        <f t="shared" si="147"/>
        <v>0</v>
      </c>
      <c r="X275" s="24">
        <f t="shared" si="147"/>
        <v>0</v>
      </c>
      <c r="Y275" s="24">
        <f t="shared" si="147"/>
        <v>0</v>
      </c>
      <c r="Z275" s="24">
        <f t="shared" si="147"/>
        <v>0</v>
      </c>
      <c r="AA275" s="24">
        <f t="shared" si="147"/>
        <v>0</v>
      </c>
      <c r="AB275" s="24">
        <f t="shared" si="147"/>
        <v>0</v>
      </c>
      <c r="AC275" s="24">
        <f t="shared" si="147"/>
        <v>0</v>
      </c>
      <c r="AD275" s="24">
        <f t="shared" si="147"/>
        <v>0</v>
      </c>
      <c r="AE275" s="24">
        <f t="shared" si="147"/>
        <v>0</v>
      </c>
      <c r="AF275" s="24">
        <f t="shared" si="147"/>
        <v>0</v>
      </c>
      <c r="AG275" s="24">
        <f t="shared" si="147"/>
        <v>0</v>
      </c>
      <c r="AH275" s="24">
        <f t="shared" si="147"/>
        <v>0</v>
      </c>
      <c r="AI275" s="24">
        <f t="shared" si="147"/>
        <v>0</v>
      </c>
      <c r="AJ275" s="24">
        <f t="shared" si="147"/>
        <v>0</v>
      </c>
      <c r="AK275" s="24">
        <f t="shared" si="147"/>
        <v>0</v>
      </c>
      <c r="AL275" s="24">
        <f t="shared" si="147"/>
        <v>0</v>
      </c>
      <c r="AM275" s="24">
        <f t="shared" si="147"/>
        <v>0</v>
      </c>
      <c r="AN275" s="24">
        <f t="shared" si="147"/>
        <v>0</v>
      </c>
      <c r="AO275" s="24">
        <f t="shared" si="147"/>
        <v>0</v>
      </c>
      <c r="AP275" s="24">
        <f t="shared" si="147"/>
        <v>0</v>
      </c>
      <c r="AQ275" s="24">
        <f t="shared" si="147"/>
        <v>0</v>
      </c>
      <c r="AR275" s="24">
        <f t="shared" si="147"/>
        <v>0</v>
      </c>
      <c r="AS275" s="24">
        <f t="shared" si="147"/>
        <v>0</v>
      </c>
    </row>
    <row r="276" spans="2:45" hidden="1" outlineLevel="1" collapsed="1" x14ac:dyDescent="0.15">
      <c r="B276" s="107" t="s">
        <v>375</v>
      </c>
      <c r="J276" s="14">
        <f t="shared" ref="J276:AS276" si="148">SUM(J275:J275)</f>
        <v>0</v>
      </c>
      <c r="K276" s="14">
        <f t="shared" si="148"/>
        <v>0</v>
      </c>
      <c r="L276" s="14">
        <f t="shared" si="148"/>
        <v>0</v>
      </c>
      <c r="M276" s="14">
        <f t="shared" si="148"/>
        <v>0</v>
      </c>
      <c r="N276" s="14">
        <f t="shared" si="148"/>
        <v>0</v>
      </c>
      <c r="O276" s="14">
        <f t="shared" si="148"/>
        <v>0</v>
      </c>
      <c r="P276" s="14">
        <f t="shared" si="148"/>
        <v>0</v>
      </c>
      <c r="Q276" s="14">
        <f t="shared" si="148"/>
        <v>0</v>
      </c>
      <c r="R276" s="14">
        <f t="shared" si="148"/>
        <v>0</v>
      </c>
      <c r="S276" s="14">
        <f t="shared" si="148"/>
        <v>0</v>
      </c>
      <c r="T276" s="14">
        <f t="shared" si="148"/>
        <v>0</v>
      </c>
      <c r="U276" s="14">
        <f t="shared" si="148"/>
        <v>0</v>
      </c>
      <c r="V276" s="14">
        <f t="shared" si="148"/>
        <v>0</v>
      </c>
      <c r="W276" s="14">
        <f t="shared" si="148"/>
        <v>0</v>
      </c>
      <c r="X276" s="14">
        <f t="shared" si="148"/>
        <v>0</v>
      </c>
      <c r="Y276" s="14">
        <f t="shared" si="148"/>
        <v>0</v>
      </c>
      <c r="Z276" s="14">
        <f t="shared" si="148"/>
        <v>0</v>
      </c>
      <c r="AA276" s="14">
        <f t="shared" si="148"/>
        <v>0</v>
      </c>
      <c r="AB276" s="14">
        <f t="shared" si="148"/>
        <v>0</v>
      </c>
      <c r="AC276" s="14">
        <f t="shared" si="148"/>
        <v>0</v>
      </c>
      <c r="AD276" s="14">
        <f t="shared" si="148"/>
        <v>0</v>
      </c>
      <c r="AE276" s="14">
        <f t="shared" si="148"/>
        <v>0</v>
      </c>
      <c r="AF276" s="14">
        <f t="shared" si="148"/>
        <v>0</v>
      </c>
      <c r="AG276" s="14">
        <f t="shared" si="148"/>
        <v>0</v>
      </c>
      <c r="AH276" s="14">
        <f t="shared" si="148"/>
        <v>0</v>
      </c>
      <c r="AI276" s="14">
        <f t="shared" si="148"/>
        <v>0</v>
      </c>
      <c r="AJ276" s="14">
        <f t="shared" si="148"/>
        <v>0</v>
      </c>
      <c r="AK276" s="14">
        <f t="shared" si="148"/>
        <v>0</v>
      </c>
      <c r="AL276" s="14">
        <f t="shared" si="148"/>
        <v>0</v>
      </c>
      <c r="AM276" s="14">
        <f t="shared" si="148"/>
        <v>0</v>
      </c>
      <c r="AN276" s="14">
        <f t="shared" si="148"/>
        <v>0</v>
      </c>
      <c r="AO276" s="14">
        <f t="shared" si="148"/>
        <v>0</v>
      </c>
      <c r="AP276" s="14">
        <f t="shared" si="148"/>
        <v>0</v>
      </c>
      <c r="AQ276" s="14">
        <f t="shared" si="148"/>
        <v>0</v>
      </c>
      <c r="AR276" s="14">
        <f t="shared" si="148"/>
        <v>0</v>
      </c>
      <c r="AS276" s="14">
        <f t="shared" si="148"/>
        <v>0</v>
      </c>
    </row>
    <row r="277" spans="2:45" hidden="1" outlineLevel="2" x14ac:dyDescent="0.15"/>
    <row r="278" spans="2:45" hidden="1" outlineLevel="2" x14ac:dyDescent="0.15">
      <c r="B278" s="107" t="str">
        <f>B252</f>
        <v>Inventory Payables Category 1</v>
      </c>
      <c r="J278" s="24">
        <f t="shared" ref="J278:AS278" si="149">J254</f>
        <v>0</v>
      </c>
      <c r="K278" s="24">
        <f t="shared" si="149"/>
        <v>0</v>
      </c>
      <c r="L278" s="24">
        <f t="shared" si="149"/>
        <v>0</v>
      </c>
      <c r="M278" s="24">
        <f t="shared" si="149"/>
        <v>0</v>
      </c>
      <c r="N278" s="24">
        <f t="shared" si="149"/>
        <v>0</v>
      </c>
      <c r="O278" s="24">
        <f t="shared" si="149"/>
        <v>0</v>
      </c>
      <c r="P278" s="24">
        <f t="shared" si="149"/>
        <v>0</v>
      </c>
      <c r="Q278" s="24">
        <f t="shared" si="149"/>
        <v>0</v>
      </c>
      <c r="R278" s="24">
        <f t="shared" si="149"/>
        <v>0</v>
      </c>
      <c r="S278" s="24">
        <f t="shared" si="149"/>
        <v>0</v>
      </c>
      <c r="T278" s="24">
        <f t="shared" si="149"/>
        <v>0</v>
      </c>
      <c r="U278" s="24">
        <f t="shared" si="149"/>
        <v>0</v>
      </c>
      <c r="V278" s="24">
        <f t="shared" si="149"/>
        <v>0</v>
      </c>
      <c r="W278" s="24">
        <f t="shared" si="149"/>
        <v>0</v>
      </c>
      <c r="X278" s="24">
        <f t="shared" si="149"/>
        <v>0</v>
      </c>
      <c r="Y278" s="24">
        <f t="shared" si="149"/>
        <v>0</v>
      </c>
      <c r="Z278" s="24">
        <f t="shared" si="149"/>
        <v>0</v>
      </c>
      <c r="AA278" s="24">
        <f t="shared" si="149"/>
        <v>0</v>
      </c>
      <c r="AB278" s="24">
        <f t="shared" si="149"/>
        <v>0</v>
      </c>
      <c r="AC278" s="24">
        <f t="shared" si="149"/>
        <v>0</v>
      </c>
      <c r="AD278" s="24">
        <f t="shared" si="149"/>
        <v>0</v>
      </c>
      <c r="AE278" s="24">
        <f t="shared" si="149"/>
        <v>0</v>
      </c>
      <c r="AF278" s="24">
        <f t="shared" si="149"/>
        <v>0</v>
      </c>
      <c r="AG278" s="24">
        <f t="shared" si="149"/>
        <v>0</v>
      </c>
      <c r="AH278" s="24">
        <f t="shared" si="149"/>
        <v>0</v>
      </c>
      <c r="AI278" s="24">
        <f t="shared" si="149"/>
        <v>0</v>
      </c>
      <c r="AJ278" s="24">
        <f t="shared" si="149"/>
        <v>0</v>
      </c>
      <c r="AK278" s="24">
        <f t="shared" si="149"/>
        <v>0</v>
      </c>
      <c r="AL278" s="24">
        <f t="shared" si="149"/>
        <v>0</v>
      </c>
      <c r="AM278" s="24">
        <f t="shared" si="149"/>
        <v>0</v>
      </c>
      <c r="AN278" s="24">
        <f t="shared" si="149"/>
        <v>0</v>
      </c>
      <c r="AO278" s="24">
        <f t="shared" si="149"/>
        <v>0</v>
      </c>
      <c r="AP278" s="24">
        <f t="shared" si="149"/>
        <v>0</v>
      </c>
      <c r="AQ278" s="24">
        <f t="shared" si="149"/>
        <v>0</v>
      </c>
      <c r="AR278" s="24">
        <f t="shared" si="149"/>
        <v>0</v>
      </c>
      <c r="AS278" s="24">
        <f t="shared" si="149"/>
        <v>0</v>
      </c>
    </row>
    <row r="279" spans="2:45" hidden="1" outlineLevel="1" collapsed="1" x14ac:dyDescent="0.15">
      <c r="B279" s="107" t="s">
        <v>426</v>
      </c>
      <c r="J279" s="14">
        <f t="shared" ref="J279:AS279" si="150">SUM(J278:J278)</f>
        <v>0</v>
      </c>
      <c r="K279" s="14">
        <f t="shared" si="150"/>
        <v>0</v>
      </c>
      <c r="L279" s="14">
        <f t="shared" si="150"/>
        <v>0</v>
      </c>
      <c r="M279" s="14">
        <f t="shared" si="150"/>
        <v>0</v>
      </c>
      <c r="N279" s="14">
        <f t="shared" si="150"/>
        <v>0</v>
      </c>
      <c r="O279" s="14">
        <f t="shared" si="150"/>
        <v>0</v>
      </c>
      <c r="P279" s="14">
        <f t="shared" si="150"/>
        <v>0</v>
      </c>
      <c r="Q279" s="14">
        <f t="shared" si="150"/>
        <v>0</v>
      </c>
      <c r="R279" s="14">
        <f t="shared" si="150"/>
        <v>0</v>
      </c>
      <c r="S279" s="14">
        <f t="shared" si="150"/>
        <v>0</v>
      </c>
      <c r="T279" s="14">
        <f t="shared" si="150"/>
        <v>0</v>
      </c>
      <c r="U279" s="14">
        <f t="shared" si="150"/>
        <v>0</v>
      </c>
      <c r="V279" s="14">
        <f t="shared" si="150"/>
        <v>0</v>
      </c>
      <c r="W279" s="14">
        <f t="shared" si="150"/>
        <v>0</v>
      </c>
      <c r="X279" s="14">
        <f t="shared" si="150"/>
        <v>0</v>
      </c>
      <c r="Y279" s="14">
        <f t="shared" si="150"/>
        <v>0</v>
      </c>
      <c r="Z279" s="14">
        <f t="shared" si="150"/>
        <v>0</v>
      </c>
      <c r="AA279" s="14">
        <f t="shared" si="150"/>
        <v>0</v>
      </c>
      <c r="AB279" s="14">
        <f t="shared" si="150"/>
        <v>0</v>
      </c>
      <c r="AC279" s="14">
        <f t="shared" si="150"/>
        <v>0</v>
      </c>
      <c r="AD279" s="14">
        <f t="shared" si="150"/>
        <v>0</v>
      </c>
      <c r="AE279" s="14">
        <f t="shared" si="150"/>
        <v>0</v>
      </c>
      <c r="AF279" s="14">
        <f t="shared" si="150"/>
        <v>0</v>
      </c>
      <c r="AG279" s="14">
        <f t="shared" si="150"/>
        <v>0</v>
      </c>
      <c r="AH279" s="14">
        <f t="shared" si="150"/>
        <v>0</v>
      </c>
      <c r="AI279" s="14">
        <f t="shared" si="150"/>
        <v>0</v>
      </c>
      <c r="AJ279" s="14">
        <f t="shared" si="150"/>
        <v>0</v>
      </c>
      <c r="AK279" s="14">
        <f t="shared" si="150"/>
        <v>0</v>
      </c>
      <c r="AL279" s="14">
        <f t="shared" si="150"/>
        <v>0</v>
      </c>
      <c r="AM279" s="14">
        <f t="shared" si="150"/>
        <v>0</v>
      </c>
      <c r="AN279" s="14">
        <f t="shared" si="150"/>
        <v>0</v>
      </c>
      <c r="AO279" s="14">
        <f t="shared" si="150"/>
        <v>0</v>
      </c>
      <c r="AP279" s="14">
        <f t="shared" si="150"/>
        <v>0</v>
      </c>
      <c r="AQ279" s="14">
        <f t="shared" si="150"/>
        <v>0</v>
      </c>
      <c r="AR279" s="14">
        <f t="shared" si="150"/>
        <v>0</v>
      </c>
      <c r="AS279" s="14">
        <f t="shared" si="150"/>
        <v>0</v>
      </c>
    </row>
    <row r="280" spans="2:45" hidden="1" outlineLevel="2" x14ac:dyDescent="0.15"/>
    <row r="281" spans="2:45" hidden="1" outlineLevel="2" x14ac:dyDescent="0.15">
      <c r="B281" s="107" t="str">
        <f>B252</f>
        <v>Inventory Payables Category 1</v>
      </c>
      <c r="J281" s="24">
        <f t="shared" ref="J281:AS281" si="151">J267</f>
        <v>0</v>
      </c>
      <c r="K281" s="24">
        <f t="shared" si="151"/>
        <v>0</v>
      </c>
      <c r="L281" s="24">
        <f t="shared" si="151"/>
        <v>0</v>
      </c>
      <c r="M281" s="24">
        <f t="shared" si="151"/>
        <v>0</v>
      </c>
      <c r="N281" s="24">
        <f t="shared" si="151"/>
        <v>0</v>
      </c>
      <c r="O281" s="24">
        <f t="shared" si="151"/>
        <v>0</v>
      </c>
      <c r="P281" s="24">
        <f t="shared" si="151"/>
        <v>0</v>
      </c>
      <c r="Q281" s="24">
        <f t="shared" si="151"/>
        <v>0</v>
      </c>
      <c r="R281" s="24">
        <f t="shared" si="151"/>
        <v>0</v>
      </c>
      <c r="S281" s="24">
        <f t="shared" si="151"/>
        <v>0</v>
      </c>
      <c r="T281" s="24">
        <f t="shared" si="151"/>
        <v>0</v>
      </c>
      <c r="U281" s="24">
        <f t="shared" si="151"/>
        <v>0</v>
      </c>
      <c r="V281" s="24">
        <f t="shared" si="151"/>
        <v>0</v>
      </c>
      <c r="W281" s="24">
        <f t="shared" si="151"/>
        <v>0</v>
      </c>
      <c r="X281" s="24">
        <f t="shared" si="151"/>
        <v>0</v>
      </c>
      <c r="Y281" s="24">
        <f t="shared" si="151"/>
        <v>0</v>
      </c>
      <c r="Z281" s="24">
        <f t="shared" si="151"/>
        <v>0</v>
      </c>
      <c r="AA281" s="24">
        <f t="shared" si="151"/>
        <v>0</v>
      </c>
      <c r="AB281" s="24">
        <f t="shared" si="151"/>
        <v>0</v>
      </c>
      <c r="AC281" s="24">
        <f t="shared" si="151"/>
        <v>0</v>
      </c>
      <c r="AD281" s="24">
        <f t="shared" si="151"/>
        <v>0</v>
      </c>
      <c r="AE281" s="24">
        <f t="shared" si="151"/>
        <v>0</v>
      </c>
      <c r="AF281" s="24">
        <f t="shared" si="151"/>
        <v>0</v>
      </c>
      <c r="AG281" s="24">
        <f t="shared" si="151"/>
        <v>0</v>
      </c>
      <c r="AH281" s="24">
        <f t="shared" si="151"/>
        <v>0</v>
      </c>
      <c r="AI281" s="24">
        <f t="shared" si="151"/>
        <v>0</v>
      </c>
      <c r="AJ281" s="24">
        <f t="shared" si="151"/>
        <v>0</v>
      </c>
      <c r="AK281" s="24">
        <f t="shared" si="151"/>
        <v>0</v>
      </c>
      <c r="AL281" s="24">
        <f t="shared" si="151"/>
        <v>0</v>
      </c>
      <c r="AM281" s="24">
        <f t="shared" si="151"/>
        <v>0</v>
      </c>
      <c r="AN281" s="24">
        <f t="shared" si="151"/>
        <v>0</v>
      </c>
      <c r="AO281" s="24">
        <f t="shared" si="151"/>
        <v>0</v>
      </c>
      <c r="AP281" s="24">
        <f t="shared" si="151"/>
        <v>0</v>
      </c>
      <c r="AQ281" s="24">
        <f t="shared" si="151"/>
        <v>0</v>
      </c>
      <c r="AR281" s="24">
        <f t="shared" si="151"/>
        <v>0</v>
      </c>
      <c r="AS281" s="24">
        <f t="shared" si="151"/>
        <v>0</v>
      </c>
    </row>
    <row r="282" spans="2:45" hidden="1" outlineLevel="1" collapsed="1" x14ac:dyDescent="0.15">
      <c r="B282" s="107" t="s">
        <v>126</v>
      </c>
      <c r="J282" s="14">
        <f t="shared" ref="J282:AS282" si="152">SUM(J281:J281)</f>
        <v>0</v>
      </c>
      <c r="K282" s="14">
        <f t="shared" si="152"/>
        <v>0</v>
      </c>
      <c r="L282" s="14">
        <f t="shared" si="152"/>
        <v>0</v>
      </c>
      <c r="M282" s="14">
        <f t="shared" si="152"/>
        <v>0</v>
      </c>
      <c r="N282" s="14">
        <f t="shared" si="152"/>
        <v>0</v>
      </c>
      <c r="O282" s="14">
        <f t="shared" si="152"/>
        <v>0</v>
      </c>
      <c r="P282" s="14">
        <f t="shared" si="152"/>
        <v>0</v>
      </c>
      <c r="Q282" s="14">
        <f t="shared" si="152"/>
        <v>0</v>
      </c>
      <c r="R282" s="14">
        <f t="shared" si="152"/>
        <v>0</v>
      </c>
      <c r="S282" s="14">
        <f t="shared" si="152"/>
        <v>0</v>
      </c>
      <c r="T282" s="14">
        <f t="shared" si="152"/>
        <v>0</v>
      </c>
      <c r="U282" s="14">
        <f t="shared" si="152"/>
        <v>0</v>
      </c>
      <c r="V282" s="14">
        <f t="shared" si="152"/>
        <v>0</v>
      </c>
      <c r="W282" s="14">
        <f t="shared" si="152"/>
        <v>0</v>
      </c>
      <c r="X282" s="14">
        <f t="shared" si="152"/>
        <v>0</v>
      </c>
      <c r="Y282" s="14">
        <f t="shared" si="152"/>
        <v>0</v>
      </c>
      <c r="Z282" s="14">
        <f t="shared" si="152"/>
        <v>0</v>
      </c>
      <c r="AA282" s="14">
        <f t="shared" si="152"/>
        <v>0</v>
      </c>
      <c r="AB282" s="14">
        <f t="shared" si="152"/>
        <v>0</v>
      </c>
      <c r="AC282" s="14">
        <f t="shared" si="152"/>
        <v>0</v>
      </c>
      <c r="AD282" s="14">
        <f t="shared" si="152"/>
        <v>0</v>
      </c>
      <c r="AE282" s="14">
        <f t="shared" si="152"/>
        <v>0</v>
      </c>
      <c r="AF282" s="14">
        <f t="shared" si="152"/>
        <v>0</v>
      </c>
      <c r="AG282" s="14">
        <f t="shared" si="152"/>
        <v>0</v>
      </c>
      <c r="AH282" s="14">
        <f t="shared" si="152"/>
        <v>0</v>
      </c>
      <c r="AI282" s="14">
        <f t="shared" si="152"/>
        <v>0</v>
      </c>
      <c r="AJ282" s="14">
        <f t="shared" si="152"/>
        <v>0</v>
      </c>
      <c r="AK282" s="14">
        <f t="shared" si="152"/>
        <v>0</v>
      </c>
      <c r="AL282" s="14">
        <f t="shared" si="152"/>
        <v>0</v>
      </c>
      <c r="AM282" s="14">
        <f t="shared" si="152"/>
        <v>0</v>
      </c>
      <c r="AN282" s="14">
        <f t="shared" si="152"/>
        <v>0</v>
      </c>
      <c r="AO282" s="14">
        <f t="shared" si="152"/>
        <v>0</v>
      </c>
      <c r="AP282" s="14">
        <f t="shared" si="152"/>
        <v>0</v>
      </c>
      <c r="AQ282" s="14">
        <f t="shared" si="152"/>
        <v>0</v>
      </c>
      <c r="AR282" s="14">
        <f t="shared" si="152"/>
        <v>0</v>
      </c>
      <c r="AS282" s="14">
        <f t="shared" si="152"/>
        <v>0</v>
      </c>
    </row>
    <row r="283" spans="2:45" hidden="1" outlineLevel="2" x14ac:dyDescent="0.15"/>
    <row r="284" spans="2:45" hidden="1" outlineLevel="2" x14ac:dyDescent="0.15">
      <c r="B284" s="107" t="str">
        <f>B252</f>
        <v>Inventory Payables Category 1</v>
      </c>
      <c r="J284" s="24">
        <f t="shared" ref="J284:AS284" si="153">J268</f>
        <v>0</v>
      </c>
      <c r="K284" s="24">
        <f t="shared" si="153"/>
        <v>0</v>
      </c>
      <c r="L284" s="24">
        <f t="shared" si="153"/>
        <v>0</v>
      </c>
      <c r="M284" s="24">
        <f t="shared" si="153"/>
        <v>0</v>
      </c>
      <c r="N284" s="24">
        <f t="shared" si="153"/>
        <v>0</v>
      </c>
      <c r="O284" s="24">
        <f t="shared" si="153"/>
        <v>0</v>
      </c>
      <c r="P284" s="24">
        <f t="shared" si="153"/>
        <v>0</v>
      </c>
      <c r="Q284" s="24">
        <f t="shared" si="153"/>
        <v>0</v>
      </c>
      <c r="R284" s="24">
        <f t="shared" si="153"/>
        <v>0</v>
      </c>
      <c r="S284" s="24">
        <f t="shared" si="153"/>
        <v>0</v>
      </c>
      <c r="T284" s="24">
        <f t="shared" si="153"/>
        <v>0</v>
      </c>
      <c r="U284" s="24">
        <f t="shared" si="153"/>
        <v>0</v>
      </c>
      <c r="V284" s="24">
        <f t="shared" si="153"/>
        <v>0</v>
      </c>
      <c r="W284" s="24">
        <f t="shared" si="153"/>
        <v>0</v>
      </c>
      <c r="X284" s="24">
        <f t="shared" si="153"/>
        <v>0</v>
      </c>
      <c r="Y284" s="24">
        <f t="shared" si="153"/>
        <v>0</v>
      </c>
      <c r="Z284" s="24">
        <f t="shared" si="153"/>
        <v>0</v>
      </c>
      <c r="AA284" s="24">
        <f t="shared" si="153"/>
        <v>0</v>
      </c>
      <c r="AB284" s="24">
        <f t="shared" si="153"/>
        <v>0</v>
      </c>
      <c r="AC284" s="24">
        <f t="shared" si="153"/>
        <v>0</v>
      </c>
      <c r="AD284" s="24">
        <f t="shared" si="153"/>
        <v>0</v>
      </c>
      <c r="AE284" s="24">
        <f t="shared" si="153"/>
        <v>0</v>
      </c>
      <c r="AF284" s="24">
        <f t="shared" si="153"/>
        <v>0</v>
      </c>
      <c r="AG284" s="24">
        <f t="shared" si="153"/>
        <v>0</v>
      </c>
      <c r="AH284" s="24">
        <f t="shared" si="153"/>
        <v>0</v>
      </c>
      <c r="AI284" s="24">
        <f t="shared" si="153"/>
        <v>0</v>
      </c>
      <c r="AJ284" s="24">
        <f t="shared" si="153"/>
        <v>0</v>
      </c>
      <c r="AK284" s="24">
        <f t="shared" si="153"/>
        <v>0</v>
      </c>
      <c r="AL284" s="24">
        <f t="shared" si="153"/>
        <v>0</v>
      </c>
      <c r="AM284" s="24">
        <f t="shared" si="153"/>
        <v>0</v>
      </c>
      <c r="AN284" s="24">
        <f t="shared" si="153"/>
        <v>0</v>
      </c>
      <c r="AO284" s="24">
        <f t="shared" si="153"/>
        <v>0</v>
      </c>
      <c r="AP284" s="24">
        <f t="shared" si="153"/>
        <v>0</v>
      </c>
      <c r="AQ284" s="24">
        <f t="shared" si="153"/>
        <v>0</v>
      </c>
      <c r="AR284" s="24">
        <f t="shared" si="153"/>
        <v>0</v>
      </c>
      <c r="AS284" s="24">
        <f t="shared" si="153"/>
        <v>0</v>
      </c>
    </row>
    <row r="285" spans="2:45" hidden="1" outlineLevel="1" collapsed="1" x14ac:dyDescent="0.15">
      <c r="B285" s="107" t="s">
        <v>425</v>
      </c>
      <c r="J285" s="14">
        <f t="shared" ref="J285:AS285" si="154">SUM(J284:J284)</f>
        <v>0</v>
      </c>
      <c r="K285" s="14">
        <f t="shared" si="154"/>
        <v>0</v>
      </c>
      <c r="L285" s="14">
        <f t="shared" si="154"/>
        <v>0</v>
      </c>
      <c r="M285" s="14">
        <f t="shared" si="154"/>
        <v>0</v>
      </c>
      <c r="N285" s="14">
        <f t="shared" si="154"/>
        <v>0</v>
      </c>
      <c r="O285" s="14">
        <f t="shared" si="154"/>
        <v>0</v>
      </c>
      <c r="P285" s="14">
        <f t="shared" si="154"/>
        <v>0</v>
      </c>
      <c r="Q285" s="14">
        <f t="shared" si="154"/>
        <v>0</v>
      </c>
      <c r="R285" s="14">
        <f t="shared" si="154"/>
        <v>0</v>
      </c>
      <c r="S285" s="14">
        <f t="shared" si="154"/>
        <v>0</v>
      </c>
      <c r="T285" s="14">
        <f t="shared" si="154"/>
        <v>0</v>
      </c>
      <c r="U285" s="14">
        <f t="shared" si="154"/>
        <v>0</v>
      </c>
      <c r="V285" s="14">
        <f t="shared" si="154"/>
        <v>0</v>
      </c>
      <c r="W285" s="14">
        <f t="shared" si="154"/>
        <v>0</v>
      </c>
      <c r="X285" s="14">
        <f t="shared" si="154"/>
        <v>0</v>
      </c>
      <c r="Y285" s="14">
        <f t="shared" si="154"/>
        <v>0</v>
      </c>
      <c r="Z285" s="14">
        <f t="shared" si="154"/>
        <v>0</v>
      </c>
      <c r="AA285" s="14">
        <f t="shared" si="154"/>
        <v>0</v>
      </c>
      <c r="AB285" s="14">
        <f t="shared" si="154"/>
        <v>0</v>
      </c>
      <c r="AC285" s="14">
        <f t="shared" si="154"/>
        <v>0</v>
      </c>
      <c r="AD285" s="14">
        <f t="shared" si="154"/>
        <v>0</v>
      </c>
      <c r="AE285" s="14">
        <f t="shared" si="154"/>
        <v>0</v>
      </c>
      <c r="AF285" s="14">
        <f t="shared" si="154"/>
        <v>0</v>
      </c>
      <c r="AG285" s="14">
        <f t="shared" si="154"/>
        <v>0</v>
      </c>
      <c r="AH285" s="14">
        <f t="shared" si="154"/>
        <v>0</v>
      </c>
      <c r="AI285" s="14">
        <f t="shared" si="154"/>
        <v>0</v>
      </c>
      <c r="AJ285" s="14">
        <f t="shared" si="154"/>
        <v>0</v>
      </c>
      <c r="AK285" s="14">
        <f t="shared" si="154"/>
        <v>0</v>
      </c>
      <c r="AL285" s="14">
        <f t="shared" si="154"/>
        <v>0</v>
      </c>
      <c r="AM285" s="14">
        <f t="shared" si="154"/>
        <v>0</v>
      </c>
      <c r="AN285" s="14">
        <f t="shared" si="154"/>
        <v>0</v>
      </c>
      <c r="AO285" s="14">
        <f t="shared" si="154"/>
        <v>0</v>
      </c>
      <c r="AP285" s="14">
        <f t="shared" si="154"/>
        <v>0</v>
      </c>
      <c r="AQ285" s="14">
        <f t="shared" si="154"/>
        <v>0</v>
      </c>
      <c r="AR285" s="14">
        <f t="shared" si="154"/>
        <v>0</v>
      </c>
      <c r="AS285" s="14">
        <f t="shared" si="154"/>
        <v>0</v>
      </c>
    </row>
    <row r="286" spans="2:45" hidden="1" outlineLevel="2" x14ac:dyDescent="0.15"/>
    <row r="287" spans="2:45" hidden="1" outlineLevel="2" x14ac:dyDescent="0.15">
      <c r="B287" s="107" t="str">
        <f>B252</f>
        <v>Inventory Payables Category 1</v>
      </c>
      <c r="J287" s="23">
        <f t="shared" ref="J287:AS287" si="155">J269</f>
        <v>0</v>
      </c>
      <c r="K287" s="23">
        <f t="shared" si="155"/>
        <v>0</v>
      </c>
      <c r="L287" s="23">
        <f t="shared" si="155"/>
        <v>0</v>
      </c>
      <c r="M287" s="23">
        <f t="shared" si="155"/>
        <v>0</v>
      </c>
      <c r="N287" s="23">
        <f t="shared" si="155"/>
        <v>0</v>
      </c>
      <c r="O287" s="23">
        <f t="shared" si="155"/>
        <v>0</v>
      </c>
      <c r="P287" s="23">
        <f t="shared" si="155"/>
        <v>0</v>
      </c>
      <c r="Q287" s="23">
        <f t="shared" si="155"/>
        <v>0</v>
      </c>
      <c r="R287" s="23">
        <f t="shared" si="155"/>
        <v>0</v>
      </c>
      <c r="S287" s="23">
        <f t="shared" si="155"/>
        <v>0</v>
      </c>
      <c r="T287" s="23">
        <f t="shared" si="155"/>
        <v>0</v>
      </c>
      <c r="U287" s="23">
        <f t="shared" si="155"/>
        <v>0</v>
      </c>
      <c r="V287" s="23">
        <f t="shared" si="155"/>
        <v>0</v>
      </c>
      <c r="W287" s="23">
        <f t="shared" si="155"/>
        <v>0</v>
      </c>
      <c r="X287" s="23">
        <f t="shared" si="155"/>
        <v>0</v>
      </c>
      <c r="Y287" s="23">
        <f t="shared" si="155"/>
        <v>0</v>
      </c>
      <c r="Z287" s="23">
        <f t="shared" si="155"/>
        <v>0</v>
      </c>
      <c r="AA287" s="23">
        <f t="shared" si="155"/>
        <v>0</v>
      </c>
      <c r="AB287" s="23">
        <f t="shared" si="155"/>
        <v>0</v>
      </c>
      <c r="AC287" s="23">
        <f t="shared" si="155"/>
        <v>0</v>
      </c>
      <c r="AD287" s="23">
        <f t="shared" si="155"/>
        <v>0</v>
      </c>
      <c r="AE287" s="23">
        <f t="shared" si="155"/>
        <v>0</v>
      </c>
      <c r="AF287" s="23">
        <f t="shared" si="155"/>
        <v>0</v>
      </c>
      <c r="AG287" s="23">
        <f t="shared" si="155"/>
        <v>0</v>
      </c>
      <c r="AH287" s="23">
        <f t="shared" si="155"/>
        <v>0</v>
      </c>
      <c r="AI287" s="23">
        <f t="shared" si="155"/>
        <v>0</v>
      </c>
      <c r="AJ287" s="23">
        <f t="shared" si="155"/>
        <v>0</v>
      </c>
      <c r="AK287" s="23">
        <f t="shared" si="155"/>
        <v>0</v>
      </c>
      <c r="AL287" s="23">
        <f t="shared" si="155"/>
        <v>0</v>
      </c>
      <c r="AM287" s="23">
        <f t="shared" si="155"/>
        <v>0</v>
      </c>
      <c r="AN287" s="23">
        <f t="shared" si="155"/>
        <v>0</v>
      </c>
      <c r="AO287" s="23">
        <f t="shared" si="155"/>
        <v>0</v>
      </c>
      <c r="AP287" s="23">
        <f t="shared" si="155"/>
        <v>0</v>
      </c>
      <c r="AQ287" s="23">
        <f t="shared" si="155"/>
        <v>0</v>
      </c>
      <c r="AR287" s="23">
        <f t="shared" si="155"/>
        <v>0</v>
      </c>
      <c r="AS287" s="23">
        <f t="shared" si="155"/>
        <v>0</v>
      </c>
    </row>
    <row r="288" spans="2:45" hidden="1" outlineLevel="1" collapsed="1" x14ac:dyDescent="0.15">
      <c r="B288" s="16" t="s">
        <v>388</v>
      </c>
      <c r="J288" s="18">
        <f t="shared" ref="J288:AS288" si="156">SUM(J287:J287)</f>
        <v>0</v>
      </c>
      <c r="K288" s="18">
        <f t="shared" si="156"/>
        <v>0</v>
      </c>
      <c r="L288" s="18">
        <f t="shared" si="156"/>
        <v>0</v>
      </c>
      <c r="M288" s="18">
        <f t="shared" si="156"/>
        <v>0</v>
      </c>
      <c r="N288" s="18">
        <f t="shared" si="156"/>
        <v>0</v>
      </c>
      <c r="O288" s="18">
        <f t="shared" si="156"/>
        <v>0</v>
      </c>
      <c r="P288" s="18">
        <f t="shared" si="156"/>
        <v>0</v>
      </c>
      <c r="Q288" s="18">
        <f t="shared" si="156"/>
        <v>0</v>
      </c>
      <c r="R288" s="18">
        <f t="shared" si="156"/>
        <v>0</v>
      </c>
      <c r="S288" s="18">
        <f t="shared" si="156"/>
        <v>0</v>
      </c>
      <c r="T288" s="18">
        <f t="shared" si="156"/>
        <v>0</v>
      </c>
      <c r="U288" s="18">
        <f t="shared" si="156"/>
        <v>0</v>
      </c>
      <c r="V288" s="18">
        <f t="shared" si="156"/>
        <v>0</v>
      </c>
      <c r="W288" s="18">
        <f t="shared" si="156"/>
        <v>0</v>
      </c>
      <c r="X288" s="18">
        <f t="shared" si="156"/>
        <v>0</v>
      </c>
      <c r="Y288" s="18">
        <f t="shared" si="156"/>
        <v>0</v>
      </c>
      <c r="Z288" s="18">
        <f t="shared" si="156"/>
        <v>0</v>
      </c>
      <c r="AA288" s="18">
        <f t="shared" si="156"/>
        <v>0</v>
      </c>
      <c r="AB288" s="18">
        <f t="shared" si="156"/>
        <v>0</v>
      </c>
      <c r="AC288" s="18">
        <f t="shared" si="156"/>
        <v>0</v>
      </c>
      <c r="AD288" s="18">
        <f t="shared" si="156"/>
        <v>0</v>
      </c>
      <c r="AE288" s="18">
        <f t="shared" si="156"/>
        <v>0</v>
      </c>
      <c r="AF288" s="18">
        <f t="shared" si="156"/>
        <v>0</v>
      </c>
      <c r="AG288" s="18">
        <f t="shared" si="156"/>
        <v>0</v>
      </c>
      <c r="AH288" s="18">
        <f t="shared" si="156"/>
        <v>0</v>
      </c>
      <c r="AI288" s="18">
        <f t="shared" si="156"/>
        <v>0</v>
      </c>
      <c r="AJ288" s="18">
        <f t="shared" si="156"/>
        <v>0</v>
      </c>
      <c r="AK288" s="18">
        <f t="shared" si="156"/>
        <v>0</v>
      </c>
      <c r="AL288" s="18">
        <f t="shared" si="156"/>
        <v>0</v>
      </c>
      <c r="AM288" s="18">
        <f t="shared" si="156"/>
        <v>0</v>
      </c>
      <c r="AN288" s="18">
        <f t="shared" si="156"/>
        <v>0</v>
      </c>
      <c r="AO288" s="18">
        <f t="shared" si="156"/>
        <v>0</v>
      </c>
      <c r="AP288" s="18">
        <f t="shared" si="156"/>
        <v>0</v>
      </c>
      <c r="AQ288" s="18">
        <f t="shared" si="156"/>
        <v>0</v>
      </c>
      <c r="AR288" s="18">
        <f t="shared" si="156"/>
        <v>0</v>
      </c>
      <c r="AS288" s="18">
        <f t="shared" si="156"/>
        <v>0</v>
      </c>
    </row>
    <row r="289" spans="2:45" hidden="1" outlineLevel="1" x14ac:dyDescent="0.15"/>
    <row r="290" spans="2:45" hidden="1" outlineLevel="2" x14ac:dyDescent="0.15">
      <c r="C290" s="107" t="s">
        <v>192</v>
      </c>
      <c r="J290" s="17">
        <f t="shared" ref="J290:AS290" si="157">IF(ISERROR(J276-J285-J288),1,0)</f>
        <v>0</v>
      </c>
      <c r="K290" s="17">
        <f t="shared" si="157"/>
        <v>0</v>
      </c>
      <c r="L290" s="17">
        <f t="shared" si="157"/>
        <v>0</v>
      </c>
      <c r="M290" s="17">
        <f t="shared" si="157"/>
        <v>0</v>
      </c>
      <c r="N290" s="17">
        <f t="shared" si="157"/>
        <v>0</v>
      </c>
      <c r="O290" s="17">
        <f t="shared" si="157"/>
        <v>0</v>
      </c>
      <c r="P290" s="17">
        <f t="shared" si="157"/>
        <v>0</v>
      </c>
      <c r="Q290" s="17">
        <f t="shared" si="157"/>
        <v>0</v>
      </c>
      <c r="R290" s="17">
        <f t="shared" si="157"/>
        <v>0</v>
      </c>
      <c r="S290" s="17">
        <f t="shared" si="157"/>
        <v>0</v>
      </c>
      <c r="T290" s="17">
        <f t="shared" si="157"/>
        <v>0</v>
      </c>
      <c r="U290" s="17">
        <f t="shared" si="157"/>
        <v>0</v>
      </c>
      <c r="V290" s="17">
        <f t="shared" si="157"/>
        <v>0</v>
      </c>
      <c r="W290" s="17">
        <f t="shared" si="157"/>
        <v>0</v>
      </c>
      <c r="X290" s="17">
        <f t="shared" si="157"/>
        <v>0</v>
      </c>
      <c r="Y290" s="17">
        <f t="shared" si="157"/>
        <v>0</v>
      </c>
      <c r="Z290" s="17">
        <f t="shared" si="157"/>
        <v>0</v>
      </c>
      <c r="AA290" s="17">
        <f t="shared" si="157"/>
        <v>0</v>
      </c>
      <c r="AB290" s="17">
        <f t="shared" si="157"/>
        <v>0</v>
      </c>
      <c r="AC290" s="17">
        <f t="shared" si="157"/>
        <v>0</v>
      </c>
      <c r="AD290" s="17">
        <f t="shared" si="157"/>
        <v>0</v>
      </c>
      <c r="AE290" s="17">
        <f t="shared" si="157"/>
        <v>0</v>
      </c>
      <c r="AF290" s="17">
        <f t="shared" si="157"/>
        <v>0</v>
      </c>
      <c r="AG290" s="17">
        <f t="shared" si="157"/>
        <v>0</v>
      </c>
      <c r="AH290" s="17">
        <f t="shared" si="157"/>
        <v>0</v>
      </c>
      <c r="AI290" s="17">
        <f t="shared" si="157"/>
        <v>0</v>
      </c>
      <c r="AJ290" s="17">
        <f t="shared" si="157"/>
        <v>0</v>
      </c>
      <c r="AK290" s="17">
        <f t="shared" si="157"/>
        <v>0</v>
      </c>
      <c r="AL290" s="17">
        <f t="shared" si="157"/>
        <v>0</v>
      </c>
      <c r="AM290" s="17">
        <f t="shared" si="157"/>
        <v>0</v>
      </c>
      <c r="AN290" s="17">
        <f t="shared" si="157"/>
        <v>0</v>
      </c>
      <c r="AO290" s="17">
        <f t="shared" si="157"/>
        <v>0</v>
      </c>
      <c r="AP290" s="17">
        <f t="shared" si="157"/>
        <v>0</v>
      </c>
      <c r="AQ290" s="17">
        <f t="shared" si="157"/>
        <v>0</v>
      </c>
      <c r="AR290" s="17">
        <f t="shared" si="157"/>
        <v>0</v>
      </c>
      <c r="AS290" s="17">
        <f t="shared" si="157"/>
        <v>0</v>
      </c>
    </row>
    <row r="291" spans="2:45" hidden="1" outlineLevel="2" x14ac:dyDescent="0.15">
      <c r="C291" s="107" t="s">
        <v>305</v>
      </c>
      <c r="J291" s="42">
        <f t="shared" ref="J291:AS291" si="158">IF(J290&lt;&gt;0,0,IF(ROUND(J288-J285-J276,5)&lt;&gt;0,1,0))</f>
        <v>0</v>
      </c>
      <c r="K291" s="42">
        <f t="shared" si="158"/>
        <v>0</v>
      </c>
      <c r="L291" s="42">
        <f t="shared" si="158"/>
        <v>0</v>
      </c>
      <c r="M291" s="42">
        <f t="shared" si="158"/>
        <v>0</v>
      </c>
      <c r="N291" s="42">
        <f t="shared" si="158"/>
        <v>0</v>
      </c>
      <c r="O291" s="42">
        <f t="shared" si="158"/>
        <v>0</v>
      </c>
      <c r="P291" s="42">
        <f t="shared" si="158"/>
        <v>0</v>
      </c>
      <c r="Q291" s="42">
        <f t="shared" si="158"/>
        <v>0</v>
      </c>
      <c r="R291" s="42">
        <f t="shared" si="158"/>
        <v>0</v>
      </c>
      <c r="S291" s="42">
        <f t="shared" si="158"/>
        <v>0</v>
      </c>
      <c r="T291" s="42">
        <f t="shared" si="158"/>
        <v>0</v>
      </c>
      <c r="U291" s="42">
        <f t="shared" si="158"/>
        <v>0</v>
      </c>
      <c r="V291" s="42">
        <f t="shared" si="158"/>
        <v>0</v>
      </c>
      <c r="W291" s="42">
        <f t="shared" si="158"/>
        <v>0</v>
      </c>
      <c r="X291" s="42">
        <f t="shared" si="158"/>
        <v>0</v>
      </c>
      <c r="Y291" s="42">
        <f t="shared" si="158"/>
        <v>0</v>
      </c>
      <c r="Z291" s="42">
        <f t="shared" si="158"/>
        <v>0</v>
      </c>
      <c r="AA291" s="42">
        <f t="shared" si="158"/>
        <v>0</v>
      </c>
      <c r="AB291" s="42">
        <f t="shared" si="158"/>
        <v>0</v>
      </c>
      <c r="AC291" s="42">
        <f t="shared" si="158"/>
        <v>0</v>
      </c>
      <c r="AD291" s="42">
        <f t="shared" si="158"/>
        <v>0</v>
      </c>
      <c r="AE291" s="42">
        <f t="shared" si="158"/>
        <v>0</v>
      </c>
      <c r="AF291" s="42">
        <f t="shared" si="158"/>
        <v>0</v>
      </c>
      <c r="AG291" s="42">
        <f t="shared" si="158"/>
        <v>0</v>
      </c>
      <c r="AH291" s="42">
        <f t="shared" si="158"/>
        <v>0</v>
      </c>
      <c r="AI291" s="42">
        <f t="shared" si="158"/>
        <v>0</v>
      </c>
      <c r="AJ291" s="42">
        <f t="shared" si="158"/>
        <v>0</v>
      </c>
      <c r="AK291" s="42">
        <f t="shared" si="158"/>
        <v>0</v>
      </c>
      <c r="AL291" s="42">
        <f t="shared" si="158"/>
        <v>0</v>
      </c>
      <c r="AM291" s="42">
        <f t="shared" si="158"/>
        <v>0</v>
      </c>
      <c r="AN291" s="42">
        <f t="shared" si="158"/>
        <v>0</v>
      </c>
      <c r="AO291" s="42">
        <f t="shared" si="158"/>
        <v>0</v>
      </c>
      <c r="AP291" s="42">
        <f t="shared" si="158"/>
        <v>0</v>
      </c>
      <c r="AQ291" s="42">
        <f t="shared" si="158"/>
        <v>0</v>
      </c>
      <c r="AR291" s="42">
        <f t="shared" si="158"/>
        <v>0</v>
      </c>
      <c r="AS291" s="42">
        <f t="shared" si="158"/>
        <v>0</v>
      </c>
    </row>
    <row r="292" spans="2:45" hidden="1" outlineLevel="1" collapsed="1" x14ac:dyDescent="0.15">
      <c r="B292" s="107" t="s">
        <v>335</v>
      </c>
      <c r="I292" s="22">
        <f>IF(ISERROR(SUM(J292:AS292)),1,MIN(SUM(J292:AS292),1))</f>
        <v>0</v>
      </c>
      <c r="J292" s="17">
        <f t="shared" ref="J292:AS292" si="159">MIN(SUM(J290:J291),1)</f>
        <v>0</v>
      </c>
      <c r="K292" s="17">
        <f t="shared" si="159"/>
        <v>0</v>
      </c>
      <c r="L292" s="17">
        <f t="shared" si="159"/>
        <v>0</v>
      </c>
      <c r="M292" s="17">
        <f t="shared" si="159"/>
        <v>0</v>
      </c>
      <c r="N292" s="17">
        <f t="shared" si="159"/>
        <v>0</v>
      </c>
      <c r="O292" s="17">
        <f t="shared" si="159"/>
        <v>0</v>
      </c>
      <c r="P292" s="17">
        <f t="shared" si="159"/>
        <v>0</v>
      </c>
      <c r="Q292" s="17">
        <f t="shared" si="159"/>
        <v>0</v>
      </c>
      <c r="R292" s="17">
        <f t="shared" si="159"/>
        <v>0</v>
      </c>
      <c r="S292" s="17">
        <f t="shared" si="159"/>
        <v>0</v>
      </c>
      <c r="T292" s="17">
        <f t="shared" si="159"/>
        <v>0</v>
      </c>
      <c r="U292" s="17">
        <f t="shared" si="159"/>
        <v>0</v>
      </c>
      <c r="V292" s="17">
        <f t="shared" si="159"/>
        <v>0</v>
      </c>
      <c r="W292" s="17">
        <f t="shared" si="159"/>
        <v>0</v>
      </c>
      <c r="X292" s="17">
        <f t="shared" si="159"/>
        <v>0</v>
      </c>
      <c r="Y292" s="17">
        <f t="shared" si="159"/>
        <v>0</v>
      </c>
      <c r="Z292" s="17">
        <f t="shared" si="159"/>
        <v>0</v>
      </c>
      <c r="AA292" s="17">
        <f t="shared" si="159"/>
        <v>0</v>
      </c>
      <c r="AB292" s="17">
        <f t="shared" si="159"/>
        <v>0</v>
      </c>
      <c r="AC292" s="17">
        <f t="shared" si="159"/>
        <v>0</v>
      </c>
      <c r="AD292" s="17">
        <f t="shared" si="159"/>
        <v>0</v>
      </c>
      <c r="AE292" s="17">
        <f t="shared" si="159"/>
        <v>0</v>
      </c>
      <c r="AF292" s="17">
        <f t="shared" si="159"/>
        <v>0</v>
      </c>
      <c r="AG292" s="17">
        <f t="shared" si="159"/>
        <v>0</v>
      </c>
      <c r="AH292" s="17">
        <f t="shared" si="159"/>
        <v>0</v>
      </c>
      <c r="AI292" s="17">
        <f t="shared" si="159"/>
        <v>0</v>
      </c>
      <c r="AJ292" s="17">
        <f t="shared" si="159"/>
        <v>0</v>
      </c>
      <c r="AK292" s="17">
        <f t="shared" si="159"/>
        <v>0</v>
      </c>
      <c r="AL292" s="17">
        <f t="shared" si="159"/>
        <v>0</v>
      </c>
      <c r="AM292" s="17">
        <f t="shared" si="159"/>
        <v>0</v>
      </c>
      <c r="AN292" s="17">
        <f t="shared" si="159"/>
        <v>0</v>
      </c>
      <c r="AO292" s="17">
        <f t="shared" si="159"/>
        <v>0</v>
      </c>
      <c r="AP292" s="17">
        <f t="shared" si="159"/>
        <v>0</v>
      </c>
      <c r="AQ292" s="17">
        <f t="shared" si="159"/>
        <v>0</v>
      </c>
      <c r="AR292" s="17">
        <f t="shared" si="159"/>
        <v>0</v>
      </c>
      <c r="AS292" s="17">
        <f t="shared" si="159"/>
        <v>0</v>
      </c>
    </row>
    <row r="293" spans="2:45" ht="6" hidden="1" customHeight="1" outlineLevel="2" x14ac:dyDescent="0.15"/>
    <row r="294" spans="2:45" hidden="1" outlineLevel="2" x14ac:dyDescent="0.15">
      <c r="C294" s="107" t="s">
        <v>427</v>
      </c>
      <c r="J294" s="17">
        <f t="shared" ref="J294:AS294" si="160">IF(J292&lt;&gt;0,0,IF(ROUND(MIN(J287:J287),5)&lt;0,1,0))</f>
        <v>0</v>
      </c>
      <c r="K294" s="17">
        <f t="shared" si="160"/>
        <v>0</v>
      </c>
      <c r="L294" s="17">
        <f t="shared" si="160"/>
        <v>0</v>
      </c>
      <c r="M294" s="17">
        <f t="shared" si="160"/>
        <v>0</v>
      </c>
      <c r="N294" s="17">
        <f t="shared" si="160"/>
        <v>0</v>
      </c>
      <c r="O294" s="17">
        <f t="shared" si="160"/>
        <v>0</v>
      </c>
      <c r="P294" s="17">
        <f t="shared" si="160"/>
        <v>0</v>
      </c>
      <c r="Q294" s="17">
        <f t="shared" si="160"/>
        <v>0</v>
      </c>
      <c r="R294" s="17">
        <f t="shared" si="160"/>
        <v>0</v>
      </c>
      <c r="S294" s="17">
        <f t="shared" si="160"/>
        <v>0</v>
      </c>
      <c r="T294" s="17">
        <f t="shared" si="160"/>
        <v>0</v>
      </c>
      <c r="U294" s="17">
        <f t="shared" si="160"/>
        <v>0</v>
      </c>
      <c r="V294" s="17">
        <f t="shared" si="160"/>
        <v>0</v>
      </c>
      <c r="W294" s="17">
        <f t="shared" si="160"/>
        <v>0</v>
      </c>
      <c r="X294" s="17">
        <f t="shared" si="160"/>
        <v>0</v>
      </c>
      <c r="Y294" s="17">
        <f t="shared" si="160"/>
        <v>0</v>
      </c>
      <c r="Z294" s="17">
        <f t="shared" si="160"/>
        <v>0</v>
      </c>
      <c r="AA294" s="17">
        <f t="shared" si="160"/>
        <v>0</v>
      </c>
      <c r="AB294" s="17">
        <f t="shared" si="160"/>
        <v>0</v>
      </c>
      <c r="AC294" s="17">
        <f t="shared" si="160"/>
        <v>0</v>
      </c>
      <c r="AD294" s="17">
        <f t="shared" si="160"/>
        <v>0</v>
      </c>
      <c r="AE294" s="17">
        <f t="shared" si="160"/>
        <v>0</v>
      </c>
      <c r="AF294" s="17">
        <f t="shared" si="160"/>
        <v>0</v>
      </c>
      <c r="AG294" s="17">
        <f t="shared" si="160"/>
        <v>0</v>
      </c>
      <c r="AH294" s="17">
        <f t="shared" si="160"/>
        <v>0</v>
      </c>
      <c r="AI294" s="17">
        <f t="shared" si="160"/>
        <v>0</v>
      </c>
      <c r="AJ294" s="17">
        <f t="shared" si="160"/>
        <v>0</v>
      </c>
      <c r="AK294" s="17">
        <f t="shared" si="160"/>
        <v>0</v>
      </c>
      <c r="AL294" s="17">
        <f t="shared" si="160"/>
        <v>0</v>
      </c>
      <c r="AM294" s="17">
        <f t="shared" si="160"/>
        <v>0</v>
      </c>
      <c r="AN294" s="17">
        <f t="shared" si="160"/>
        <v>0</v>
      </c>
      <c r="AO294" s="17">
        <f t="shared" si="160"/>
        <v>0</v>
      </c>
      <c r="AP294" s="17">
        <f t="shared" si="160"/>
        <v>0</v>
      </c>
      <c r="AQ294" s="17">
        <f t="shared" si="160"/>
        <v>0</v>
      </c>
      <c r="AR294" s="17">
        <f t="shared" si="160"/>
        <v>0</v>
      </c>
      <c r="AS294" s="17">
        <f t="shared" si="160"/>
        <v>0</v>
      </c>
    </row>
    <row r="295" spans="2:45" hidden="1" outlineLevel="2" x14ac:dyDescent="0.15">
      <c r="C295" s="107" t="s">
        <v>423</v>
      </c>
      <c r="J295" s="42">
        <f t="shared" ref="J295:AS295" si="161">IF(J292&lt;&gt;0,0,IF(ROUND(MAX(J281:J281),5)&gt;0,1,0))</f>
        <v>0</v>
      </c>
      <c r="K295" s="42">
        <f t="shared" si="161"/>
        <v>0</v>
      </c>
      <c r="L295" s="42">
        <f t="shared" si="161"/>
        <v>0</v>
      </c>
      <c r="M295" s="42">
        <f t="shared" si="161"/>
        <v>0</v>
      </c>
      <c r="N295" s="42">
        <f t="shared" si="161"/>
        <v>0</v>
      </c>
      <c r="O295" s="42">
        <f t="shared" si="161"/>
        <v>0</v>
      </c>
      <c r="P295" s="42">
        <f t="shared" si="161"/>
        <v>0</v>
      </c>
      <c r="Q295" s="42">
        <f t="shared" si="161"/>
        <v>0</v>
      </c>
      <c r="R295" s="42">
        <f t="shared" si="161"/>
        <v>0</v>
      </c>
      <c r="S295" s="42">
        <f t="shared" si="161"/>
        <v>0</v>
      </c>
      <c r="T295" s="42">
        <f t="shared" si="161"/>
        <v>0</v>
      </c>
      <c r="U295" s="42">
        <f t="shared" si="161"/>
        <v>0</v>
      </c>
      <c r="V295" s="42">
        <f t="shared" si="161"/>
        <v>0</v>
      </c>
      <c r="W295" s="42">
        <f t="shared" si="161"/>
        <v>0</v>
      </c>
      <c r="X295" s="42">
        <f t="shared" si="161"/>
        <v>0</v>
      </c>
      <c r="Y295" s="42">
        <f t="shared" si="161"/>
        <v>0</v>
      </c>
      <c r="Z295" s="42">
        <f t="shared" si="161"/>
        <v>0</v>
      </c>
      <c r="AA295" s="42">
        <f t="shared" si="161"/>
        <v>0</v>
      </c>
      <c r="AB295" s="42">
        <f t="shared" si="161"/>
        <v>0</v>
      </c>
      <c r="AC295" s="42">
        <f t="shared" si="161"/>
        <v>0</v>
      </c>
      <c r="AD295" s="42">
        <f t="shared" si="161"/>
        <v>0</v>
      </c>
      <c r="AE295" s="42">
        <f t="shared" si="161"/>
        <v>0</v>
      </c>
      <c r="AF295" s="42">
        <f t="shared" si="161"/>
        <v>0</v>
      </c>
      <c r="AG295" s="42">
        <f t="shared" si="161"/>
        <v>0</v>
      </c>
      <c r="AH295" s="42">
        <f t="shared" si="161"/>
        <v>0</v>
      </c>
      <c r="AI295" s="42">
        <f t="shared" si="161"/>
        <v>0</v>
      </c>
      <c r="AJ295" s="42">
        <f t="shared" si="161"/>
        <v>0</v>
      </c>
      <c r="AK295" s="42">
        <f t="shared" si="161"/>
        <v>0</v>
      </c>
      <c r="AL295" s="42">
        <f t="shared" si="161"/>
        <v>0</v>
      </c>
      <c r="AM295" s="42">
        <f t="shared" si="161"/>
        <v>0</v>
      </c>
      <c r="AN295" s="42">
        <f t="shared" si="161"/>
        <v>0</v>
      </c>
      <c r="AO295" s="42">
        <f t="shared" si="161"/>
        <v>0</v>
      </c>
      <c r="AP295" s="42">
        <f t="shared" si="161"/>
        <v>0</v>
      </c>
      <c r="AQ295" s="42">
        <f t="shared" si="161"/>
        <v>0</v>
      </c>
      <c r="AR295" s="42">
        <f t="shared" si="161"/>
        <v>0</v>
      </c>
      <c r="AS295" s="42">
        <f t="shared" si="161"/>
        <v>0</v>
      </c>
    </row>
    <row r="296" spans="2:45" hidden="1" outlineLevel="1" collapsed="1" x14ac:dyDescent="0.15">
      <c r="B296" s="107" t="s">
        <v>392</v>
      </c>
      <c r="I296" s="22">
        <f>IF(ISERROR(SUM(J296:AS296)),1,MIN(SUM(J296:AS296),1))</f>
        <v>0</v>
      </c>
      <c r="J296" s="17">
        <f t="shared" ref="J296:AS296" si="162">MIN(SUM(J294:J295),1)</f>
        <v>0</v>
      </c>
      <c r="K296" s="17">
        <f t="shared" si="162"/>
        <v>0</v>
      </c>
      <c r="L296" s="17">
        <f t="shared" si="162"/>
        <v>0</v>
      </c>
      <c r="M296" s="17">
        <f t="shared" si="162"/>
        <v>0</v>
      </c>
      <c r="N296" s="17">
        <f t="shared" si="162"/>
        <v>0</v>
      </c>
      <c r="O296" s="17">
        <f t="shared" si="162"/>
        <v>0</v>
      </c>
      <c r="P296" s="17">
        <f t="shared" si="162"/>
        <v>0</v>
      </c>
      <c r="Q296" s="17">
        <f t="shared" si="162"/>
        <v>0</v>
      </c>
      <c r="R296" s="17">
        <f t="shared" si="162"/>
        <v>0</v>
      </c>
      <c r="S296" s="17">
        <f t="shared" si="162"/>
        <v>0</v>
      </c>
      <c r="T296" s="17">
        <f t="shared" si="162"/>
        <v>0</v>
      </c>
      <c r="U296" s="17">
        <f t="shared" si="162"/>
        <v>0</v>
      </c>
      <c r="V296" s="17">
        <f t="shared" si="162"/>
        <v>0</v>
      </c>
      <c r="W296" s="17">
        <f t="shared" si="162"/>
        <v>0</v>
      </c>
      <c r="X296" s="17">
        <f t="shared" si="162"/>
        <v>0</v>
      </c>
      <c r="Y296" s="17">
        <f t="shared" si="162"/>
        <v>0</v>
      </c>
      <c r="Z296" s="17">
        <f t="shared" si="162"/>
        <v>0</v>
      </c>
      <c r="AA296" s="17">
        <f t="shared" si="162"/>
        <v>0</v>
      </c>
      <c r="AB296" s="17">
        <f t="shared" si="162"/>
        <v>0</v>
      </c>
      <c r="AC296" s="17">
        <f t="shared" si="162"/>
        <v>0</v>
      </c>
      <c r="AD296" s="17">
        <f t="shared" si="162"/>
        <v>0</v>
      </c>
      <c r="AE296" s="17">
        <f t="shared" si="162"/>
        <v>0</v>
      </c>
      <c r="AF296" s="17">
        <f t="shared" si="162"/>
        <v>0</v>
      </c>
      <c r="AG296" s="17">
        <f t="shared" si="162"/>
        <v>0</v>
      </c>
      <c r="AH296" s="17">
        <f t="shared" si="162"/>
        <v>0</v>
      </c>
      <c r="AI296" s="17">
        <f t="shared" si="162"/>
        <v>0</v>
      </c>
      <c r="AJ296" s="17">
        <f t="shared" si="162"/>
        <v>0</v>
      </c>
      <c r="AK296" s="17">
        <f t="shared" si="162"/>
        <v>0</v>
      </c>
      <c r="AL296" s="17">
        <f t="shared" si="162"/>
        <v>0</v>
      </c>
      <c r="AM296" s="17">
        <f t="shared" si="162"/>
        <v>0</v>
      </c>
      <c r="AN296" s="17">
        <f t="shared" si="162"/>
        <v>0</v>
      </c>
      <c r="AO296" s="17">
        <f t="shared" si="162"/>
        <v>0</v>
      </c>
      <c r="AP296" s="17">
        <f t="shared" si="162"/>
        <v>0</v>
      </c>
      <c r="AQ296" s="17">
        <f t="shared" si="162"/>
        <v>0</v>
      </c>
      <c r="AR296" s="17">
        <f t="shared" si="162"/>
        <v>0</v>
      </c>
      <c r="AS296" s="17">
        <f t="shared" si="162"/>
        <v>0</v>
      </c>
    </row>
    <row r="297" spans="2:45" collapsed="1" x14ac:dyDescent="0.15"/>
  </sheetData>
  <sheetProtection algorithmName="SHA-512" hashValue="lBToPZ8anCIUVji9U8q2ETNYOl8GfpD25z62QNp7nphfVBXrAV3WuDuxBHlIHk2GDXJEeI5GEjiKyXrQLVYSCg==" saltValue="GEV+Onq8DGhjKkzj5+hNdw==" spinCount="100000" sheet="1" objects="1" scenarios="1" formatColumns="0" formatRows="0"/>
  <mergeCells count="23">
    <mergeCell ref="B157:G157"/>
    <mergeCell ref="B243:G243"/>
    <mergeCell ref="B156:G156"/>
    <mergeCell ref="B146:G146"/>
    <mergeCell ref="B147:G147"/>
    <mergeCell ref="B155:G155"/>
    <mergeCell ref="B149:G149"/>
    <mergeCell ref="B150:G150"/>
    <mergeCell ref="B152:G152"/>
    <mergeCell ref="B153:G153"/>
    <mergeCell ref="B148:G148"/>
    <mergeCell ref="B154:G154"/>
    <mergeCell ref="B151:G151"/>
    <mergeCell ref="B22:G22"/>
    <mergeCell ref="B25:G25"/>
    <mergeCell ref="B26:G26"/>
    <mergeCell ref="B23:G23"/>
    <mergeCell ref="B24:G24"/>
    <mergeCell ref="B88:G88"/>
    <mergeCell ref="B89:G89"/>
    <mergeCell ref="B90:G90"/>
    <mergeCell ref="B28:G28"/>
    <mergeCell ref="B27:G27"/>
  </mergeCells>
  <conditionalFormatting sqref="I77">
    <cfRule type="cellIs" dxfId="148" priority="3" operator="notEqual">
      <formula>0</formula>
    </cfRule>
  </conditionalFormatting>
  <conditionalFormatting sqref="I81">
    <cfRule type="cellIs" dxfId="147" priority="7" operator="notEqual">
      <formula>0</formula>
    </cfRule>
  </conditionalFormatting>
  <conditionalFormatting sqref="I135">
    <cfRule type="cellIs" dxfId="146" priority="11" operator="notEqual">
      <formula>0</formula>
    </cfRule>
  </conditionalFormatting>
  <conditionalFormatting sqref="I139">
    <cfRule type="cellIs" dxfId="145" priority="15" operator="notEqual">
      <formula>0</formula>
    </cfRule>
  </conditionalFormatting>
  <conditionalFormatting sqref="I232">
    <cfRule type="cellIs" dxfId="144" priority="19" operator="notEqual">
      <formula>0</formula>
    </cfRule>
  </conditionalFormatting>
  <conditionalFormatting sqref="I236">
    <cfRule type="cellIs" dxfId="143" priority="23" operator="notEqual">
      <formula>0</formula>
    </cfRule>
  </conditionalFormatting>
  <conditionalFormatting sqref="I292">
    <cfRule type="cellIs" dxfId="142" priority="27" operator="notEqual">
      <formula>0</formula>
    </cfRule>
  </conditionalFormatting>
  <conditionalFormatting sqref="I296">
    <cfRule type="cellIs" dxfId="141" priority="31" operator="notEqual">
      <formula>0</formula>
    </cfRule>
  </conditionalFormatting>
  <conditionalFormatting sqref="J75:AS77">
    <cfRule type="cellIs" dxfId="140" priority="32" operator="notEqual">
      <formula>0</formula>
    </cfRule>
  </conditionalFormatting>
  <conditionalFormatting sqref="J79:AS81">
    <cfRule type="cellIs" dxfId="139" priority="35" operator="notEqual">
      <formula>0</formula>
    </cfRule>
  </conditionalFormatting>
  <conditionalFormatting sqref="J133:AS135">
    <cfRule type="cellIs" dxfId="138" priority="38" operator="notEqual">
      <formula>0</formula>
    </cfRule>
  </conditionalFormatting>
  <conditionalFormatting sqref="J137:AS139">
    <cfRule type="cellIs" dxfId="137" priority="41" operator="notEqual">
      <formula>0</formula>
    </cfRule>
  </conditionalFormatting>
  <conditionalFormatting sqref="J230:AS232">
    <cfRule type="cellIs" dxfId="136" priority="44" operator="notEqual">
      <formula>0</formula>
    </cfRule>
  </conditionalFormatting>
  <conditionalFormatting sqref="J234:AS236">
    <cfRule type="cellIs" dxfId="135" priority="47" operator="notEqual">
      <formula>0</formula>
    </cfRule>
  </conditionalFormatting>
  <conditionalFormatting sqref="J290:AS292">
    <cfRule type="cellIs" dxfId="134" priority="50" operator="notEqual">
      <formula>0</formula>
    </cfRule>
  </conditionalFormatting>
  <conditionalFormatting sqref="J294:AS296">
    <cfRule type="cellIs" dxfId="133" priority="53" operator="notEqual">
      <formula>0</formula>
    </cfRule>
  </conditionalFormatting>
  <dataValidations count="6">
    <dataValidation type="decimal" operator="greaterThanOrEqual" allowBlank="1" showDropDown="1" showErrorMessage="1" errorTitle="Invalid Assumption" error="Assumption must be a value greater than or equal to zero." sqref="I271:AS271 I56:AS56 J114:AS114 I185:AS185 I206:AS206" xr:uid="{BDD737BB-4F77-4B2F-86AB-4CCC1EA94E7C}">
      <formula1>0</formula1>
    </dataValidation>
    <dataValidation type="whole" showDropDown="1" showErrorMessage="1" errorTitle="Drop Down Box Cell Link" error="The value in a drop down box cell link must be a whole number within the control's lookup range rows." sqref="H88:H90" xr:uid="{7E9D2C8C-EDB7-486E-B27C-329FA78E29F7}">
      <formula1>1</formula1>
      <formula2>ROWS(LU_Inv_Cat_Names)+1</formula2>
    </dataValidation>
    <dataValidation type="whole" showDropDown="1" showErrorMessage="1" errorTitle="Drop Down Box Cell Link" error="The value in a drop down box cell link must be a whole number within the control's lookup range rows." sqref="H243" xr:uid="{E1D7AE0E-BA5A-4933-ABBD-BD7B65156B20}">
      <formula1>1</formula1>
      <formula2>ROWS(LU_Inv_Pay_Cat_Names)+1</formula2>
    </dataValidation>
    <dataValidation type="custom" showErrorMessage="1" errorTitle="Invalid Assumption" error="Assumption must be a number." sqref="J243:AS243 J88:AS90 J22:AS28 J146:AS157" xr:uid="{B031865D-D7B4-4AB0-874A-8206BD5C1D48}">
      <formula1>NOT(ISERROR(J22/1))</formula1>
    </dataValidation>
    <dataValidation type="whole" showDropDown="1" showErrorMessage="1" errorTitle="Drop Down Box Cell Link" error="The value in a drop down box cell link must be a whole number within the control's lookup range rows." sqref="H146:H157" xr:uid="{150A1A5D-4F5A-46BB-8D4A-677D80DD8252}">
      <formula1>1</formula1>
      <formula2>ROWS(LU_Creditors_Cat_Names)+1</formula2>
    </dataValidation>
    <dataValidation type="whole" showDropDown="1" showErrorMessage="1" errorTitle="Drop Down Box Cell Link" error="The value in a drop down box cell link must be a whole number within the control's lookup range rows." sqref="H22:H28" xr:uid="{5C2C3AB3-DD0E-4925-92A0-C2AFB703AA3E}">
      <formula1>1</formula1>
      <formula2>ROWS(LU_Debtors_Cat_Names)+1</formula2>
    </dataValidation>
  </dataValidations>
  <hyperlinks>
    <hyperlink ref="A1" location="HL_Home" tooltip="Go to Table of Contents" display="HL_Home" xr:uid="{F66BDACA-F219-4FAB-8F69-BBF9F980DF8F}"/>
    <hyperlink ref="A2" location="HL_Err_Chk" tooltip="Go to Error Checks" display="HL_Err_Chk" xr:uid="{75B8AF97-7A82-48AC-89DC-252E4856B089}"/>
  </hyperlinks>
  <pageMargins left="0.4" right="0.4" top="0.6" bottom="1" header="0" footer="0.3"/>
  <pageSetup scale="6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00" r:id="rId4" name="bpmDropDownDebtors1">
              <controlPr defaultSize="0" autoFill="0" autoPict="0">
                <anchor moveWithCells="1" sizeWithCells="1">
                  <from>
                    <xdr:col>7</xdr:col>
                    <xdr:colOff>12700</xdr:colOff>
                    <xdr:row>21</xdr:row>
                    <xdr:rowOff>25400</xdr:rowOff>
                  </from>
                  <to>
                    <xdr:col>9</xdr:col>
                    <xdr:colOff>25400</xdr:colOff>
                    <xdr:row>22</xdr:row>
                    <xdr:rowOff>38100</xdr:rowOff>
                  </to>
                </anchor>
              </controlPr>
            </control>
          </mc:Choice>
        </mc:AlternateContent>
        <mc:AlternateContent xmlns:mc="http://schemas.openxmlformats.org/markup-compatibility/2006">
          <mc:Choice Requires="x14">
            <control shapeId="7201" r:id="rId5" name="bpmDropDownDebtors2">
              <controlPr defaultSize="0" autoFill="0" autoPict="0">
                <anchor moveWithCells="1" sizeWithCells="1">
                  <from>
                    <xdr:col>7</xdr:col>
                    <xdr:colOff>12700</xdr:colOff>
                    <xdr:row>24</xdr:row>
                    <xdr:rowOff>25400</xdr:rowOff>
                  </from>
                  <to>
                    <xdr:col>9</xdr:col>
                    <xdr:colOff>25400</xdr:colOff>
                    <xdr:row>25</xdr:row>
                    <xdr:rowOff>38100</xdr:rowOff>
                  </to>
                </anchor>
              </controlPr>
            </control>
          </mc:Choice>
        </mc:AlternateContent>
        <mc:AlternateContent xmlns:mc="http://schemas.openxmlformats.org/markup-compatibility/2006">
          <mc:Choice Requires="x14">
            <control shapeId="7202" r:id="rId6" name="bpmDropDownDebtors3">
              <controlPr defaultSize="0" autoFill="0" autoPict="0">
                <anchor moveWithCells="1" sizeWithCells="1">
                  <from>
                    <xdr:col>7</xdr:col>
                    <xdr:colOff>12700</xdr:colOff>
                    <xdr:row>25</xdr:row>
                    <xdr:rowOff>25400</xdr:rowOff>
                  </from>
                  <to>
                    <xdr:col>9</xdr:col>
                    <xdr:colOff>25400</xdr:colOff>
                    <xdr:row>26</xdr:row>
                    <xdr:rowOff>50800</xdr:rowOff>
                  </to>
                </anchor>
              </controlPr>
            </control>
          </mc:Choice>
        </mc:AlternateContent>
        <mc:AlternateContent xmlns:mc="http://schemas.openxmlformats.org/markup-compatibility/2006">
          <mc:Choice Requires="x14">
            <control shapeId="7208" r:id="rId7" name="bpmDropDownInv1">
              <controlPr defaultSize="0" autoFill="0" autoPict="0">
                <anchor moveWithCells="1" sizeWithCells="1">
                  <from>
                    <xdr:col>7</xdr:col>
                    <xdr:colOff>0</xdr:colOff>
                    <xdr:row>83</xdr:row>
                    <xdr:rowOff>0</xdr:rowOff>
                  </from>
                  <to>
                    <xdr:col>9</xdr:col>
                    <xdr:colOff>0</xdr:colOff>
                    <xdr:row>83</xdr:row>
                    <xdr:rowOff>0</xdr:rowOff>
                  </to>
                </anchor>
              </controlPr>
            </control>
          </mc:Choice>
        </mc:AlternateContent>
        <mc:AlternateContent xmlns:mc="http://schemas.openxmlformats.org/markup-compatibility/2006">
          <mc:Choice Requires="x14">
            <control shapeId="7209" r:id="rId8" name="bpmDropDownInv2">
              <controlPr defaultSize="0" autoFill="0" autoPict="0">
                <anchor moveWithCells="1" sizeWithCells="1">
                  <from>
                    <xdr:col>7</xdr:col>
                    <xdr:colOff>0</xdr:colOff>
                    <xdr:row>83</xdr:row>
                    <xdr:rowOff>0</xdr:rowOff>
                  </from>
                  <to>
                    <xdr:col>9</xdr:col>
                    <xdr:colOff>0</xdr:colOff>
                    <xdr:row>83</xdr:row>
                    <xdr:rowOff>0</xdr:rowOff>
                  </to>
                </anchor>
              </controlPr>
            </control>
          </mc:Choice>
        </mc:AlternateContent>
        <mc:AlternateContent xmlns:mc="http://schemas.openxmlformats.org/markup-compatibility/2006">
          <mc:Choice Requires="x14">
            <control shapeId="7213" r:id="rId9" name="bpmDropDownCreditors1">
              <controlPr defaultSize="0" autoFill="0" autoPict="0">
                <anchor moveWithCells="1" sizeWithCells="1">
                  <from>
                    <xdr:col>7</xdr:col>
                    <xdr:colOff>0</xdr:colOff>
                    <xdr:row>145</xdr:row>
                    <xdr:rowOff>0</xdr:rowOff>
                  </from>
                  <to>
                    <xdr:col>9</xdr:col>
                    <xdr:colOff>0</xdr:colOff>
                    <xdr:row>146</xdr:row>
                    <xdr:rowOff>0</xdr:rowOff>
                  </to>
                </anchor>
              </controlPr>
            </control>
          </mc:Choice>
        </mc:AlternateContent>
        <mc:AlternateContent xmlns:mc="http://schemas.openxmlformats.org/markup-compatibility/2006">
          <mc:Choice Requires="x14">
            <control shapeId="7214" r:id="rId10" name="bpmDropDownCreditors2">
              <controlPr defaultSize="0" autoFill="0" autoPict="0">
                <anchor moveWithCells="1" sizeWithCells="1">
                  <from>
                    <xdr:col>7</xdr:col>
                    <xdr:colOff>0</xdr:colOff>
                    <xdr:row>146</xdr:row>
                    <xdr:rowOff>0</xdr:rowOff>
                  </from>
                  <to>
                    <xdr:col>9</xdr:col>
                    <xdr:colOff>0</xdr:colOff>
                    <xdr:row>147</xdr:row>
                    <xdr:rowOff>0</xdr:rowOff>
                  </to>
                </anchor>
              </controlPr>
            </control>
          </mc:Choice>
        </mc:AlternateContent>
        <mc:AlternateContent xmlns:mc="http://schemas.openxmlformats.org/markup-compatibility/2006">
          <mc:Choice Requires="x14">
            <control shapeId="7216" r:id="rId11" name="bpmDropDownCreditors4">
              <controlPr defaultSize="0" autoFill="0" autoPict="0">
                <anchor moveWithCells="1" sizeWithCells="1">
                  <from>
                    <xdr:col>7</xdr:col>
                    <xdr:colOff>0</xdr:colOff>
                    <xdr:row>148</xdr:row>
                    <xdr:rowOff>0</xdr:rowOff>
                  </from>
                  <to>
                    <xdr:col>9</xdr:col>
                    <xdr:colOff>0</xdr:colOff>
                    <xdr:row>149</xdr:row>
                    <xdr:rowOff>0</xdr:rowOff>
                  </to>
                </anchor>
              </controlPr>
            </control>
          </mc:Choice>
        </mc:AlternateContent>
        <mc:AlternateContent xmlns:mc="http://schemas.openxmlformats.org/markup-compatibility/2006">
          <mc:Choice Requires="x14">
            <control shapeId="7217" r:id="rId12" name="bpmDropDownCreditors5">
              <controlPr defaultSize="0" autoFill="0" autoPict="0">
                <anchor moveWithCells="1" sizeWithCells="1">
                  <from>
                    <xdr:col>7</xdr:col>
                    <xdr:colOff>0</xdr:colOff>
                    <xdr:row>154</xdr:row>
                    <xdr:rowOff>0</xdr:rowOff>
                  </from>
                  <to>
                    <xdr:col>9</xdr:col>
                    <xdr:colOff>0</xdr:colOff>
                    <xdr:row>155</xdr:row>
                    <xdr:rowOff>0</xdr:rowOff>
                  </to>
                </anchor>
              </controlPr>
            </control>
          </mc:Choice>
        </mc:AlternateContent>
        <mc:AlternateContent xmlns:mc="http://schemas.openxmlformats.org/markup-compatibility/2006">
          <mc:Choice Requires="x14">
            <control shapeId="7218" r:id="rId13" name="bpmDropDownCreditors6">
              <controlPr defaultSize="0" autoFill="0" autoPict="0">
                <anchor moveWithCells="1" sizeWithCells="1">
                  <from>
                    <xdr:col>7</xdr:col>
                    <xdr:colOff>0</xdr:colOff>
                    <xdr:row>155</xdr:row>
                    <xdr:rowOff>0</xdr:rowOff>
                  </from>
                  <to>
                    <xdr:col>9</xdr:col>
                    <xdr:colOff>0</xdr:colOff>
                    <xdr:row>156</xdr:row>
                    <xdr:rowOff>0</xdr:rowOff>
                  </to>
                </anchor>
              </controlPr>
            </control>
          </mc:Choice>
        </mc:AlternateContent>
        <mc:AlternateContent xmlns:mc="http://schemas.openxmlformats.org/markup-compatibility/2006">
          <mc:Choice Requires="x14">
            <control shapeId="7224" r:id="rId14" name="bpmDropDownInv_Pay1">
              <controlPr defaultSize="0" autoFill="0" autoPict="0">
                <anchor moveWithCells="1" sizeWithCells="1">
                  <from>
                    <xdr:col>7</xdr:col>
                    <xdr:colOff>0</xdr:colOff>
                    <xdr:row>238</xdr:row>
                    <xdr:rowOff>0</xdr:rowOff>
                  </from>
                  <to>
                    <xdr:col>9</xdr:col>
                    <xdr:colOff>0</xdr:colOff>
                    <xdr:row>238</xdr:row>
                    <xdr:rowOff>0</xdr:rowOff>
                  </to>
                </anchor>
              </controlPr>
            </control>
          </mc:Choice>
        </mc:AlternateContent>
        <mc:AlternateContent xmlns:mc="http://schemas.openxmlformats.org/markup-compatibility/2006">
          <mc:Choice Requires="x14">
            <control shapeId="7228" r:id="rId15" name="bpmDropDownCreditors9">
              <controlPr defaultSize="0" autoFill="0" autoPict="0">
                <anchor moveWithCells="1">
                  <from>
                    <xdr:col>7</xdr:col>
                    <xdr:colOff>0</xdr:colOff>
                    <xdr:row>156</xdr:row>
                    <xdr:rowOff>0</xdr:rowOff>
                  </from>
                  <to>
                    <xdr:col>9</xdr:col>
                    <xdr:colOff>0</xdr:colOff>
                    <xdr:row>157</xdr:row>
                    <xdr:rowOff>0</xdr:rowOff>
                  </to>
                </anchor>
              </controlPr>
            </control>
          </mc:Choice>
        </mc:AlternateContent>
        <mc:AlternateContent xmlns:mc="http://schemas.openxmlformats.org/markup-compatibility/2006">
          <mc:Choice Requires="x14">
            <control shapeId="7230" r:id="rId16" name="bpmDropDownDebtors8">
              <controlPr defaultSize="0" autoFill="0" autoPict="0">
                <anchor moveWithCells="1">
                  <from>
                    <xdr:col>7</xdr:col>
                    <xdr:colOff>12700</xdr:colOff>
                    <xdr:row>22</xdr:row>
                    <xdr:rowOff>38100</xdr:rowOff>
                  </from>
                  <to>
                    <xdr:col>9</xdr:col>
                    <xdr:colOff>25400</xdr:colOff>
                    <xdr:row>23</xdr:row>
                    <xdr:rowOff>38100</xdr:rowOff>
                  </to>
                </anchor>
              </controlPr>
            </control>
          </mc:Choice>
        </mc:AlternateContent>
        <mc:AlternateContent xmlns:mc="http://schemas.openxmlformats.org/markup-compatibility/2006">
          <mc:Choice Requires="x14">
            <control shapeId="7231" r:id="rId17" name="bpmDropDownDebtors9">
              <controlPr defaultSize="0" autoFill="0" autoPict="0">
                <anchor moveWithCells="1">
                  <from>
                    <xdr:col>7</xdr:col>
                    <xdr:colOff>12700</xdr:colOff>
                    <xdr:row>23</xdr:row>
                    <xdr:rowOff>38100</xdr:rowOff>
                  </from>
                  <to>
                    <xdr:col>9</xdr:col>
                    <xdr:colOff>25400</xdr:colOff>
                    <xdr:row>24</xdr:row>
                    <xdr:rowOff>38100</xdr:rowOff>
                  </to>
                </anchor>
              </controlPr>
            </control>
          </mc:Choice>
        </mc:AlternateContent>
        <mc:AlternateContent xmlns:mc="http://schemas.openxmlformats.org/markup-compatibility/2006">
          <mc:Choice Requires="x14">
            <control shapeId="7232" r:id="rId18" name="bpmDropDownCreditors3">
              <controlPr defaultSize="0" autoFill="0" autoPict="0">
                <anchor moveWithCells="1">
                  <from>
                    <xdr:col>7</xdr:col>
                    <xdr:colOff>0</xdr:colOff>
                    <xdr:row>149</xdr:row>
                    <xdr:rowOff>0</xdr:rowOff>
                  </from>
                  <to>
                    <xdr:col>9</xdr:col>
                    <xdr:colOff>0</xdr:colOff>
                    <xdr:row>150</xdr:row>
                    <xdr:rowOff>0</xdr:rowOff>
                  </to>
                </anchor>
              </controlPr>
            </control>
          </mc:Choice>
        </mc:AlternateContent>
        <mc:AlternateContent xmlns:mc="http://schemas.openxmlformats.org/markup-compatibility/2006">
          <mc:Choice Requires="x14">
            <control shapeId="7233" r:id="rId19" name="bpmDropDownCreditors10">
              <controlPr defaultSize="0" autoFill="0" autoPict="0">
                <anchor moveWithCells="1">
                  <from>
                    <xdr:col>7</xdr:col>
                    <xdr:colOff>0</xdr:colOff>
                    <xdr:row>151</xdr:row>
                    <xdr:rowOff>0</xdr:rowOff>
                  </from>
                  <to>
                    <xdr:col>9</xdr:col>
                    <xdr:colOff>0</xdr:colOff>
                    <xdr:row>152</xdr:row>
                    <xdr:rowOff>0</xdr:rowOff>
                  </to>
                </anchor>
              </controlPr>
            </control>
          </mc:Choice>
        </mc:AlternateContent>
        <mc:AlternateContent xmlns:mc="http://schemas.openxmlformats.org/markup-compatibility/2006">
          <mc:Choice Requires="x14">
            <control shapeId="7234" r:id="rId20" name="bpmDropDownCreditors11">
              <controlPr defaultSize="0" autoFill="0" autoPict="0">
                <anchor moveWithCells="1">
                  <from>
                    <xdr:col>7</xdr:col>
                    <xdr:colOff>0</xdr:colOff>
                    <xdr:row>152</xdr:row>
                    <xdr:rowOff>0</xdr:rowOff>
                  </from>
                  <to>
                    <xdr:col>9</xdr:col>
                    <xdr:colOff>0</xdr:colOff>
                    <xdr:row>153</xdr:row>
                    <xdr:rowOff>0</xdr:rowOff>
                  </to>
                </anchor>
              </controlPr>
            </control>
          </mc:Choice>
        </mc:AlternateContent>
        <mc:AlternateContent xmlns:mc="http://schemas.openxmlformats.org/markup-compatibility/2006">
          <mc:Choice Requires="x14">
            <control shapeId="7235" r:id="rId21" name="bpmDropDownCreditors12">
              <controlPr defaultSize="0" autoFill="0" autoPict="0">
                <anchor moveWithCells="1">
                  <from>
                    <xdr:col>7</xdr:col>
                    <xdr:colOff>0</xdr:colOff>
                    <xdr:row>153</xdr:row>
                    <xdr:rowOff>0</xdr:rowOff>
                  </from>
                  <to>
                    <xdr:col>9</xdr:col>
                    <xdr:colOff>0</xdr:colOff>
                    <xdr:row>154</xdr:row>
                    <xdr:rowOff>0</xdr:rowOff>
                  </to>
                </anchor>
              </controlPr>
            </control>
          </mc:Choice>
        </mc:AlternateContent>
        <mc:AlternateContent xmlns:mc="http://schemas.openxmlformats.org/markup-compatibility/2006">
          <mc:Choice Requires="x14">
            <control shapeId="7236" r:id="rId22" name="bpmDropDownDebtors4">
              <controlPr defaultSize="0" autoFill="0" autoPict="0">
                <anchor moveWithCells="1" sizeWithCells="1">
                  <from>
                    <xdr:col>7</xdr:col>
                    <xdr:colOff>12700</xdr:colOff>
                    <xdr:row>26</xdr:row>
                    <xdr:rowOff>38100</xdr:rowOff>
                  </from>
                  <to>
                    <xdr:col>9</xdr:col>
                    <xdr:colOff>25400</xdr:colOff>
                    <xdr:row>27</xdr:row>
                    <xdr:rowOff>50800</xdr:rowOff>
                  </to>
                </anchor>
              </controlPr>
            </control>
          </mc:Choice>
        </mc:AlternateContent>
        <mc:AlternateContent xmlns:mc="http://schemas.openxmlformats.org/markup-compatibility/2006">
          <mc:Choice Requires="x14">
            <control shapeId="7237" r:id="rId23" name="bpmDropDownInv3">
              <controlPr defaultSize="0" autoFill="0" autoPict="0">
                <anchor moveWithCells="1" sizeWithCells="1">
                  <from>
                    <xdr:col>7</xdr:col>
                    <xdr:colOff>0</xdr:colOff>
                    <xdr:row>83</xdr:row>
                    <xdr:rowOff>0</xdr:rowOff>
                  </from>
                  <to>
                    <xdr:col>9</xdr:col>
                    <xdr:colOff>0</xdr:colOff>
                    <xdr:row>83</xdr:row>
                    <xdr:rowOff>0</xdr:rowOff>
                  </to>
                </anchor>
              </controlPr>
            </control>
          </mc:Choice>
        </mc:AlternateContent>
        <mc:AlternateContent xmlns:mc="http://schemas.openxmlformats.org/markup-compatibility/2006">
          <mc:Choice Requires="x14">
            <control shapeId="7238" r:id="rId24" name="bpmDropDownCreditors7">
              <controlPr defaultSize="0" autoFill="0" autoPict="0">
                <anchor moveWithCells="1" sizeWithCells="1">
                  <from>
                    <xdr:col>7</xdr:col>
                    <xdr:colOff>0</xdr:colOff>
                    <xdr:row>147</xdr:row>
                    <xdr:rowOff>0</xdr:rowOff>
                  </from>
                  <to>
                    <xdr:col>9</xdr:col>
                    <xdr:colOff>0</xdr:colOff>
                    <xdr:row>148</xdr:row>
                    <xdr:rowOff>0</xdr:rowOff>
                  </to>
                </anchor>
              </controlPr>
            </control>
          </mc:Choice>
        </mc:AlternateContent>
        <mc:AlternateContent xmlns:mc="http://schemas.openxmlformats.org/markup-compatibility/2006">
          <mc:Choice Requires="x14">
            <control shapeId="7239" r:id="rId25" name="bpmDropDownDebtors5">
              <controlPr defaultSize="0" autoFill="0" autoPict="0">
                <anchor moveWithCells="1" sizeWithCells="1">
                  <from>
                    <xdr:col>7</xdr:col>
                    <xdr:colOff>12700</xdr:colOff>
                    <xdr:row>27</xdr:row>
                    <xdr:rowOff>38100</xdr:rowOff>
                  </from>
                  <to>
                    <xdr:col>9</xdr:col>
                    <xdr:colOff>25400</xdr:colOff>
                    <xdr:row>28</xdr:row>
                    <xdr:rowOff>50800</xdr:rowOff>
                  </to>
                </anchor>
              </controlPr>
            </control>
          </mc:Choice>
        </mc:AlternateContent>
        <mc:AlternateContent xmlns:mc="http://schemas.openxmlformats.org/markup-compatibility/2006">
          <mc:Choice Requires="x14">
            <control shapeId="7240" r:id="rId26" name="bpmDropDownCreditors8">
              <controlPr defaultSize="0" autoFill="0" autoPict="0">
                <anchor moveWithCells="1" sizeWithCells="1">
                  <from>
                    <xdr:col>7</xdr:col>
                    <xdr:colOff>0</xdr:colOff>
                    <xdr:row>150</xdr:row>
                    <xdr:rowOff>0</xdr:rowOff>
                  </from>
                  <to>
                    <xdr:col>9</xdr:col>
                    <xdr:colOff>0</xdr:colOff>
                    <xdr:row>151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FEC9-ED2E-4112-A4B2-0B3D125F9373}">
  <sheetPr codeName="Sheet8">
    <pageSetUpPr autoPageBreaks="0"/>
  </sheetPr>
  <dimension ref="A1:AS94"/>
  <sheetViews>
    <sheetView showGridLines="0" workbookViewId="0">
      <pane xSplit="9" ySplit="15" topLeftCell="J16" activePane="bottomRight" state="frozenSplit"/>
      <selection pane="topRight" activeCell="J1" sqref="J1"/>
      <selection pane="bottomLeft" activeCell="A16" sqref="A16"/>
      <selection pane="bottomRight" activeCell="K22" sqref="K22"/>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428</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hidden="1" outlineLevel="2"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hidden="1" outlineLevel="2"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6" spans="1:45" collapsed="1" x14ac:dyDescent="0.15"/>
    <row r="17" spans="1:45" x14ac:dyDescent="0.15">
      <c r="A17" s="74" t="s">
        <v>271</v>
      </c>
      <c r="B17" s="1" t="s">
        <v>270</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1:45" outlineLevel="1" x14ac:dyDescent="0.15"/>
    <row r="19" spans="1:45" outlineLevel="1" x14ac:dyDescent="0.15">
      <c r="B19" s="16" t="s">
        <v>270</v>
      </c>
      <c r="H19" s="155" t="s">
        <v>322</v>
      </c>
    </row>
    <row r="20" spans="1:45" outlineLevel="1" x14ac:dyDescent="0.15">
      <c r="B20" s="338" t="s">
        <v>290</v>
      </c>
      <c r="C20" s="338"/>
      <c r="D20" s="338"/>
      <c r="E20" s="338"/>
      <c r="F20" s="338"/>
      <c r="H20" s="80" t="s">
        <v>333</v>
      </c>
      <c r="J20" s="165">
        <v>10000</v>
      </c>
      <c r="K20" s="165">
        <v>0</v>
      </c>
      <c r="L20" s="165">
        <v>0</v>
      </c>
      <c r="M20" s="165">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row>
    <row r="21" spans="1:45" ht="3" customHeight="1" outlineLevel="1" x14ac:dyDescent="0.15"/>
    <row r="22" spans="1:45" s="233" customFormat="1" outlineLevel="1" x14ac:dyDescent="0.15">
      <c r="B22" s="338" t="s">
        <v>289</v>
      </c>
      <c r="C22" s="338"/>
      <c r="D22" s="338"/>
      <c r="E22" s="338"/>
      <c r="F22" s="338"/>
      <c r="H22" s="249" t="s">
        <v>333</v>
      </c>
      <c r="J22" s="165">
        <v>200000</v>
      </c>
      <c r="K22" s="165">
        <v>0</v>
      </c>
      <c r="L22" s="165">
        <v>0</v>
      </c>
      <c r="M22" s="165">
        <v>0</v>
      </c>
      <c r="N22" s="165">
        <v>0</v>
      </c>
      <c r="O22" s="165">
        <v>0</v>
      </c>
      <c r="P22" s="165">
        <v>0</v>
      </c>
      <c r="Q22" s="165">
        <v>0</v>
      </c>
      <c r="R22" s="165">
        <v>0</v>
      </c>
      <c r="S22" s="165">
        <v>0</v>
      </c>
      <c r="T22" s="165">
        <v>0</v>
      </c>
      <c r="U22" s="165">
        <v>0</v>
      </c>
      <c r="V22" s="165">
        <v>0</v>
      </c>
      <c r="W22" s="165">
        <v>0</v>
      </c>
      <c r="X22" s="165">
        <v>0</v>
      </c>
      <c r="Y22" s="165">
        <v>0</v>
      </c>
      <c r="Z22" s="165">
        <v>0</v>
      </c>
      <c r="AA22" s="165">
        <v>0</v>
      </c>
      <c r="AB22" s="165">
        <v>0</v>
      </c>
      <c r="AC22" s="165">
        <v>0</v>
      </c>
      <c r="AD22" s="165">
        <v>0</v>
      </c>
      <c r="AE22" s="165">
        <v>0</v>
      </c>
      <c r="AF22" s="165">
        <v>0</v>
      </c>
      <c r="AG22" s="165">
        <v>0</v>
      </c>
      <c r="AH22" s="165">
        <v>0</v>
      </c>
      <c r="AI22" s="165">
        <v>0</v>
      </c>
      <c r="AJ22" s="165">
        <v>0</v>
      </c>
      <c r="AK22" s="165">
        <v>0</v>
      </c>
      <c r="AL22" s="165">
        <v>0</v>
      </c>
      <c r="AM22" s="165">
        <v>0</v>
      </c>
      <c r="AN22" s="165">
        <v>0</v>
      </c>
      <c r="AO22" s="165">
        <v>0</v>
      </c>
      <c r="AP22" s="165">
        <v>0</v>
      </c>
      <c r="AQ22" s="165">
        <v>0</v>
      </c>
      <c r="AR22" s="165">
        <v>0</v>
      </c>
      <c r="AS22" s="165">
        <v>0</v>
      </c>
    </row>
    <row r="23" spans="1:45" s="233" customFormat="1" ht="3" customHeight="1" outlineLevel="1" x14ac:dyDescent="0.15"/>
    <row r="24" spans="1:45" ht="3" customHeight="1" outlineLevel="1" x14ac:dyDescent="0.15"/>
    <row r="25" spans="1:45" outlineLevel="1" x14ac:dyDescent="0.15">
      <c r="B25" s="16" t="str">
        <f>B19</f>
        <v>Capital Expenditure</v>
      </c>
      <c r="H25" s="155" t="s">
        <v>247</v>
      </c>
    </row>
    <row r="26" spans="1:45" outlineLevel="1" x14ac:dyDescent="0.15">
      <c r="B26" s="107" t="str">
        <f>B20</f>
        <v>Fencing Equipment</v>
      </c>
      <c r="H26" s="156">
        <f>Scenarios!I108</f>
        <v>0</v>
      </c>
      <c r="J26" s="14">
        <f t="shared" ref="J26:AS26" si="11">J20*(1+$H26)</f>
        <v>10000</v>
      </c>
      <c r="K26" s="14">
        <f t="shared" si="11"/>
        <v>0</v>
      </c>
      <c r="L26" s="14">
        <f t="shared" si="11"/>
        <v>0</v>
      </c>
      <c r="M26" s="14">
        <f t="shared" si="11"/>
        <v>0</v>
      </c>
      <c r="N26" s="14">
        <f t="shared" si="11"/>
        <v>0</v>
      </c>
      <c r="O26" s="14">
        <f t="shared" si="11"/>
        <v>0</v>
      </c>
      <c r="P26" s="14">
        <f t="shared" si="11"/>
        <v>0</v>
      </c>
      <c r="Q26" s="14">
        <f t="shared" si="11"/>
        <v>0</v>
      </c>
      <c r="R26" s="14">
        <f t="shared" si="11"/>
        <v>0</v>
      </c>
      <c r="S26" s="14">
        <f t="shared" si="11"/>
        <v>0</v>
      </c>
      <c r="T26" s="14">
        <f t="shared" si="11"/>
        <v>0</v>
      </c>
      <c r="U26" s="14">
        <f t="shared" si="11"/>
        <v>0</v>
      </c>
      <c r="V26" s="14">
        <f t="shared" si="11"/>
        <v>0</v>
      </c>
      <c r="W26" s="14">
        <f t="shared" si="11"/>
        <v>0</v>
      </c>
      <c r="X26" s="14">
        <f t="shared" si="11"/>
        <v>0</v>
      </c>
      <c r="Y26" s="14">
        <f t="shared" si="11"/>
        <v>0</v>
      </c>
      <c r="Z26" s="14">
        <f t="shared" si="11"/>
        <v>0</v>
      </c>
      <c r="AA26" s="14">
        <f t="shared" si="11"/>
        <v>0</v>
      </c>
      <c r="AB26" s="14">
        <f t="shared" si="11"/>
        <v>0</v>
      </c>
      <c r="AC26" s="14">
        <f t="shared" si="11"/>
        <v>0</v>
      </c>
      <c r="AD26" s="14">
        <f t="shared" si="11"/>
        <v>0</v>
      </c>
      <c r="AE26" s="14">
        <f t="shared" si="11"/>
        <v>0</v>
      </c>
      <c r="AF26" s="14">
        <f t="shared" si="11"/>
        <v>0</v>
      </c>
      <c r="AG26" s="14">
        <f t="shared" si="11"/>
        <v>0</v>
      </c>
      <c r="AH26" s="14">
        <f t="shared" si="11"/>
        <v>0</v>
      </c>
      <c r="AI26" s="14">
        <f t="shared" si="11"/>
        <v>0</v>
      </c>
      <c r="AJ26" s="14">
        <f t="shared" si="11"/>
        <v>0</v>
      </c>
      <c r="AK26" s="14">
        <f t="shared" si="11"/>
        <v>0</v>
      </c>
      <c r="AL26" s="14">
        <f t="shared" si="11"/>
        <v>0</v>
      </c>
      <c r="AM26" s="14">
        <f t="shared" si="11"/>
        <v>0</v>
      </c>
      <c r="AN26" s="14">
        <f t="shared" si="11"/>
        <v>0</v>
      </c>
      <c r="AO26" s="14">
        <f t="shared" si="11"/>
        <v>0</v>
      </c>
      <c r="AP26" s="14">
        <f t="shared" si="11"/>
        <v>0</v>
      </c>
      <c r="AQ26" s="14">
        <f t="shared" si="11"/>
        <v>0</v>
      </c>
      <c r="AR26" s="14">
        <f t="shared" si="11"/>
        <v>0</v>
      </c>
      <c r="AS26" s="14">
        <f t="shared" si="11"/>
        <v>0</v>
      </c>
    </row>
    <row r="27" spans="1:45" outlineLevel="1" x14ac:dyDescent="0.15">
      <c r="B27" s="107" t="str">
        <f>B22</f>
        <v>Leashold Improvements</v>
      </c>
      <c r="H27" s="157">
        <f>Scenarios!I111</f>
        <v>0</v>
      </c>
      <c r="J27" s="14">
        <f t="shared" ref="J27:AS27" si="12">J22*(1+$H27)</f>
        <v>200000</v>
      </c>
      <c r="K27" s="14">
        <f t="shared" si="12"/>
        <v>0</v>
      </c>
      <c r="L27" s="14">
        <f t="shared" si="12"/>
        <v>0</v>
      </c>
      <c r="M27" s="14">
        <f t="shared" si="12"/>
        <v>0</v>
      </c>
      <c r="N27" s="14">
        <f t="shared" si="12"/>
        <v>0</v>
      </c>
      <c r="O27" s="14">
        <f t="shared" si="12"/>
        <v>0</v>
      </c>
      <c r="P27" s="14">
        <f t="shared" si="12"/>
        <v>0</v>
      </c>
      <c r="Q27" s="14">
        <f t="shared" si="12"/>
        <v>0</v>
      </c>
      <c r="R27" s="14">
        <f t="shared" si="12"/>
        <v>0</v>
      </c>
      <c r="S27" s="14">
        <f t="shared" si="12"/>
        <v>0</v>
      </c>
      <c r="T27" s="14">
        <f t="shared" si="12"/>
        <v>0</v>
      </c>
      <c r="U27" s="14">
        <f t="shared" si="12"/>
        <v>0</v>
      </c>
      <c r="V27" s="14">
        <f t="shared" si="12"/>
        <v>0</v>
      </c>
      <c r="W27" s="14">
        <f t="shared" si="12"/>
        <v>0</v>
      </c>
      <c r="X27" s="14">
        <f t="shared" si="12"/>
        <v>0</v>
      </c>
      <c r="Y27" s="14">
        <f t="shared" si="12"/>
        <v>0</v>
      </c>
      <c r="Z27" s="14">
        <f t="shared" si="12"/>
        <v>0</v>
      </c>
      <c r="AA27" s="14">
        <f t="shared" si="12"/>
        <v>0</v>
      </c>
      <c r="AB27" s="14">
        <f t="shared" si="12"/>
        <v>0</v>
      </c>
      <c r="AC27" s="14">
        <f t="shared" si="12"/>
        <v>0</v>
      </c>
      <c r="AD27" s="14">
        <f t="shared" si="12"/>
        <v>0</v>
      </c>
      <c r="AE27" s="14">
        <f t="shared" si="12"/>
        <v>0</v>
      </c>
      <c r="AF27" s="14">
        <f t="shared" si="12"/>
        <v>0</v>
      </c>
      <c r="AG27" s="14">
        <f t="shared" si="12"/>
        <v>0</v>
      </c>
      <c r="AH27" s="14">
        <f t="shared" si="12"/>
        <v>0</v>
      </c>
      <c r="AI27" s="14">
        <f t="shared" si="12"/>
        <v>0</v>
      </c>
      <c r="AJ27" s="14">
        <f t="shared" si="12"/>
        <v>0</v>
      </c>
      <c r="AK27" s="14">
        <f t="shared" si="12"/>
        <v>0</v>
      </c>
      <c r="AL27" s="14">
        <f t="shared" si="12"/>
        <v>0</v>
      </c>
      <c r="AM27" s="14">
        <f t="shared" si="12"/>
        <v>0</v>
      </c>
      <c r="AN27" s="14">
        <f t="shared" si="12"/>
        <v>0</v>
      </c>
      <c r="AO27" s="14">
        <f t="shared" si="12"/>
        <v>0</v>
      </c>
      <c r="AP27" s="14">
        <f t="shared" si="12"/>
        <v>0</v>
      </c>
      <c r="AQ27" s="14">
        <f t="shared" si="12"/>
        <v>0</v>
      </c>
      <c r="AR27" s="14">
        <f t="shared" si="12"/>
        <v>0</v>
      </c>
      <c r="AS27" s="14">
        <f t="shared" si="12"/>
        <v>0</v>
      </c>
    </row>
    <row r="28" spans="1:45" outlineLevel="1" x14ac:dyDescent="0.15">
      <c r="B28" s="16" t="str">
        <f>"Total "&amp;B19</f>
        <v>Total Capital Expenditure</v>
      </c>
      <c r="J28" s="18">
        <f t="shared" ref="J28:AS28" ca="1" si="13">IF(ROWS(J$25:J$28)=2,0,SUM(OFFSET(J$25,1,0,ROWS(J$25:J$28)-2)))</f>
        <v>210000</v>
      </c>
      <c r="K28" s="18">
        <f t="shared" ca="1" si="13"/>
        <v>0</v>
      </c>
      <c r="L28" s="18">
        <f t="shared" ca="1" si="13"/>
        <v>0</v>
      </c>
      <c r="M28" s="18">
        <f t="shared" ca="1" si="13"/>
        <v>0</v>
      </c>
      <c r="N28" s="18">
        <f t="shared" ca="1" si="13"/>
        <v>0</v>
      </c>
      <c r="O28" s="18">
        <f t="shared" ca="1" si="13"/>
        <v>0</v>
      </c>
      <c r="P28" s="18">
        <f t="shared" ca="1" si="13"/>
        <v>0</v>
      </c>
      <c r="Q28" s="18">
        <f t="shared" ca="1" si="13"/>
        <v>0</v>
      </c>
      <c r="R28" s="18">
        <f t="shared" ca="1" si="13"/>
        <v>0</v>
      </c>
      <c r="S28" s="18">
        <f t="shared" ca="1" si="13"/>
        <v>0</v>
      </c>
      <c r="T28" s="18">
        <f t="shared" ca="1" si="13"/>
        <v>0</v>
      </c>
      <c r="U28" s="18">
        <f t="shared" ca="1" si="13"/>
        <v>0</v>
      </c>
      <c r="V28" s="18">
        <f t="shared" ca="1" si="13"/>
        <v>0</v>
      </c>
      <c r="W28" s="18">
        <f t="shared" ca="1" si="13"/>
        <v>0</v>
      </c>
      <c r="X28" s="18">
        <f t="shared" ca="1" si="13"/>
        <v>0</v>
      </c>
      <c r="Y28" s="18">
        <f t="shared" ca="1" si="13"/>
        <v>0</v>
      </c>
      <c r="Z28" s="18">
        <f t="shared" ca="1" si="13"/>
        <v>0</v>
      </c>
      <c r="AA28" s="18">
        <f t="shared" ca="1" si="13"/>
        <v>0</v>
      </c>
      <c r="AB28" s="18">
        <f t="shared" ca="1" si="13"/>
        <v>0</v>
      </c>
      <c r="AC28" s="18">
        <f t="shared" ca="1" si="13"/>
        <v>0</v>
      </c>
      <c r="AD28" s="18">
        <f t="shared" ca="1" si="13"/>
        <v>0</v>
      </c>
      <c r="AE28" s="18">
        <f t="shared" ca="1" si="13"/>
        <v>0</v>
      </c>
      <c r="AF28" s="18">
        <f t="shared" ca="1" si="13"/>
        <v>0</v>
      </c>
      <c r="AG28" s="18">
        <f t="shared" ca="1" si="13"/>
        <v>0</v>
      </c>
      <c r="AH28" s="18">
        <f t="shared" ca="1" si="13"/>
        <v>0</v>
      </c>
      <c r="AI28" s="18">
        <f t="shared" ca="1" si="13"/>
        <v>0</v>
      </c>
      <c r="AJ28" s="18">
        <f t="shared" ca="1" si="13"/>
        <v>0</v>
      </c>
      <c r="AK28" s="18">
        <f t="shared" ca="1" si="13"/>
        <v>0</v>
      </c>
      <c r="AL28" s="18">
        <f t="shared" ca="1" si="13"/>
        <v>0</v>
      </c>
      <c r="AM28" s="18">
        <f t="shared" ca="1" si="13"/>
        <v>0</v>
      </c>
      <c r="AN28" s="18">
        <f t="shared" ca="1" si="13"/>
        <v>0</v>
      </c>
      <c r="AO28" s="18">
        <f t="shared" ca="1" si="13"/>
        <v>0</v>
      </c>
      <c r="AP28" s="18">
        <f t="shared" ca="1" si="13"/>
        <v>0</v>
      </c>
      <c r="AQ28" s="18">
        <f t="shared" ca="1" si="13"/>
        <v>0</v>
      </c>
      <c r="AR28" s="18">
        <f t="shared" ca="1" si="13"/>
        <v>0</v>
      </c>
      <c r="AS28" s="18">
        <f t="shared" ca="1" si="13"/>
        <v>0</v>
      </c>
    </row>
    <row r="29" spans="1:45" ht="6" customHeight="1" outlineLevel="1" x14ac:dyDescent="0.15"/>
    <row r="30" spans="1:45" outlineLevel="2" x14ac:dyDescent="0.15">
      <c r="B30" s="16" t="str">
        <f>B19</f>
        <v>Capital Expenditure</v>
      </c>
    </row>
    <row r="31" spans="1:45" outlineLevel="2" x14ac:dyDescent="0.15">
      <c r="B31" s="107" t="str">
        <f>B26</f>
        <v>Fencing Equipment</v>
      </c>
      <c r="J31" s="14">
        <f t="shared" ref="J31:AS31" si="14">J26</f>
        <v>10000</v>
      </c>
      <c r="K31" s="14">
        <f t="shared" si="14"/>
        <v>0</v>
      </c>
      <c r="L31" s="14">
        <f t="shared" si="14"/>
        <v>0</v>
      </c>
      <c r="M31" s="14">
        <f t="shared" si="14"/>
        <v>0</v>
      </c>
      <c r="N31" s="14">
        <f t="shared" si="14"/>
        <v>0</v>
      </c>
      <c r="O31" s="14">
        <f t="shared" si="14"/>
        <v>0</v>
      </c>
      <c r="P31" s="14">
        <f t="shared" si="14"/>
        <v>0</v>
      </c>
      <c r="Q31" s="14">
        <f t="shared" si="14"/>
        <v>0</v>
      </c>
      <c r="R31" s="14">
        <f t="shared" si="14"/>
        <v>0</v>
      </c>
      <c r="S31" s="14">
        <f t="shared" si="14"/>
        <v>0</v>
      </c>
      <c r="T31" s="14">
        <f t="shared" si="14"/>
        <v>0</v>
      </c>
      <c r="U31" s="14">
        <f t="shared" si="14"/>
        <v>0</v>
      </c>
      <c r="V31" s="14">
        <f t="shared" si="14"/>
        <v>0</v>
      </c>
      <c r="W31" s="14">
        <f t="shared" si="14"/>
        <v>0</v>
      </c>
      <c r="X31" s="14">
        <f t="shared" si="14"/>
        <v>0</v>
      </c>
      <c r="Y31" s="14">
        <f t="shared" si="14"/>
        <v>0</v>
      </c>
      <c r="Z31" s="14">
        <f t="shared" si="14"/>
        <v>0</v>
      </c>
      <c r="AA31" s="14">
        <f t="shared" si="14"/>
        <v>0</v>
      </c>
      <c r="AB31" s="14">
        <f t="shared" si="14"/>
        <v>0</v>
      </c>
      <c r="AC31" s="14">
        <f t="shared" si="14"/>
        <v>0</v>
      </c>
      <c r="AD31" s="14">
        <f t="shared" si="14"/>
        <v>0</v>
      </c>
      <c r="AE31" s="14">
        <f t="shared" si="14"/>
        <v>0</v>
      </c>
      <c r="AF31" s="14">
        <f t="shared" si="14"/>
        <v>0</v>
      </c>
      <c r="AG31" s="14">
        <f t="shared" si="14"/>
        <v>0</v>
      </c>
      <c r="AH31" s="14">
        <f t="shared" si="14"/>
        <v>0</v>
      </c>
      <c r="AI31" s="14">
        <f t="shared" si="14"/>
        <v>0</v>
      </c>
      <c r="AJ31" s="14">
        <f t="shared" si="14"/>
        <v>0</v>
      </c>
      <c r="AK31" s="14">
        <f t="shared" si="14"/>
        <v>0</v>
      </c>
      <c r="AL31" s="14">
        <f t="shared" si="14"/>
        <v>0</v>
      </c>
      <c r="AM31" s="14">
        <f t="shared" si="14"/>
        <v>0</v>
      </c>
      <c r="AN31" s="14">
        <f t="shared" si="14"/>
        <v>0</v>
      </c>
      <c r="AO31" s="14">
        <f t="shared" si="14"/>
        <v>0</v>
      </c>
      <c r="AP31" s="14">
        <f t="shared" si="14"/>
        <v>0</v>
      </c>
      <c r="AQ31" s="14">
        <f t="shared" si="14"/>
        <v>0</v>
      </c>
      <c r="AR31" s="14">
        <f t="shared" si="14"/>
        <v>0</v>
      </c>
      <c r="AS31" s="14">
        <f t="shared" si="14"/>
        <v>0</v>
      </c>
    </row>
    <row r="32" spans="1:45" outlineLevel="2" x14ac:dyDescent="0.15">
      <c r="B32" s="107" t="str">
        <f>B27</f>
        <v>Leashold Improvements</v>
      </c>
      <c r="J32" s="14">
        <f t="shared" ref="J32:AS32" si="15">J27</f>
        <v>200000</v>
      </c>
      <c r="K32" s="14">
        <f t="shared" si="15"/>
        <v>0</v>
      </c>
      <c r="L32" s="14">
        <f t="shared" si="15"/>
        <v>0</v>
      </c>
      <c r="M32" s="14">
        <f t="shared" si="15"/>
        <v>0</v>
      </c>
      <c r="N32" s="14">
        <f t="shared" si="15"/>
        <v>0</v>
      </c>
      <c r="O32" s="14">
        <f t="shared" si="15"/>
        <v>0</v>
      </c>
      <c r="P32" s="14">
        <f t="shared" si="15"/>
        <v>0</v>
      </c>
      <c r="Q32" s="14">
        <f t="shared" si="15"/>
        <v>0</v>
      </c>
      <c r="R32" s="14">
        <f t="shared" si="15"/>
        <v>0</v>
      </c>
      <c r="S32" s="14">
        <f t="shared" si="15"/>
        <v>0</v>
      </c>
      <c r="T32" s="14">
        <f t="shared" si="15"/>
        <v>0</v>
      </c>
      <c r="U32" s="14">
        <f t="shared" si="15"/>
        <v>0</v>
      </c>
      <c r="V32" s="14">
        <f t="shared" si="15"/>
        <v>0</v>
      </c>
      <c r="W32" s="14">
        <f t="shared" si="15"/>
        <v>0</v>
      </c>
      <c r="X32" s="14">
        <f t="shared" si="15"/>
        <v>0</v>
      </c>
      <c r="Y32" s="14">
        <f t="shared" si="15"/>
        <v>0</v>
      </c>
      <c r="Z32" s="14">
        <f t="shared" si="15"/>
        <v>0</v>
      </c>
      <c r="AA32" s="14">
        <f t="shared" si="15"/>
        <v>0</v>
      </c>
      <c r="AB32" s="14">
        <f t="shared" si="15"/>
        <v>0</v>
      </c>
      <c r="AC32" s="14">
        <f t="shared" si="15"/>
        <v>0</v>
      </c>
      <c r="AD32" s="14">
        <f t="shared" si="15"/>
        <v>0</v>
      </c>
      <c r="AE32" s="14">
        <f t="shared" si="15"/>
        <v>0</v>
      </c>
      <c r="AF32" s="14">
        <f t="shared" si="15"/>
        <v>0</v>
      </c>
      <c r="AG32" s="14">
        <f t="shared" si="15"/>
        <v>0</v>
      </c>
      <c r="AH32" s="14">
        <f t="shared" si="15"/>
        <v>0</v>
      </c>
      <c r="AI32" s="14">
        <f t="shared" si="15"/>
        <v>0</v>
      </c>
      <c r="AJ32" s="14">
        <f t="shared" si="15"/>
        <v>0</v>
      </c>
      <c r="AK32" s="14">
        <f t="shared" si="15"/>
        <v>0</v>
      </c>
      <c r="AL32" s="14">
        <f t="shared" si="15"/>
        <v>0</v>
      </c>
      <c r="AM32" s="14">
        <f t="shared" si="15"/>
        <v>0</v>
      </c>
      <c r="AN32" s="14">
        <f t="shared" si="15"/>
        <v>0</v>
      </c>
      <c r="AO32" s="14">
        <f t="shared" si="15"/>
        <v>0</v>
      </c>
      <c r="AP32" s="14">
        <f t="shared" si="15"/>
        <v>0</v>
      </c>
      <c r="AQ32" s="14">
        <f t="shared" si="15"/>
        <v>0</v>
      </c>
      <c r="AR32" s="14">
        <f t="shared" si="15"/>
        <v>0</v>
      </c>
      <c r="AS32" s="14">
        <f t="shared" si="15"/>
        <v>0</v>
      </c>
    </row>
    <row r="33" spans="2:45" outlineLevel="2" x14ac:dyDescent="0.15">
      <c r="B33" s="16" t="str">
        <f>B28</f>
        <v>Total Capital Expenditure</v>
      </c>
      <c r="J33" s="18">
        <f t="shared" ref="J33:AS33" si="16">SUM(J31:J32)</f>
        <v>210000</v>
      </c>
      <c r="K33" s="18">
        <f t="shared" si="16"/>
        <v>0</v>
      </c>
      <c r="L33" s="18">
        <f t="shared" si="16"/>
        <v>0</v>
      </c>
      <c r="M33" s="18">
        <f t="shared" si="16"/>
        <v>0</v>
      </c>
      <c r="N33" s="18">
        <f t="shared" si="16"/>
        <v>0</v>
      </c>
      <c r="O33" s="18">
        <f t="shared" si="16"/>
        <v>0</v>
      </c>
      <c r="P33" s="18">
        <f t="shared" si="16"/>
        <v>0</v>
      </c>
      <c r="Q33" s="18">
        <f t="shared" si="16"/>
        <v>0</v>
      </c>
      <c r="R33" s="18">
        <f t="shared" si="16"/>
        <v>0</v>
      </c>
      <c r="S33" s="18">
        <f t="shared" si="16"/>
        <v>0</v>
      </c>
      <c r="T33" s="18">
        <f t="shared" si="16"/>
        <v>0</v>
      </c>
      <c r="U33" s="18">
        <f t="shared" si="16"/>
        <v>0</v>
      </c>
      <c r="V33" s="18">
        <f t="shared" si="16"/>
        <v>0</v>
      </c>
      <c r="W33" s="18">
        <f t="shared" si="16"/>
        <v>0</v>
      </c>
      <c r="X33" s="18">
        <f t="shared" si="16"/>
        <v>0</v>
      </c>
      <c r="Y33" s="18">
        <f t="shared" si="16"/>
        <v>0</v>
      </c>
      <c r="Z33" s="18">
        <f t="shared" si="16"/>
        <v>0</v>
      </c>
      <c r="AA33" s="18">
        <f t="shared" si="16"/>
        <v>0</v>
      </c>
      <c r="AB33" s="18">
        <f t="shared" si="16"/>
        <v>0</v>
      </c>
      <c r="AC33" s="18">
        <f t="shared" si="16"/>
        <v>0</v>
      </c>
      <c r="AD33" s="18">
        <f t="shared" si="16"/>
        <v>0</v>
      </c>
      <c r="AE33" s="18">
        <f t="shared" si="16"/>
        <v>0</v>
      </c>
      <c r="AF33" s="18">
        <f t="shared" si="16"/>
        <v>0</v>
      </c>
      <c r="AG33" s="18">
        <f t="shared" si="16"/>
        <v>0</v>
      </c>
      <c r="AH33" s="18">
        <f t="shared" si="16"/>
        <v>0</v>
      </c>
      <c r="AI33" s="18">
        <f t="shared" si="16"/>
        <v>0</v>
      </c>
      <c r="AJ33" s="18">
        <f t="shared" si="16"/>
        <v>0</v>
      </c>
      <c r="AK33" s="18">
        <f t="shared" si="16"/>
        <v>0</v>
      </c>
      <c r="AL33" s="18">
        <f t="shared" si="16"/>
        <v>0</v>
      </c>
      <c r="AM33" s="18">
        <f t="shared" si="16"/>
        <v>0</v>
      </c>
      <c r="AN33" s="18">
        <f t="shared" si="16"/>
        <v>0</v>
      </c>
      <c r="AO33" s="18">
        <f t="shared" si="16"/>
        <v>0</v>
      </c>
      <c r="AP33" s="18">
        <f t="shared" si="16"/>
        <v>0</v>
      </c>
      <c r="AQ33" s="18">
        <f t="shared" si="16"/>
        <v>0</v>
      </c>
      <c r="AR33" s="18">
        <f t="shared" si="16"/>
        <v>0</v>
      </c>
      <c r="AS33" s="18">
        <f t="shared" si="16"/>
        <v>0</v>
      </c>
    </row>
    <row r="34" spans="2:45" ht="6" customHeight="1" outlineLevel="2" x14ac:dyDescent="0.15"/>
    <row r="35" spans="2:45" outlineLevel="2" x14ac:dyDescent="0.15">
      <c r="C35" s="107" t="s">
        <v>192</v>
      </c>
      <c r="J35" s="17">
        <f t="shared" ref="J35:AS35" ca="1" si="17">IF(ISERROR(J28-J33),1,0)</f>
        <v>0</v>
      </c>
      <c r="K35" s="17">
        <f t="shared" ca="1" si="17"/>
        <v>0</v>
      </c>
      <c r="L35" s="17">
        <f t="shared" ca="1" si="17"/>
        <v>0</v>
      </c>
      <c r="M35" s="17">
        <f t="shared" ca="1" si="17"/>
        <v>0</v>
      </c>
      <c r="N35" s="17">
        <f t="shared" ca="1" si="17"/>
        <v>0</v>
      </c>
      <c r="O35" s="17">
        <f t="shared" ca="1" si="17"/>
        <v>0</v>
      </c>
      <c r="P35" s="17">
        <f t="shared" ca="1" si="17"/>
        <v>0</v>
      </c>
      <c r="Q35" s="17">
        <f t="shared" ca="1" si="17"/>
        <v>0</v>
      </c>
      <c r="R35" s="17">
        <f t="shared" ca="1" si="17"/>
        <v>0</v>
      </c>
      <c r="S35" s="17">
        <f t="shared" ca="1" si="17"/>
        <v>0</v>
      </c>
      <c r="T35" s="17">
        <f t="shared" ca="1" si="17"/>
        <v>0</v>
      </c>
      <c r="U35" s="17">
        <f t="shared" ca="1" si="17"/>
        <v>0</v>
      </c>
      <c r="V35" s="17">
        <f t="shared" ca="1" si="17"/>
        <v>0</v>
      </c>
      <c r="W35" s="17">
        <f t="shared" ca="1" si="17"/>
        <v>0</v>
      </c>
      <c r="X35" s="17">
        <f t="shared" ca="1" si="17"/>
        <v>0</v>
      </c>
      <c r="Y35" s="17">
        <f t="shared" ca="1" si="17"/>
        <v>0</v>
      </c>
      <c r="Z35" s="17">
        <f t="shared" ca="1" si="17"/>
        <v>0</v>
      </c>
      <c r="AA35" s="17">
        <f t="shared" ca="1" si="17"/>
        <v>0</v>
      </c>
      <c r="AB35" s="17">
        <f t="shared" ca="1" si="17"/>
        <v>0</v>
      </c>
      <c r="AC35" s="17">
        <f t="shared" ca="1" si="17"/>
        <v>0</v>
      </c>
      <c r="AD35" s="17">
        <f t="shared" ca="1" si="17"/>
        <v>0</v>
      </c>
      <c r="AE35" s="17">
        <f t="shared" ca="1" si="17"/>
        <v>0</v>
      </c>
      <c r="AF35" s="17">
        <f t="shared" ca="1" si="17"/>
        <v>0</v>
      </c>
      <c r="AG35" s="17">
        <f t="shared" ca="1" si="17"/>
        <v>0</v>
      </c>
      <c r="AH35" s="17">
        <f t="shared" ca="1" si="17"/>
        <v>0</v>
      </c>
      <c r="AI35" s="17">
        <f t="shared" ca="1" si="17"/>
        <v>0</v>
      </c>
      <c r="AJ35" s="17">
        <f t="shared" ca="1" si="17"/>
        <v>0</v>
      </c>
      <c r="AK35" s="17">
        <f t="shared" ca="1" si="17"/>
        <v>0</v>
      </c>
      <c r="AL35" s="17">
        <f t="shared" ca="1" si="17"/>
        <v>0</v>
      </c>
      <c r="AM35" s="17">
        <f t="shared" ca="1" si="17"/>
        <v>0</v>
      </c>
      <c r="AN35" s="17">
        <f t="shared" ca="1" si="17"/>
        <v>0</v>
      </c>
      <c r="AO35" s="17">
        <f t="shared" ca="1" si="17"/>
        <v>0</v>
      </c>
      <c r="AP35" s="17">
        <f t="shared" ca="1" si="17"/>
        <v>0</v>
      </c>
      <c r="AQ35" s="17">
        <f t="shared" ca="1" si="17"/>
        <v>0</v>
      </c>
      <c r="AR35" s="17">
        <f t="shared" ca="1" si="17"/>
        <v>0</v>
      </c>
      <c r="AS35" s="17">
        <f t="shared" ca="1" si="17"/>
        <v>0</v>
      </c>
    </row>
    <row r="36" spans="2:45" outlineLevel="2" x14ac:dyDescent="0.15">
      <c r="C36" s="107" t="s">
        <v>334</v>
      </c>
      <c r="J36" s="42">
        <f t="shared" ref="J36:AS36" ca="1" si="18">IF(J35&lt;&gt;0,0,IF(ROUND(J28-J33,5)&lt;&gt;0,1,0))</f>
        <v>0</v>
      </c>
      <c r="K36" s="42">
        <f t="shared" ca="1" si="18"/>
        <v>0</v>
      </c>
      <c r="L36" s="42">
        <f t="shared" ca="1" si="18"/>
        <v>0</v>
      </c>
      <c r="M36" s="42">
        <f t="shared" ca="1" si="18"/>
        <v>0</v>
      </c>
      <c r="N36" s="42">
        <f t="shared" ca="1" si="18"/>
        <v>0</v>
      </c>
      <c r="O36" s="42">
        <f t="shared" ca="1" si="18"/>
        <v>0</v>
      </c>
      <c r="P36" s="42">
        <f t="shared" ca="1" si="18"/>
        <v>0</v>
      </c>
      <c r="Q36" s="42">
        <f t="shared" ca="1" si="18"/>
        <v>0</v>
      </c>
      <c r="R36" s="42">
        <f t="shared" ca="1" si="18"/>
        <v>0</v>
      </c>
      <c r="S36" s="42">
        <f t="shared" ca="1" si="18"/>
        <v>0</v>
      </c>
      <c r="T36" s="42">
        <f t="shared" ca="1" si="18"/>
        <v>0</v>
      </c>
      <c r="U36" s="42">
        <f t="shared" ca="1" si="18"/>
        <v>0</v>
      </c>
      <c r="V36" s="42">
        <f t="shared" ca="1" si="18"/>
        <v>0</v>
      </c>
      <c r="W36" s="42">
        <f t="shared" ca="1" si="18"/>
        <v>0</v>
      </c>
      <c r="X36" s="42">
        <f t="shared" ca="1" si="18"/>
        <v>0</v>
      </c>
      <c r="Y36" s="42">
        <f t="shared" ca="1" si="18"/>
        <v>0</v>
      </c>
      <c r="Z36" s="42">
        <f t="shared" ca="1" si="18"/>
        <v>0</v>
      </c>
      <c r="AA36" s="42">
        <f t="shared" ca="1" si="18"/>
        <v>0</v>
      </c>
      <c r="AB36" s="42">
        <f t="shared" ca="1" si="18"/>
        <v>0</v>
      </c>
      <c r="AC36" s="42">
        <f t="shared" ca="1" si="18"/>
        <v>0</v>
      </c>
      <c r="AD36" s="42">
        <f t="shared" ca="1" si="18"/>
        <v>0</v>
      </c>
      <c r="AE36" s="42">
        <f t="shared" ca="1" si="18"/>
        <v>0</v>
      </c>
      <c r="AF36" s="42">
        <f t="shared" ca="1" si="18"/>
        <v>0</v>
      </c>
      <c r="AG36" s="42">
        <f t="shared" ca="1" si="18"/>
        <v>0</v>
      </c>
      <c r="AH36" s="42">
        <f t="shared" ca="1" si="18"/>
        <v>0</v>
      </c>
      <c r="AI36" s="42">
        <f t="shared" ca="1" si="18"/>
        <v>0</v>
      </c>
      <c r="AJ36" s="42">
        <f t="shared" ca="1" si="18"/>
        <v>0</v>
      </c>
      <c r="AK36" s="42">
        <f t="shared" ca="1" si="18"/>
        <v>0</v>
      </c>
      <c r="AL36" s="42">
        <f t="shared" ca="1" si="18"/>
        <v>0</v>
      </c>
      <c r="AM36" s="42">
        <f t="shared" ca="1" si="18"/>
        <v>0</v>
      </c>
      <c r="AN36" s="42">
        <f t="shared" ca="1" si="18"/>
        <v>0</v>
      </c>
      <c r="AO36" s="42">
        <f t="shared" ca="1" si="18"/>
        <v>0</v>
      </c>
      <c r="AP36" s="42">
        <f t="shared" ca="1" si="18"/>
        <v>0</v>
      </c>
      <c r="AQ36" s="42">
        <f t="shared" ca="1" si="18"/>
        <v>0</v>
      </c>
      <c r="AR36" s="42">
        <f t="shared" ca="1" si="18"/>
        <v>0</v>
      </c>
      <c r="AS36" s="42">
        <f t="shared" ca="1" si="18"/>
        <v>0</v>
      </c>
    </row>
    <row r="37" spans="2:45" outlineLevel="1" x14ac:dyDescent="0.15">
      <c r="B37" s="107" t="s">
        <v>335</v>
      </c>
      <c r="I37" s="22">
        <f ca="1">IF(ISERROR(SUM(0,J37:AS37)),1,MIN(SUM(J37:AS37),1))</f>
        <v>0</v>
      </c>
      <c r="J37" s="17">
        <f t="shared" ref="J37:AS37" ca="1" si="19">MIN(SUM(J35:J36),1)</f>
        <v>0</v>
      </c>
      <c r="K37" s="17">
        <f t="shared" ca="1" si="19"/>
        <v>0</v>
      </c>
      <c r="L37" s="17">
        <f t="shared" ca="1" si="19"/>
        <v>0</v>
      </c>
      <c r="M37" s="17">
        <f t="shared" ca="1" si="19"/>
        <v>0</v>
      </c>
      <c r="N37" s="17">
        <f t="shared" ca="1" si="19"/>
        <v>0</v>
      </c>
      <c r="O37" s="17">
        <f t="shared" ca="1" si="19"/>
        <v>0</v>
      </c>
      <c r="P37" s="17">
        <f t="shared" ca="1" si="19"/>
        <v>0</v>
      </c>
      <c r="Q37" s="17">
        <f t="shared" ca="1" si="19"/>
        <v>0</v>
      </c>
      <c r="R37" s="17">
        <f t="shared" ca="1" si="19"/>
        <v>0</v>
      </c>
      <c r="S37" s="17">
        <f t="shared" ca="1" si="19"/>
        <v>0</v>
      </c>
      <c r="T37" s="17">
        <f t="shared" ca="1" si="19"/>
        <v>0</v>
      </c>
      <c r="U37" s="17">
        <f t="shared" ca="1" si="19"/>
        <v>0</v>
      </c>
      <c r="V37" s="17">
        <f t="shared" ca="1" si="19"/>
        <v>0</v>
      </c>
      <c r="W37" s="17">
        <f t="shared" ca="1" si="19"/>
        <v>0</v>
      </c>
      <c r="X37" s="17">
        <f t="shared" ca="1" si="19"/>
        <v>0</v>
      </c>
      <c r="Y37" s="17">
        <f t="shared" ca="1" si="19"/>
        <v>0</v>
      </c>
      <c r="Z37" s="17">
        <f t="shared" ca="1" si="19"/>
        <v>0</v>
      </c>
      <c r="AA37" s="17">
        <f t="shared" ca="1" si="19"/>
        <v>0</v>
      </c>
      <c r="AB37" s="17">
        <f t="shared" ca="1" si="19"/>
        <v>0</v>
      </c>
      <c r="AC37" s="17">
        <f t="shared" ca="1" si="19"/>
        <v>0</v>
      </c>
      <c r="AD37" s="17">
        <f t="shared" ca="1" si="19"/>
        <v>0</v>
      </c>
      <c r="AE37" s="17">
        <f t="shared" ca="1" si="19"/>
        <v>0</v>
      </c>
      <c r="AF37" s="17">
        <f t="shared" ca="1" si="19"/>
        <v>0</v>
      </c>
      <c r="AG37" s="17">
        <f t="shared" ca="1" si="19"/>
        <v>0</v>
      </c>
      <c r="AH37" s="17">
        <f t="shared" ca="1" si="19"/>
        <v>0</v>
      </c>
      <c r="AI37" s="17">
        <f t="shared" ca="1" si="19"/>
        <v>0</v>
      </c>
      <c r="AJ37" s="17">
        <f t="shared" ca="1" si="19"/>
        <v>0</v>
      </c>
      <c r="AK37" s="17">
        <f t="shared" ca="1" si="19"/>
        <v>0</v>
      </c>
      <c r="AL37" s="17">
        <f t="shared" ca="1" si="19"/>
        <v>0</v>
      </c>
      <c r="AM37" s="17">
        <f t="shared" ca="1" si="19"/>
        <v>0</v>
      </c>
      <c r="AN37" s="17">
        <f t="shared" ca="1" si="19"/>
        <v>0</v>
      </c>
      <c r="AO37" s="17">
        <f t="shared" ca="1" si="19"/>
        <v>0</v>
      </c>
      <c r="AP37" s="17">
        <f t="shared" ca="1" si="19"/>
        <v>0</v>
      </c>
      <c r="AQ37" s="17">
        <f t="shared" ca="1" si="19"/>
        <v>0</v>
      </c>
      <c r="AR37" s="17">
        <f t="shared" ca="1" si="19"/>
        <v>0</v>
      </c>
      <c r="AS37" s="17">
        <f t="shared" ca="1" si="19"/>
        <v>0</v>
      </c>
    </row>
    <row r="38" spans="2:45" outlineLevel="1" x14ac:dyDescent="0.15">
      <c r="B38" s="107" t="s">
        <v>429</v>
      </c>
      <c r="I38" s="22">
        <f ca="1">IF(ISERROR(SUM(J38:AS38)),1,MIN(SUM(J38:AS38),1))</f>
        <v>0</v>
      </c>
      <c r="J38" s="17">
        <f t="shared" ref="J38:AS38" ca="1" si="20">IF(J37=1,0,IF(MIN(J31:J32)&lt;0,1,0))</f>
        <v>0</v>
      </c>
      <c r="K38" s="17">
        <f t="shared" ca="1" si="20"/>
        <v>0</v>
      </c>
      <c r="L38" s="17">
        <f t="shared" ca="1" si="20"/>
        <v>0</v>
      </c>
      <c r="M38" s="17">
        <f t="shared" ca="1" si="20"/>
        <v>0</v>
      </c>
      <c r="N38" s="17">
        <f t="shared" ca="1" si="20"/>
        <v>0</v>
      </c>
      <c r="O38" s="17">
        <f t="shared" ca="1" si="20"/>
        <v>0</v>
      </c>
      <c r="P38" s="17">
        <f t="shared" ca="1" si="20"/>
        <v>0</v>
      </c>
      <c r="Q38" s="17">
        <f t="shared" ca="1" si="20"/>
        <v>0</v>
      </c>
      <c r="R38" s="17">
        <f t="shared" ca="1" si="20"/>
        <v>0</v>
      </c>
      <c r="S38" s="17">
        <f t="shared" ca="1" si="20"/>
        <v>0</v>
      </c>
      <c r="T38" s="17">
        <f t="shared" ca="1" si="20"/>
        <v>0</v>
      </c>
      <c r="U38" s="17">
        <f t="shared" ca="1" si="20"/>
        <v>0</v>
      </c>
      <c r="V38" s="17">
        <f t="shared" ca="1" si="20"/>
        <v>0</v>
      </c>
      <c r="W38" s="17">
        <f t="shared" ca="1" si="20"/>
        <v>0</v>
      </c>
      <c r="X38" s="17">
        <f t="shared" ca="1" si="20"/>
        <v>0</v>
      </c>
      <c r="Y38" s="17">
        <f t="shared" ca="1" si="20"/>
        <v>0</v>
      </c>
      <c r="Z38" s="17">
        <f t="shared" ca="1" si="20"/>
        <v>0</v>
      </c>
      <c r="AA38" s="17">
        <f t="shared" ca="1" si="20"/>
        <v>0</v>
      </c>
      <c r="AB38" s="17">
        <f t="shared" ca="1" si="20"/>
        <v>0</v>
      </c>
      <c r="AC38" s="17">
        <f t="shared" ca="1" si="20"/>
        <v>0</v>
      </c>
      <c r="AD38" s="17">
        <f t="shared" ca="1" si="20"/>
        <v>0</v>
      </c>
      <c r="AE38" s="17">
        <f t="shared" ca="1" si="20"/>
        <v>0</v>
      </c>
      <c r="AF38" s="17">
        <f t="shared" ca="1" si="20"/>
        <v>0</v>
      </c>
      <c r="AG38" s="17">
        <f t="shared" ca="1" si="20"/>
        <v>0</v>
      </c>
      <c r="AH38" s="17">
        <f t="shared" ca="1" si="20"/>
        <v>0</v>
      </c>
      <c r="AI38" s="17">
        <f t="shared" ca="1" si="20"/>
        <v>0</v>
      </c>
      <c r="AJ38" s="17">
        <f t="shared" ca="1" si="20"/>
        <v>0</v>
      </c>
      <c r="AK38" s="17">
        <f t="shared" ca="1" si="20"/>
        <v>0</v>
      </c>
      <c r="AL38" s="17">
        <f t="shared" ca="1" si="20"/>
        <v>0</v>
      </c>
      <c r="AM38" s="17">
        <f t="shared" ca="1" si="20"/>
        <v>0</v>
      </c>
      <c r="AN38" s="17">
        <f t="shared" ca="1" si="20"/>
        <v>0</v>
      </c>
      <c r="AO38" s="17">
        <f t="shared" ca="1" si="20"/>
        <v>0</v>
      </c>
      <c r="AP38" s="17">
        <f t="shared" ca="1" si="20"/>
        <v>0</v>
      </c>
      <c r="AQ38" s="17">
        <f t="shared" ca="1" si="20"/>
        <v>0</v>
      </c>
      <c r="AR38" s="17">
        <f t="shared" ca="1" si="20"/>
        <v>0</v>
      </c>
      <c r="AS38" s="17">
        <f t="shared" ca="1" si="20"/>
        <v>0</v>
      </c>
    </row>
    <row r="40" spans="2:45" x14ac:dyDescent="0.15">
      <c r="B40" s="1" t="s">
        <v>94</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row>
    <row r="41" spans="2:45" outlineLevel="1" x14ac:dyDescent="0.15"/>
    <row r="42" spans="2:45" outlineLevel="1" x14ac:dyDescent="0.15">
      <c r="B42" s="108" t="s">
        <v>430</v>
      </c>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row>
    <row r="43" spans="2:45" outlineLevel="1" x14ac:dyDescent="0.15"/>
    <row r="44" spans="2:45" outlineLevel="1" x14ac:dyDescent="0.15">
      <c r="B44" s="16" t="s">
        <v>270</v>
      </c>
      <c r="H44" s="16" t="s">
        <v>368</v>
      </c>
      <c r="J44" s="16" t="s">
        <v>333</v>
      </c>
    </row>
    <row r="45" spans="2:45" outlineLevel="1" x14ac:dyDescent="0.15">
      <c r="B45" s="107" t="str">
        <f>B31</f>
        <v>Fencing Equipment</v>
      </c>
      <c r="H45" s="4">
        <v>1</v>
      </c>
      <c r="J45" s="14">
        <f t="shared" ref="J45:AS45" si="21">J31</f>
        <v>10000</v>
      </c>
      <c r="K45" s="14">
        <f t="shared" si="21"/>
        <v>0</v>
      </c>
      <c r="L45" s="14">
        <f t="shared" si="21"/>
        <v>0</v>
      </c>
      <c r="M45" s="14">
        <f t="shared" si="21"/>
        <v>0</v>
      </c>
      <c r="N45" s="14">
        <f t="shared" si="21"/>
        <v>0</v>
      </c>
      <c r="O45" s="14">
        <f t="shared" si="21"/>
        <v>0</v>
      </c>
      <c r="P45" s="14">
        <f t="shared" si="21"/>
        <v>0</v>
      </c>
      <c r="Q45" s="14">
        <f t="shared" si="21"/>
        <v>0</v>
      </c>
      <c r="R45" s="14">
        <f t="shared" si="21"/>
        <v>0</v>
      </c>
      <c r="S45" s="14">
        <f t="shared" si="21"/>
        <v>0</v>
      </c>
      <c r="T45" s="14">
        <f t="shared" si="21"/>
        <v>0</v>
      </c>
      <c r="U45" s="14">
        <f t="shared" si="21"/>
        <v>0</v>
      </c>
      <c r="V45" s="14">
        <f t="shared" si="21"/>
        <v>0</v>
      </c>
      <c r="W45" s="14">
        <f t="shared" si="21"/>
        <v>0</v>
      </c>
      <c r="X45" s="14">
        <f t="shared" si="21"/>
        <v>0</v>
      </c>
      <c r="Y45" s="14">
        <f t="shared" si="21"/>
        <v>0</v>
      </c>
      <c r="Z45" s="14">
        <f t="shared" si="21"/>
        <v>0</v>
      </c>
      <c r="AA45" s="14">
        <f t="shared" si="21"/>
        <v>0</v>
      </c>
      <c r="AB45" s="14">
        <f t="shared" si="21"/>
        <v>0</v>
      </c>
      <c r="AC45" s="14">
        <f t="shared" si="21"/>
        <v>0</v>
      </c>
      <c r="AD45" s="14">
        <f t="shared" si="21"/>
        <v>0</v>
      </c>
      <c r="AE45" s="14">
        <f t="shared" si="21"/>
        <v>0</v>
      </c>
      <c r="AF45" s="14">
        <f t="shared" si="21"/>
        <v>0</v>
      </c>
      <c r="AG45" s="14">
        <f t="shared" si="21"/>
        <v>0</v>
      </c>
      <c r="AH45" s="14">
        <f t="shared" si="21"/>
        <v>0</v>
      </c>
      <c r="AI45" s="14">
        <f t="shared" si="21"/>
        <v>0</v>
      </c>
      <c r="AJ45" s="14">
        <f t="shared" si="21"/>
        <v>0</v>
      </c>
      <c r="AK45" s="14">
        <f t="shared" si="21"/>
        <v>0</v>
      </c>
      <c r="AL45" s="14">
        <f t="shared" si="21"/>
        <v>0</v>
      </c>
      <c r="AM45" s="14">
        <f t="shared" si="21"/>
        <v>0</v>
      </c>
      <c r="AN45" s="14">
        <f t="shared" si="21"/>
        <v>0</v>
      </c>
      <c r="AO45" s="14">
        <f t="shared" si="21"/>
        <v>0</v>
      </c>
      <c r="AP45" s="14">
        <f t="shared" si="21"/>
        <v>0</v>
      </c>
      <c r="AQ45" s="14">
        <f t="shared" si="21"/>
        <v>0</v>
      </c>
      <c r="AR45" s="14">
        <f t="shared" si="21"/>
        <v>0</v>
      </c>
      <c r="AS45" s="14">
        <f t="shared" si="21"/>
        <v>0</v>
      </c>
    </row>
    <row r="46" spans="2:45" outlineLevel="1" x14ac:dyDescent="0.15">
      <c r="B46" s="107" t="str">
        <f>B32</f>
        <v>Leashold Improvements</v>
      </c>
      <c r="H46" s="4">
        <v>2</v>
      </c>
      <c r="J46" s="14">
        <f t="shared" ref="J46:AS46" si="22">J32</f>
        <v>200000</v>
      </c>
      <c r="K46" s="14">
        <f t="shared" si="22"/>
        <v>0</v>
      </c>
      <c r="L46" s="14">
        <f t="shared" si="22"/>
        <v>0</v>
      </c>
      <c r="M46" s="14">
        <f t="shared" si="22"/>
        <v>0</v>
      </c>
      <c r="N46" s="14">
        <f t="shared" si="22"/>
        <v>0</v>
      </c>
      <c r="O46" s="14">
        <f t="shared" si="22"/>
        <v>0</v>
      </c>
      <c r="P46" s="14">
        <f t="shared" si="22"/>
        <v>0</v>
      </c>
      <c r="Q46" s="14">
        <f t="shared" si="22"/>
        <v>0</v>
      </c>
      <c r="R46" s="14">
        <f t="shared" si="22"/>
        <v>0</v>
      </c>
      <c r="S46" s="14">
        <f t="shared" si="22"/>
        <v>0</v>
      </c>
      <c r="T46" s="14">
        <f t="shared" si="22"/>
        <v>0</v>
      </c>
      <c r="U46" s="14">
        <f t="shared" si="22"/>
        <v>0</v>
      </c>
      <c r="V46" s="14">
        <f t="shared" si="22"/>
        <v>0</v>
      </c>
      <c r="W46" s="14">
        <f t="shared" si="22"/>
        <v>0</v>
      </c>
      <c r="X46" s="14">
        <f t="shared" si="22"/>
        <v>0</v>
      </c>
      <c r="Y46" s="14">
        <f t="shared" si="22"/>
        <v>0</v>
      </c>
      <c r="Z46" s="14">
        <f t="shared" si="22"/>
        <v>0</v>
      </c>
      <c r="AA46" s="14">
        <f t="shared" si="22"/>
        <v>0</v>
      </c>
      <c r="AB46" s="14">
        <f t="shared" si="22"/>
        <v>0</v>
      </c>
      <c r="AC46" s="14">
        <f t="shared" si="22"/>
        <v>0</v>
      </c>
      <c r="AD46" s="14">
        <f t="shared" si="22"/>
        <v>0</v>
      </c>
      <c r="AE46" s="14">
        <f t="shared" si="22"/>
        <v>0</v>
      </c>
      <c r="AF46" s="14">
        <f t="shared" si="22"/>
        <v>0</v>
      </c>
      <c r="AG46" s="14">
        <f t="shared" si="22"/>
        <v>0</v>
      </c>
      <c r="AH46" s="14">
        <f t="shared" si="22"/>
        <v>0</v>
      </c>
      <c r="AI46" s="14">
        <f t="shared" si="22"/>
        <v>0</v>
      </c>
      <c r="AJ46" s="14">
        <f t="shared" si="22"/>
        <v>0</v>
      </c>
      <c r="AK46" s="14">
        <f t="shared" si="22"/>
        <v>0</v>
      </c>
      <c r="AL46" s="14">
        <f t="shared" si="22"/>
        <v>0</v>
      </c>
      <c r="AM46" s="14">
        <f t="shared" si="22"/>
        <v>0</v>
      </c>
      <c r="AN46" s="14">
        <f t="shared" si="22"/>
        <v>0</v>
      </c>
      <c r="AO46" s="14">
        <f t="shared" si="22"/>
        <v>0</v>
      </c>
      <c r="AP46" s="14">
        <f t="shared" si="22"/>
        <v>0</v>
      </c>
      <c r="AQ46" s="14">
        <f t="shared" si="22"/>
        <v>0</v>
      </c>
      <c r="AR46" s="14">
        <f t="shared" si="22"/>
        <v>0</v>
      </c>
      <c r="AS46" s="14">
        <f t="shared" si="22"/>
        <v>0</v>
      </c>
    </row>
    <row r="47" spans="2:45" outlineLevel="1" x14ac:dyDescent="0.15">
      <c r="B47" s="16" t="s">
        <v>431</v>
      </c>
      <c r="J47" s="18">
        <f t="shared" ref="J47:AS47" si="23">SUM(J45:J46)</f>
        <v>210000</v>
      </c>
      <c r="K47" s="18">
        <f t="shared" si="23"/>
        <v>0</v>
      </c>
      <c r="L47" s="18">
        <f t="shared" si="23"/>
        <v>0</v>
      </c>
      <c r="M47" s="18">
        <f t="shared" si="23"/>
        <v>0</v>
      </c>
      <c r="N47" s="18">
        <f t="shared" si="23"/>
        <v>0</v>
      </c>
      <c r="O47" s="18">
        <f t="shared" si="23"/>
        <v>0</v>
      </c>
      <c r="P47" s="18">
        <f t="shared" si="23"/>
        <v>0</v>
      </c>
      <c r="Q47" s="18">
        <f t="shared" si="23"/>
        <v>0</v>
      </c>
      <c r="R47" s="18">
        <f t="shared" si="23"/>
        <v>0</v>
      </c>
      <c r="S47" s="18">
        <f t="shared" si="23"/>
        <v>0</v>
      </c>
      <c r="T47" s="18">
        <f t="shared" si="23"/>
        <v>0</v>
      </c>
      <c r="U47" s="18">
        <f t="shared" si="23"/>
        <v>0</v>
      </c>
      <c r="V47" s="18">
        <f t="shared" si="23"/>
        <v>0</v>
      </c>
      <c r="W47" s="18">
        <f t="shared" si="23"/>
        <v>0</v>
      </c>
      <c r="X47" s="18">
        <f t="shared" si="23"/>
        <v>0</v>
      </c>
      <c r="Y47" s="18">
        <f t="shared" si="23"/>
        <v>0</v>
      </c>
      <c r="Z47" s="18">
        <f t="shared" si="23"/>
        <v>0</v>
      </c>
      <c r="AA47" s="18">
        <f t="shared" si="23"/>
        <v>0</v>
      </c>
      <c r="AB47" s="18">
        <f t="shared" si="23"/>
        <v>0</v>
      </c>
      <c r="AC47" s="18">
        <f t="shared" si="23"/>
        <v>0</v>
      </c>
      <c r="AD47" s="18">
        <f t="shared" si="23"/>
        <v>0</v>
      </c>
      <c r="AE47" s="18">
        <f t="shared" si="23"/>
        <v>0</v>
      </c>
      <c r="AF47" s="18">
        <f t="shared" si="23"/>
        <v>0</v>
      </c>
      <c r="AG47" s="18">
        <f t="shared" si="23"/>
        <v>0</v>
      </c>
      <c r="AH47" s="18">
        <f t="shared" si="23"/>
        <v>0</v>
      </c>
      <c r="AI47" s="18">
        <f t="shared" si="23"/>
        <v>0</v>
      </c>
      <c r="AJ47" s="18">
        <f t="shared" si="23"/>
        <v>0</v>
      </c>
      <c r="AK47" s="18">
        <f t="shared" si="23"/>
        <v>0</v>
      </c>
      <c r="AL47" s="18">
        <f t="shared" si="23"/>
        <v>0</v>
      </c>
      <c r="AM47" s="18">
        <f t="shared" si="23"/>
        <v>0</v>
      </c>
      <c r="AN47" s="18">
        <f t="shared" si="23"/>
        <v>0</v>
      </c>
      <c r="AO47" s="18">
        <f t="shared" si="23"/>
        <v>0</v>
      </c>
      <c r="AP47" s="18">
        <f t="shared" si="23"/>
        <v>0</v>
      </c>
      <c r="AQ47" s="18">
        <f t="shared" si="23"/>
        <v>0</v>
      </c>
      <c r="AR47" s="18">
        <f t="shared" si="23"/>
        <v>0</v>
      </c>
      <c r="AS47" s="18">
        <f t="shared" si="23"/>
        <v>0</v>
      </c>
    </row>
    <row r="48" spans="2:45" outlineLevel="1" x14ac:dyDescent="0.15"/>
    <row r="49" spans="2:45" outlineLevel="1" x14ac:dyDescent="0.15">
      <c r="B49" s="108" t="s">
        <v>369</v>
      </c>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row>
    <row r="50" spans="2:45" outlineLevel="1" x14ac:dyDescent="0.15"/>
    <row r="51" spans="2:45" outlineLevel="1" x14ac:dyDescent="0.15">
      <c r="B51" s="16" t="str">
        <f>OBS!B19</f>
        <v>Fencing Equipment</v>
      </c>
      <c r="I51" s="70" t="s">
        <v>432</v>
      </c>
    </row>
    <row r="52" spans="2:45" outlineLevel="1" x14ac:dyDescent="0.15">
      <c r="B52" s="107" t="s">
        <v>433</v>
      </c>
      <c r="I52" s="169">
        <v>6</v>
      </c>
      <c r="J52" s="14">
        <f>IF(J$8=1,OBS!J19,I58)</f>
        <v>0</v>
      </c>
      <c r="K52" s="14">
        <f ca="1">IF(K$8=1,OBS!K19,J58)</f>
        <v>9930.5555555555547</v>
      </c>
      <c r="L52" s="14">
        <f ca="1">IF(L$8=1,OBS!L19,K58)</f>
        <v>9791.6666666666661</v>
      </c>
      <c r="M52" s="14">
        <f ca="1">IF(M$8=1,OBS!M19,L58)</f>
        <v>9652.7777777777774</v>
      </c>
      <c r="N52" s="14">
        <f ca="1">IF(N$8=1,OBS!N19,M58)</f>
        <v>9513.8888888888887</v>
      </c>
      <c r="O52" s="14">
        <f ca="1">IF(O$8=1,OBS!O19,N58)</f>
        <v>9375</v>
      </c>
      <c r="P52" s="14">
        <f ca="1">IF(P$8=1,OBS!P19,O58)</f>
        <v>9236.1111111111113</v>
      </c>
      <c r="Q52" s="14">
        <f ca="1">IF(Q$8=1,OBS!Q19,P58)</f>
        <v>9097.2222222222226</v>
      </c>
      <c r="R52" s="14">
        <f ca="1">IF(R$8=1,OBS!R19,Q58)</f>
        <v>8958.3333333333339</v>
      </c>
      <c r="S52" s="14">
        <f ca="1">IF(S$8=1,OBS!S19,R58)</f>
        <v>8819.4444444444453</v>
      </c>
      <c r="T52" s="14">
        <f ca="1">IF(T$8=1,OBS!T19,S58)</f>
        <v>8680.5555555555566</v>
      </c>
      <c r="U52" s="14">
        <f ca="1">IF(U$8=1,OBS!U19,T58)</f>
        <v>8541.6666666666679</v>
      </c>
      <c r="V52" s="14">
        <f ca="1">IF(V$8=1,OBS!V19,U58)</f>
        <v>8402.7777777777792</v>
      </c>
      <c r="W52" s="14">
        <f ca="1">IF(W$8=1,OBS!W19,V58)</f>
        <v>8263.8888888888905</v>
      </c>
      <c r="X52" s="14">
        <f ca="1">IF(X$8=1,OBS!X19,W58)</f>
        <v>8125.0000000000018</v>
      </c>
      <c r="Y52" s="14">
        <f ca="1">IF(Y$8=1,OBS!Y19,X58)</f>
        <v>7986.1111111111131</v>
      </c>
      <c r="Z52" s="14">
        <f ca="1">IF(Z$8=1,OBS!Z19,Y58)</f>
        <v>7847.2222222222244</v>
      </c>
      <c r="AA52" s="14">
        <f ca="1">IF(AA$8=1,OBS!AA19,Z58)</f>
        <v>7708.3333333333358</v>
      </c>
      <c r="AB52" s="14">
        <f ca="1">IF(AB$8=1,OBS!AB19,AA58)</f>
        <v>7569.4444444444471</v>
      </c>
      <c r="AC52" s="14">
        <f ca="1">IF(AC$8=1,OBS!AC19,AB58)</f>
        <v>7430.5555555555584</v>
      </c>
      <c r="AD52" s="14">
        <f ca="1">IF(AD$8=1,OBS!AD19,AC58)</f>
        <v>7291.6666666666697</v>
      </c>
      <c r="AE52" s="14">
        <f ca="1">IF(AE$8=1,OBS!AE19,AD58)</f>
        <v>7152.777777777781</v>
      </c>
      <c r="AF52" s="14">
        <f ca="1">IF(AF$8=1,OBS!AF19,AE58)</f>
        <v>7013.8888888888923</v>
      </c>
      <c r="AG52" s="14">
        <f ca="1">IF(AG$8=1,OBS!AG19,AF58)</f>
        <v>6875.0000000000036</v>
      </c>
      <c r="AH52" s="14">
        <f ca="1">IF(AH$8=1,OBS!AH19,AG58)</f>
        <v>6736.111111111115</v>
      </c>
      <c r="AI52" s="14">
        <f ca="1">IF(AI$8=1,OBS!AI19,AH58)</f>
        <v>6597.2222222222263</v>
      </c>
      <c r="AJ52" s="14">
        <f ca="1">IF(AJ$8=1,OBS!AJ19,AI58)</f>
        <v>6458.3333333333376</v>
      </c>
      <c r="AK52" s="14">
        <f ca="1">IF(AK$8=1,OBS!AK19,AJ58)</f>
        <v>6319.4444444444489</v>
      </c>
      <c r="AL52" s="14">
        <f ca="1">IF(AL$8=1,OBS!AL19,AK58)</f>
        <v>6180.5555555555602</v>
      </c>
      <c r="AM52" s="14">
        <f ca="1">IF(AM$8=1,OBS!AM19,AL58)</f>
        <v>6041.6666666666715</v>
      </c>
      <c r="AN52" s="14">
        <f ca="1">IF(AN$8=1,OBS!AN19,AM58)</f>
        <v>5902.7777777777828</v>
      </c>
      <c r="AO52" s="14">
        <f ca="1">IF(AO$8=1,OBS!AO19,AN58)</f>
        <v>5763.8888888888941</v>
      </c>
      <c r="AP52" s="14">
        <f ca="1">IF(AP$8=1,OBS!AP19,AO58)</f>
        <v>5625.0000000000055</v>
      </c>
      <c r="AQ52" s="14">
        <f ca="1">IF(AQ$8=1,OBS!AQ19,AP58)</f>
        <v>5486.1111111111168</v>
      </c>
      <c r="AR52" s="14">
        <f ca="1">IF(AR$8=1,OBS!AR19,AQ58)</f>
        <v>5347.2222222222281</v>
      </c>
      <c r="AS52" s="14">
        <f ca="1">IF(AS$8=1,OBS!AS19,AR58)</f>
        <v>5208.3333333333394</v>
      </c>
    </row>
    <row r="53" spans="2:45" outlineLevel="1" x14ac:dyDescent="0.15">
      <c r="B53" s="107" t="s">
        <v>270</v>
      </c>
      <c r="I53" s="169">
        <v>6</v>
      </c>
      <c r="J53" s="14">
        <f>SUMIF($H$45:$H$46,ROWS(Lookups!$D$146:$D146),J$45:J$46)</f>
        <v>10000</v>
      </c>
      <c r="K53" s="14">
        <f>SUMIF($H$45:$H$46,ROWS(Lookups!$D$146:$D146),K$45:K$46)</f>
        <v>0</v>
      </c>
      <c r="L53" s="14">
        <f>SUMIF($H$45:$H$46,ROWS(Lookups!$D$146:$D146),L$45:L$46)</f>
        <v>0</v>
      </c>
      <c r="M53" s="14">
        <f>SUMIF($H$45:$H$46,ROWS(Lookups!$D$146:$D146),M$45:M$46)</f>
        <v>0</v>
      </c>
      <c r="N53" s="14">
        <f>SUMIF($H$45:$H$46,ROWS(Lookups!$D$146:$D146),N$45:N$46)</f>
        <v>0</v>
      </c>
      <c r="O53" s="14">
        <f>SUMIF($H$45:$H$46,ROWS(Lookups!$D$146:$D146),O$45:O$46)</f>
        <v>0</v>
      </c>
      <c r="P53" s="14">
        <f>SUMIF($H$45:$H$46,ROWS(Lookups!$D$146:$D146),P$45:P$46)</f>
        <v>0</v>
      </c>
      <c r="Q53" s="14">
        <f>SUMIF($H$45:$H$46,ROWS(Lookups!$D$146:$D146),Q$45:Q$46)</f>
        <v>0</v>
      </c>
      <c r="R53" s="14">
        <f>SUMIF($H$45:$H$46,ROWS(Lookups!$D$146:$D146),R$45:R$46)</f>
        <v>0</v>
      </c>
      <c r="S53" s="14">
        <f>SUMIF($H$45:$H$46,ROWS(Lookups!$D$146:$D146),S$45:S$46)</f>
        <v>0</v>
      </c>
      <c r="T53" s="14">
        <f>SUMIF($H$45:$H$46,ROWS(Lookups!$D$146:$D146),T$45:T$46)</f>
        <v>0</v>
      </c>
      <c r="U53" s="14">
        <f>SUMIF($H$45:$H$46,ROWS(Lookups!$D$146:$D146),U$45:U$46)</f>
        <v>0</v>
      </c>
      <c r="V53" s="14">
        <f>SUMIF($H$45:$H$46,ROWS(Lookups!$D$146:$D146),V$45:V$46)</f>
        <v>0</v>
      </c>
      <c r="W53" s="14">
        <f>SUMIF($H$45:$H$46,ROWS(Lookups!$D$146:$D146),W$45:W$46)</f>
        <v>0</v>
      </c>
      <c r="X53" s="14">
        <f>SUMIF($H$45:$H$46,ROWS(Lookups!$D$146:$D146),X$45:X$46)</f>
        <v>0</v>
      </c>
      <c r="Y53" s="14">
        <f>SUMIF($H$45:$H$46,ROWS(Lookups!$D$146:$D146),Y$45:Y$46)</f>
        <v>0</v>
      </c>
      <c r="Z53" s="14">
        <f>SUMIF($H$45:$H$46,ROWS(Lookups!$D$146:$D146),Z$45:Z$46)</f>
        <v>0</v>
      </c>
      <c r="AA53" s="14">
        <f>SUMIF($H$45:$H$46,ROWS(Lookups!$D$146:$D146),AA$45:AA$46)</f>
        <v>0</v>
      </c>
      <c r="AB53" s="14">
        <f>SUMIF($H$45:$H$46,ROWS(Lookups!$D$146:$D146),AB$45:AB$46)</f>
        <v>0</v>
      </c>
      <c r="AC53" s="14">
        <f>SUMIF($H$45:$H$46,ROWS(Lookups!$D$146:$D146),AC$45:AC$46)</f>
        <v>0</v>
      </c>
      <c r="AD53" s="14">
        <f>SUMIF($H$45:$H$46,ROWS(Lookups!$D$146:$D146),AD$45:AD$46)</f>
        <v>0</v>
      </c>
      <c r="AE53" s="14">
        <f>SUMIF($H$45:$H$46,ROWS(Lookups!$D$146:$D146),AE$45:AE$46)</f>
        <v>0</v>
      </c>
      <c r="AF53" s="14">
        <f>SUMIF($H$45:$H$46,ROWS(Lookups!$D$146:$D146),AF$45:AF$46)</f>
        <v>0</v>
      </c>
      <c r="AG53" s="14">
        <f>SUMIF($H$45:$H$46,ROWS(Lookups!$D$146:$D146),AG$45:AG$46)</f>
        <v>0</v>
      </c>
      <c r="AH53" s="14">
        <f>SUMIF($H$45:$H$46,ROWS(Lookups!$D$146:$D146),AH$45:AH$46)</f>
        <v>0</v>
      </c>
      <c r="AI53" s="14">
        <f>SUMIF($H$45:$H$46,ROWS(Lookups!$D$146:$D146),AI$45:AI$46)</f>
        <v>0</v>
      </c>
      <c r="AJ53" s="14">
        <f>SUMIF($H$45:$H$46,ROWS(Lookups!$D$146:$D146),AJ$45:AJ$46)</f>
        <v>0</v>
      </c>
      <c r="AK53" s="14">
        <f>SUMIF($H$45:$H$46,ROWS(Lookups!$D$146:$D146),AK$45:AK$46)</f>
        <v>0</v>
      </c>
      <c r="AL53" s="14">
        <f>SUMIF($H$45:$H$46,ROWS(Lookups!$D$146:$D146),AL$45:AL$46)</f>
        <v>0</v>
      </c>
      <c r="AM53" s="14">
        <f>SUMIF($H$45:$H$46,ROWS(Lookups!$D$146:$D146),AM$45:AM$46)</f>
        <v>0</v>
      </c>
      <c r="AN53" s="14">
        <f>SUMIF($H$45:$H$46,ROWS(Lookups!$D$146:$D146),AN$45:AN$46)</f>
        <v>0</v>
      </c>
      <c r="AO53" s="14">
        <f>SUMIF($H$45:$H$46,ROWS(Lookups!$D$146:$D146),AO$45:AO$46)</f>
        <v>0</v>
      </c>
      <c r="AP53" s="14">
        <f>SUMIF($H$45:$H$46,ROWS(Lookups!$D$146:$D146),AP$45:AP$46)</f>
        <v>0</v>
      </c>
      <c r="AQ53" s="14">
        <f>SUMIF($H$45:$H$46,ROWS(Lookups!$D$146:$D146),AQ$45:AQ$46)</f>
        <v>0</v>
      </c>
      <c r="AR53" s="14">
        <f>SUMIF($H$45:$H$46,ROWS(Lookups!$D$146:$D146),AR$45:AR$46)</f>
        <v>0</v>
      </c>
      <c r="AS53" s="14">
        <f>SUMIF($H$45:$H$46,ROWS(Lookups!$D$146:$D146),AS$45:AS$46)</f>
        <v>0</v>
      </c>
    </row>
    <row r="54" spans="2:45" hidden="1" outlineLevel="2" x14ac:dyDescent="0.15">
      <c r="C54" s="107" t="s">
        <v>434</v>
      </c>
      <c r="J54" s="43">
        <f>IF($I52=0,0,MIN(1-SUM($I54:I54),1/$I52/Ts_Mths_In_Yr))</f>
        <v>1.3888888888888888E-2</v>
      </c>
      <c r="K54" s="43">
        <f>IF($I52=0,0,MIN(1-SUM($I54:J54),1/$I52/Ts_Mths_In_Yr))</f>
        <v>1.3888888888888888E-2</v>
      </c>
      <c r="L54" s="43">
        <f>IF($I52=0,0,MIN(1-SUM($I54:K54),1/$I52/Ts_Mths_In_Yr))</f>
        <v>1.3888888888888888E-2</v>
      </c>
      <c r="M54" s="43">
        <f>IF($I52=0,0,MIN(1-SUM($I54:L54),1/$I52/Ts_Mths_In_Yr))</f>
        <v>1.3888888888888888E-2</v>
      </c>
      <c r="N54" s="43">
        <f>IF($I52=0,0,MIN(1-SUM($I54:M54),1/$I52/Ts_Mths_In_Yr))</f>
        <v>1.3888888888888888E-2</v>
      </c>
      <c r="O54" s="43">
        <f>IF($I52=0,0,MIN(1-SUM($I54:N54),1/$I52/Ts_Mths_In_Yr))</f>
        <v>1.3888888888888888E-2</v>
      </c>
      <c r="P54" s="43">
        <f>IF($I52=0,0,MIN(1-SUM($I54:O54),1/$I52/Ts_Mths_In_Yr))</f>
        <v>1.3888888888888888E-2</v>
      </c>
      <c r="Q54" s="43">
        <f>IF($I52=0,0,MIN(1-SUM($I54:P54),1/$I52/Ts_Mths_In_Yr))</f>
        <v>1.3888888888888888E-2</v>
      </c>
      <c r="R54" s="43">
        <f>IF($I52=0,0,MIN(1-SUM($I54:Q54),1/$I52/Ts_Mths_In_Yr))</f>
        <v>1.3888888888888888E-2</v>
      </c>
      <c r="S54" s="43">
        <f>IF($I52=0,0,MIN(1-SUM($I54:R54),1/$I52/Ts_Mths_In_Yr))</f>
        <v>1.3888888888888888E-2</v>
      </c>
      <c r="T54" s="43">
        <f>IF($I52=0,0,MIN(1-SUM($I54:S54),1/$I52/Ts_Mths_In_Yr))</f>
        <v>1.3888888888888888E-2</v>
      </c>
      <c r="U54" s="43">
        <f>IF($I52=0,0,MIN(1-SUM($I54:T54),1/$I52/Ts_Mths_In_Yr))</f>
        <v>1.3888888888888888E-2</v>
      </c>
      <c r="V54" s="43">
        <f>IF($I52=0,0,MIN(1-SUM($I54:U54),1/$I52/Ts_Mths_In_Yr))</f>
        <v>1.3888888888888888E-2</v>
      </c>
      <c r="W54" s="43">
        <f>IF($I52=0,0,MIN(1-SUM($I54:V54),1/$I52/Ts_Mths_In_Yr))</f>
        <v>1.3888888888888888E-2</v>
      </c>
      <c r="X54" s="43">
        <f>IF($I52=0,0,MIN(1-SUM($I54:W54),1/$I52/Ts_Mths_In_Yr))</f>
        <v>1.3888888888888888E-2</v>
      </c>
      <c r="Y54" s="43">
        <f>IF($I52=0,0,MIN(1-SUM($I54:X54),1/$I52/Ts_Mths_In_Yr))</f>
        <v>1.3888888888888888E-2</v>
      </c>
      <c r="Z54" s="43">
        <f>IF($I52=0,0,MIN(1-SUM($I54:Y54),1/$I52/Ts_Mths_In_Yr))</f>
        <v>1.3888888888888888E-2</v>
      </c>
      <c r="AA54" s="43">
        <f>IF($I52=0,0,MIN(1-SUM($I54:Z54),1/$I52/Ts_Mths_In_Yr))</f>
        <v>1.3888888888888888E-2</v>
      </c>
      <c r="AB54" s="43">
        <f>IF($I52=0,0,MIN(1-SUM($I54:AA54),1/$I52/Ts_Mths_In_Yr))</f>
        <v>1.3888888888888888E-2</v>
      </c>
      <c r="AC54" s="43">
        <f>IF($I52=0,0,MIN(1-SUM($I54:AB54),1/$I52/Ts_Mths_In_Yr))</f>
        <v>1.3888888888888888E-2</v>
      </c>
      <c r="AD54" s="43">
        <f>IF($I52=0,0,MIN(1-SUM($I54:AC54),1/$I52/Ts_Mths_In_Yr))</f>
        <v>1.3888888888888888E-2</v>
      </c>
      <c r="AE54" s="43">
        <f>IF($I52=0,0,MIN(1-SUM($I54:AD54),1/$I52/Ts_Mths_In_Yr))</f>
        <v>1.3888888888888888E-2</v>
      </c>
      <c r="AF54" s="43">
        <f>IF($I52=0,0,MIN(1-SUM($I54:AE54),1/$I52/Ts_Mths_In_Yr))</f>
        <v>1.3888888888888888E-2</v>
      </c>
      <c r="AG54" s="43">
        <f>IF($I52=0,0,MIN(1-SUM($I54:AF54),1/$I52/Ts_Mths_In_Yr))</f>
        <v>1.3888888888888888E-2</v>
      </c>
      <c r="AH54" s="43">
        <f>IF($I52=0,0,MIN(1-SUM($I54:AG54),1/$I52/Ts_Mths_In_Yr))</f>
        <v>1.3888888888888888E-2</v>
      </c>
      <c r="AI54" s="43">
        <f>IF($I52=0,0,MIN(1-SUM($I54:AH54),1/$I52/Ts_Mths_In_Yr))</f>
        <v>1.3888888888888888E-2</v>
      </c>
      <c r="AJ54" s="43">
        <f>IF($I52=0,0,MIN(1-SUM($I54:AI54),1/$I52/Ts_Mths_In_Yr))</f>
        <v>1.3888888888888888E-2</v>
      </c>
      <c r="AK54" s="43">
        <f>IF($I52=0,0,MIN(1-SUM($I54:AJ54),1/$I52/Ts_Mths_In_Yr))</f>
        <v>1.3888888888888888E-2</v>
      </c>
      <c r="AL54" s="43">
        <f>IF($I52=0,0,MIN(1-SUM($I54:AK54),1/$I52/Ts_Mths_In_Yr))</f>
        <v>1.3888888888888888E-2</v>
      </c>
      <c r="AM54" s="43">
        <f>IF($I52=0,0,MIN(1-SUM($I54:AL54),1/$I52/Ts_Mths_In_Yr))</f>
        <v>1.3888888888888888E-2</v>
      </c>
      <c r="AN54" s="43">
        <f>IF($I52=0,0,MIN(1-SUM($I54:AM54),1/$I52/Ts_Mths_In_Yr))</f>
        <v>1.3888888888888888E-2</v>
      </c>
      <c r="AO54" s="43">
        <f>IF($I52=0,0,MIN(1-SUM($I54:AN54),1/$I52/Ts_Mths_In_Yr))</f>
        <v>1.3888888888888888E-2</v>
      </c>
      <c r="AP54" s="43">
        <f>IF($I52=0,0,MIN(1-SUM($I54:AO54),1/$I52/Ts_Mths_In_Yr))</f>
        <v>1.3888888888888888E-2</v>
      </c>
      <c r="AQ54" s="43">
        <f>IF($I52=0,0,MIN(1-SUM($I54:AP54),1/$I52/Ts_Mths_In_Yr))</f>
        <v>1.3888888888888888E-2</v>
      </c>
      <c r="AR54" s="43">
        <f>IF($I52=0,0,MIN(1-SUM($I54:AQ54),1/$I52/Ts_Mths_In_Yr))</f>
        <v>1.3888888888888888E-2</v>
      </c>
      <c r="AS54" s="43">
        <f>IF($I52=0,0,MIN(1-SUM($I54:AR54),1/$I52/Ts_Mths_In_Yr))</f>
        <v>1.3888888888888888E-2</v>
      </c>
    </row>
    <row r="55" spans="2:45" hidden="1" outlineLevel="2" x14ac:dyDescent="0.15">
      <c r="C55" s="107" t="s">
        <v>435</v>
      </c>
      <c r="J55" s="43">
        <f>IF($I53=0,0,MIN(1-SUM($I55:I55),1/$I53/Ts_Mths_In_Yr*IF(J$8=1,0.5,1)))</f>
        <v>6.9444444444444441E-3</v>
      </c>
      <c r="K55" s="43">
        <f>IF($I53=0,0,MIN(1-SUM($I55:J55),1/$I53/Ts_Mths_In_Yr*IF(K$8=1,0.5,1)))</f>
        <v>1.3888888888888888E-2</v>
      </c>
      <c r="L55" s="43">
        <f>IF($I53=0,0,MIN(1-SUM($I55:K55),1/$I53/Ts_Mths_In_Yr*IF(L$8=1,0.5,1)))</f>
        <v>1.3888888888888888E-2</v>
      </c>
      <c r="M55" s="43">
        <f>IF($I53=0,0,MIN(1-SUM($I55:L55),1/$I53/Ts_Mths_In_Yr*IF(M$8=1,0.5,1)))</f>
        <v>1.3888888888888888E-2</v>
      </c>
      <c r="N55" s="43">
        <f>IF($I53=0,0,MIN(1-SUM($I55:M55),1/$I53/Ts_Mths_In_Yr*IF(N$8=1,0.5,1)))</f>
        <v>1.3888888888888888E-2</v>
      </c>
      <c r="O55" s="43">
        <f>IF($I53=0,0,MIN(1-SUM($I55:N55),1/$I53/Ts_Mths_In_Yr*IF(O$8=1,0.5,1)))</f>
        <v>1.3888888888888888E-2</v>
      </c>
      <c r="P55" s="43">
        <f>IF($I53=0,0,MIN(1-SUM($I55:O55),1/$I53/Ts_Mths_In_Yr*IF(P$8=1,0.5,1)))</f>
        <v>1.3888888888888888E-2</v>
      </c>
      <c r="Q55" s="43">
        <f>IF($I53=0,0,MIN(1-SUM($I55:P55),1/$I53/Ts_Mths_In_Yr*IF(Q$8=1,0.5,1)))</f>
        <v>1.3888888888888888E-2</v>
      </c>
      <c r="R55" s="43">
        <f>IF($I53=0,0,MIN(1-SUM($I55:Q55),1/$I53/Ts_Mths_In_Yr*IF(R$8=1,0.5,1)))</f>
        <v>1.3888888888888888E-2</v>
      </c>
      <c r="S55" s="43">
        <f>IF($I53=0,0,MIN(1-SUM($I55:R55),1/$I53/Ts_Mths_In_Yr*IF(S$8=1,0.5,1)))</f>
        <v>1.3888888888888888E-2</v>
      </c>
      <c r="T55" s="43">
        <f>IF($I53=0,0,MIN(1-SUM($I55:S55),1/$I53/Ts_Mths_In_Yr*IF(T$8=1,0.5,1)))</f>
        <v>1.3888888888888888E-2</v>
      </c>
      <c r="U55" s="43">
        <f>IF($I53=0,0,MIN(1-SUM($I55:T55),1/$I53/Ts_Mths_In_Yr*IF(U$8=1,0.5,1)))</f>
        <v>1.3888888888888888E-2</v>
      </c>
      <c r="V55" s="43">
        <f>IF($I53=0,0,MIN(1-SUM($I55:U55),1/$I53/Ts_Mths_In_Yr*IF(V$8=1,0.5,1)))</f>
        <v>1.3888888888888888E-2</v>
      </c>
      <c r="W55" s="43">
        <f>IF($I53=0,0,MIN(1-SUM($I55:V55),1/$I53/Ts_Mths_In_Yr*IF(W$8=1,0.5,1)))</f>
        <v>1.3888888888888888E-2</v>
      </c>
      <c r="X55" s="43">
        <f>IF($I53=0,0,MIN(1-SUM($I55:W55),1/$I53/Ts_Mths_In_Yr*IF(X$8=1,0.5,1)))</f>
        <v>1.3888888888888888E-2</v>
      </c>
      <c r="Y55" s="43">
        <f>IF($I53=0,0,MIN(1-SUM($I55:X55),1/$I53/Ts_Mths_In_Yr*IF(Y$8=1,0.5,1)))</f>
        <v>1.3888888888888888E-2</v>
      </c>
      <c r="Z55" s="43">
        <f>IF($I53=0,0,MIN(1-SUM($I55:Y55),1/$I53/Ts_Mths_In_Yr*IF(Z$8=1,0.5,1)))</f>
        <v>1.3888888888888888E-2</v>
      </c>
      <c r="AA55" s="43">
        <f>IF($I53=0,0,MIN(1-SUM($I55:Z55),1/$I53/Ts_Mths_In_Yr*IF(AA$8=1,0.5,1)))</f>
        <v>1.3888888888888888E-2</v>
      </c>
      <c r="AB55" s="43">
        <f>IF($I53=0,0,MIN(1-SUM($I55:AA55),1/$I53/Ts_Mths_In_Yr*IF(AB$8=1,0.5,1)))</f>
        <v>1.3888888888888888E-2</v>
      </c>
      <c r="AC55" s="43">
        <f>IF($I53=0,0,MIN(1-SUM($I55:AB55),1/$I53/Ts_Mths_In_Yr*IF(AC$8=1,0.5,1)))</f>
        <v>1.3888888888888888E-2</v>
      </c>
      <c r="AD55" s="43">
        <f>IF($I53=0,0,MIN(1-SUM($I55:AC55),1/$I53/Ts_Mths_In_Yr*IF(AD$8=1,0.5,1)))</f>
        <v>1.3888888888888888E-2</v>
      </c>
      <c r="AE55" s="43">
        <f>IF($I53=0,0,MIN(1-SUM($I55:AD55),1/$I53/Ts_Mths_In_Yr*IF(AE$8=1,0.5,1)))</f>
        <v>1.3888888888888888E-2</v>
      </c>
      <c r="AF55" s="43">
        <f>IF($I53=0,0,MIN(1-SUM($I55:AE55),1/$I53/Ts_Mths_In_Yr*IF(AF$8=1,0.5,1)))</f>
        <v>1.3888888888888888E-2</v>
      </c>
      <c r="AG55" s="43">
        <f>IF($I53=0,0,MIN(1-SUM($I55:AF55),1/$I53/Ts_Mths_In_Yr*IF(AG$8=1,0.5,1)))</f>
        <v>1.3888888888888888E-2</v>
      </c>
      <c r="AH55" s="43">
        <f>IF($I53=0,0,MIN(1-SUM($I55:AG55),1/$I53/Ts_Mths_In_Yr*IF(AH$8=1,0.5,1)))</f>
        <v>1.3888888888888888E-2</v>
      </c>
      <c r="AI55" s="43">
        <f>IF($I53=0,0,MIN(1-SUM($I55:AH55),1/$I53/Ts_Mths_In_Yr*IF(AI$8=1,0.5,1)))</f>
        <v>1.3888888888888888E-2</v>
      </c>
      <c r="AJ55" s="43">
        <f>IF($I53=0,0,MIN(1-SUM($I55:AI55),1/$I53/Ts_Mths_In_Yr*IF(AJ$8=1,0.5,1)))</f>
        <v>1.3888888888888888E-2</v>
      </c>
      <c r="AK55" s="43">
        <f>IF($I53=0,0,MIN(1-SUM($I55:AJ55),1/$I53/Ts_Mths_In_Yr*IF(AK$8=1,0.5,1)))</f>
        <v>1.3888888888888888E-2</v>
      </c>
      <c r="AL55" s="43">
        <f>IF($I53=0,0,MIN(1-SUM($I55:AK55),1/$I53/Ts_Mths_In_Yr*IF(AL$8=1,0.5,1)))</f>
        <v>1.3888888888888888E-2</v>
      </c>
      <c r="AM55" s="43">
        <f>IF($I53=0,0,MIN(1-SUM($I55:AL55),1/$I53/Ts_Mths_In_Yr*IF(AM$8=1,0.5,1)))</f>
        <v>1.3888888888888888E-2</v>
      </c>
      <c r="AN55" s="43">
        <f>IF($I53=0,0,MIN(1-SUM($I55:AM55),1/$I53/Ts_Mths_In_Yr*IF(AN$8=1,0.5,1)))</f>
        <v>1.3888888888888888E-2</v>
      </c>
      <c r="AO55" s="43">
        <f>IF($I53=0,0,MIN(1-SUM($I55:AN55),1/$I53/Ts_Mths_In_Yr*IF(AO$8=1,0.5,1)))</f>
        <v>1.3888888888888888E-2</v>
      </c>
      <c r="AP55" s="43">
        <f>IF($I53=0,0,MIN(1-SUM($I55:AO55),1/$I53/Ts_Mths_In_Yr*IF(AP$8=1,0.5,1)))</f>
        <v>1.3888888888888888E-2</v>
      </c>
      <c r="AQ55" s="43">
        <f>IF($I53=0,0,MIN(1-SUM($I55:AP55),1/$I53/Ts_Mths_In_Yr*IF(AQ$8=1,0.5,1)))</f>
        <v>1.3888888888888888E-2</v>
      </c>
      <c r="AR55" s="43">
        <f>IF($I53=0,0,MIN(1-SUM($I55:AQ55),1/$I53/Ts_Mths_In_Yr*IF(AR$8=1,0.5,1)))</f>
        <v>1.3888888888888888E-2</v>
      </c>
      <c r="AS55" s="43">
        <f>IF($I53=0,0,MIN(1-SUM($I55:AR55),1/$I53/Ts_Mths_In_Yr*IF(AS$8=1,0.5,1)))</f>
        <v>1.3888888888888888E-2</v>
      </c>
    </row>
    <row r="56" spans="2:45" hidden="1" outlineLevel="2" x14ac:dyDescent="0.15">
      <c r="C56" s="107" t="s">
        <v>436</v>
      </c>
      <c r="J56" s="45">
        <f t="shared" ref="J56:AS56" ca="1" si="24">OFFSET($AS55,0,1-J$8)</f>
        <v>1.3888888888888888E-2</v>
      </c>
      <c r="K56" s="45">
        <f t="shared" ca="1" si="24"/>
        <v>1.3888888888888888E-2</v>
      </c>
      <c r="L56" s="45">
        <f t="shared" ca="1" si="24"/>
        <v>1.3888888888888888E-2</v>
      </c>
      <c r="M56" s="45">
        <f t="shared" ca="1" si="24"/>
        <v>1.3888888888888888E-2</v>
      </c>
      <c r="N56" s="45">
        <f t="shared" ca="1" si="24"/>
        <v>1.3888888888888888E-2</v>
      </c>
      <c r="O56" s="45">
        <f t="shared" ca="1" si="24"/>
        <v>1.3888888888888888E-2</v>
      </c>
      <c r="P56" s="45">
        <f t="shared" ca="1" si="24"/>
        <v>1.3888888888888888E-2</v>
      </c>
      <c r="Q56" s="45">
        <f t="shared" ca="1" si="24"/>
        <v>1.3888888888888888E-2</v>
      </c>
      <c r="R56" s="45">
        <f t="shared" ca="1" si="24"/>
        <v>1.3888888888888888E-2</v>
      </c>
      <c r="S56" s="45">
        <f t="shared" ca="1" si="24"/>
        <v>1.3888888888888888E-2</v>
      </c>
      <c r="T56" s="45">
        <f t="shared" ca="1" si="24"/>
        <v>1.3888888888888888E-2</v>
      </c>
      <c r="U56" s="45">
        <f t="shared" ca="1" si="24"/>
        <v>1.3888888888888888E-2</v>
      </c>
      <c r="V56" s="45">
        <f t="shared" ca="1" si="24"/>
        <v>1.3888888888888888E-2</v>
      </c>
      <c r="W56" s="45">
        <f t="shared" ca="1" si="24"/>
        <v>1.3888888888888888E-2</v>
      </c>
      <c r="X56" s="45">
        <f t="shared" ca="1" si="24"/>
        <v>1.3888888888888888E-2</v>
      </c>
      <c r="Y56" s="45">
        <f t="shared" ca="1" si="24"/>
        <v>1.3888888888888888E-2</v>
      </c>
      <c r="Z56" s="45">
        <f t="shared" ca="1" si="24"/>
        <v>1.3888888888888888E-2</v>
      </c>
      <c r="AA56" s="45">
        <f t="shared" ca="1" si="24"/>
        <v>1.3888888888888888E-2</v>
      </c>
      <c r="AB56" s="45">
        <f t="shared" ca="1" si="24"/>
        <v>1.3888888888888888E-2</v>
      </c>
      <c r="AC56" s="45">
        <f t="shared" ca="1" si="24"/>
        <v>1.3888888888888888E-2</v>
      </c>
      <c r="AD56" s="45">
        <f t="shared" ca="1" si="24"/>
        <v>1.3888888888888888E-2</v>
      </c>
      <c r="AE56" s="45">
        <f t="shared" ca="1" si="24"/>
        <v>1.3888888888888888E-2</v>
      </c>
      <c r="AF56" s="45">
        <f t="shared" ca="1" si="24"/>
        <v>1.3888888888888888E-2</v>
      </c>
      <c r="AG56" s="45">
        <f t="shared" ca="1" si="24"/>
        <v>1.3888888888888888E-2</v>
      </c>
      <c r="AH56" s="45">
        <f t="shared" ca="1" si="24"/>
        <v>1.3888888888888888E-2</v>
      </c>
      <c r="AI56" s="45">
        <f t="shared" ca="1" si="24"/>
        <v>1.3888888888888888E-2</v>
      </c>
      <c r="AJ56" s="45">
        <f t="shared" ca="1" si="24"/>
        <v>1.3888888888888888E-2</v>
      </c>
      <c r="AK56" s="45">
        <f t="shared" ca="1" si="24"/>
        <v>1.3888888888888888E-2</v>
      </c>
      <c r="AL56" s="45">
        <f t="shared" ca="1" si="24"/>
        <v>1.3888888888888888E-2</v>
      </c>
      <c r="AM56" s="45">
        <f t="shared" ca="1" si="24"/>
        <v>1.3888888888888888E-2</v>
      </c>
      <c r="AN56" s="45">
        <f t="shared" ca="1" si="24"/>
        <v>1.3888888888888888E-2</v>
      </c>
      <c r="AO56" s="45">
        <f t="shared" ca="1" si="24"/>
        <v>1.3888888888888888E-2</v>
      </c>
      <c r="AP56" s="45">
        <f t="shared" ca="1" si="24"/>
        <v>1.3888888888888888E-2</v>
      </c>
      <c r="AQ56" s="45">
        <f t="shared" ca="1" si="24"/>
        <v>1.3888888888888888E-2</v>
      </c>
      <c r="AR56" s="45">
        <f t="shared" ca="1" si="24"/>
        <v>1.3888888888888888E-2</v>
      </c>
      <c r="AS56" s="45">
        <f t="shared" ca="1" si="24"/>
        <v>6.9444444444444441E-3</v>
      </c>
    </row>
    <row r="57" spans="2:45" outlineLevel="1" collapsed="1" x14ac:dyDescent="0.15">
      <c r="B57" s="107" t="s">
        <v>437</v>
      </c>
      <c r="J57" s="44">
        <f ca="1">-$J52*J54-SUMPRODUCT(J53:$J53,OFFSET($AS56,0,1-J$8,1,J$8))</f>
        <v>-69.444444444444443</v>
      </c>
      <c r="K57" s="44">
        <f ca="1">-$J52*K54-SUMPRODUCT($J53:K53,OFFSET($AS56,0,1-K$8,1,K$8))</f>
        <v>-138.88888888888889</v>
      </c>
      <c r="L57" s="44">
        <f ca="1">-$J52*L54-SUMPRODUCT($J53:L53,OFFSET($AS56,0,1-L$8,1,L$8))</f>
        <v>-138.88888888888889</v>
      </c>
      <c r="M57" s="44">
        <f ca="1">-$J52*M54-SUMPRODUCT($J53:M53,OFFSET($AS56,0,1-M$8,1,M$8))</f>
        <v>-138.88888888888889</v>
      </c>
      <c r="N57" s="44">
        <f ca="1">-$J52*N54-SUMPRODUCT($J53:N53,OFFSET($AS56,0,1-N$8,1,N$8))</f>
        <v>-138.88888888888889</v>
      </c>
      <c r="O57" s="44">
        <f ca="1">-$J52*O54-SUMPRODUCT($J53:O53,OFFSET($AS56,0,1-O$8,1,O$8))</f>
        <v>-138.88888888888889</v>
      </c>
      <c r="P57" s="44">
        <f ca="1">-$J52*P54-SUMPRODUCT($J53:P53,OFFSET($AS56,0,1-P$8,1,P$8))</f>
        <v>-138.88888888888889</v>
      </c>
      <c r="Q57" s="44">
        <f ca="1">-$J52*Q54-SUMPRODUCT($J53:Q53,OFFSET($AS56,0,1-Q$8,1,Q$8))</f>
        <v>-138.88888888888889</v>
      </c>
      <c r="R57" s="44">
        <f ca="1">-$J52*R54-SUMPRODUCT($J53:R53,OFFSET($AS56,0,1-R$8,1,R$8))</f>
        <v>-138.88888888888889</v>
      </c>
      <c r="S57" s="44">
        <f ca="1">-$J52*S54-SUMPRODUCT($J53:S53,OFFSET($AS56,0,1-S$8,1,S$8))</f>
        <v>-138.88888888888889</v>
      </c>
      <c r="T57" s="44">
        <f ca="1">-$J52*T54-SUMPRODUCT($J53:T53,OFFSET($AS56,0,1-T$8,1,T$8))</f>
        <v>-138.88888888888889</v>
      </c>
      <c r="U57" s="44">
        <f ca="1">-$J52*U54-SUMPRODUCT($J53:U53,OFFSET($AS56,0,1-U$8,1,U$8))</f>
        <v>-138.88888888888889</v>
      </c>
      <c r="V57" s="44">
        <f ca="1">-$J52*V54-SUMPRODUCT($J53:V53,OFFSET($AS56,0,1-V$8,1,V$8))</f>
        <v>-138.88888888888889</v>
      </c>
      <c r="W57" s="44">
        <f ca="1">-$J52*W54-SUMPRODUCT($J53:W53,OFFSET($AS56,0,1-W$8,1,W$8))</f>
        <v>-138.88888888888889</v>
      </c>
      <c r="X57" s="44">
        <f ca="1">-$J52*X54-SUMPRODUCT($J53:X53,OFFSET($AS56,0,1-X$8,1,X$8))</f>
        <v>-138.88888888888889</v>
      </c>
      <c r="Y57" s="44">
        <f ca="1">-$J52*Y54-SUMPRODUCT($J53:Y53,OFFSET($AS56,0,1-Y$8,1,Y$8))</f>
        <v>-138.88888888888889</v>
      </c>
      <c r="Z57" s="44">
        <f ca="1">-$J52*Z54-SUMPRODUCT($J53:Z53,OFFSET($AS56,0,1-Z$8,1,Z$8))</f>
        <v>-138.88888888888889</v>
      </c>
      <c r="AA57" s="44">
        <f ca="1">-$J52*AA54-SUMPRODUCT($J53:AA53,OFFSET($AS56,0,1-AA$8,1,AA$8))</f>
        <v>-138.88888888888889</v>
      </c>
      <c r="AB57" s="44">
        <f ca="1">-$J52*AB54-SUMPRODUCT($J53:AB53,OFFSET($AS56,0,1-AB$8,1,AB$8))</f>
        <v>-138.88888888888889</v>
      </c>
      <c r="AC57" s="44">
        <f ca="1">-$J52*AC54-SUMPRODUCT($J53:AC53,OFFSET($AS56,0,1-AC$8,1,AC$8))</f>
        <v>-138.88888888888889</v>
      </c>
      <c r="AD57" s="44">
        <f ca="1">-$J52*AD54-SUMPRODUCT($J53:AD53,OFFSET($AS56,0,1-AD$8,1,AD$8))</f>
        <v>-138.88888888888889</v>
      </c>
      <c r="AE57" s="44">
        <f ca="1">-$J52*AE54-SUMPRODUCT($J53:AE53,OFFSET($AS56,0,1-AE$8,1,AE$8))</f>
        <v>-138.88888888888889</v>
      </c>
      <c r="AF57" s="44">
        <f ca="1">-$J52*AF54-SUMPRODUCT($J53:AF53,OFFSET($AS56,0,1-AF$8,1,AF$8))</f>
        <v>-138.88888888888889</v>
      </c>
      <c r="AG57" s="44">
        <f ca="1">-$J52*AG54-SUMPRODUCT($J53:AG53,OFFSET($AS56,0,1-AG$8,1,AG$8))</f>
        <v>-138.88888888888889</v>
      </c>
      <c r="AH57" s="44">
        <f ca="1">-$J52*AH54-SUMPRODUCT($J53:AH53,OFFSET($AS56,0,1-AH$8,1,AH$8))</f>
        <v>-138.88888888888889</v>
      </c>
      <c r="AI57" s="44">
        <f ca="1">-$J52*AI54-SUMPRODUCT($J53:AI53,OFFSET($AS56,0,1-AI$8,1,AI$8))</f>
        <v>-138.88888888888889</v>
      </c>
      <c r="AJ57" s="44">
        <f ca="1">-$J52*AJ54-SUMPRODUCT($J53:AJ53,OFFSET($AS56,0,1-AJ$8,1,AJ$8))</f>
        <v>-138.88888888888889</v>
      </c>
      <c r="AK57" s="44">
        <f ca="1">-$J52*AK54-SUMPRODUCT($J53:AK53,OFFSET($AS56,0,1-AK$8,1,AK$8))</f>
        <v>-138.88888888888889</v>
      </c>
      <c r="AL57" s="44">
        <f ca="1">-$J52*AL54-SUMPRODUCT($J53:AL53,OFFSET($AS56,0,1-AL$8,1,AL$8))</f>
        <v>-138.88888888888889</v>
      </c>
      <c r="AM57" s="44">
        <f ca="1">-$J52*AM54-SUMPRODUCT($J53:AM53,OFFSET($AS56,0,1-AM$8,1,AM$8))</f>
        <v>-138.88888888888889</v>
      </c>
      <c r="AN57" s="44">
        <f ca="1">-$J52*AN54-SUMPRODUCT($J53:AN53,OFFSET($AS56,0,1-AN$8,1,AN$8))</f>
        <v>-138.88888888888889</v>
      </c>
      <c r="AO57" s="44">
        <f ca="1">-$J52*AO54-SUMPRODUCT($J53:AO53,OFFSET($AS56,0,1-AO$8,1,AO$8))</f>
        <v>-138.88888888888889</v>
      </c>
      <c r="AP57" s="44">
        <f ca="1">-$J52*AP54-SUMPRODUCT($J53:AP53,OFFSET($AS56,0,1-AP$8,1,AP$8))</f>
        <v>-138.88888888888889</v>
      </c>
      <c r="AQ57" s="44">
        <f ca="1">-$J52*AQ54-SUMPRODUCT($J53:AQ53,OFFSET($AS56,0,1-AQ$8,1,AQ$8))</f>
        <v>-138.88888888888889</v>
      </c>
      <c r="AR57" s="44">
        <f ca="1">-$J52*AR54-SUMPRODUCT($J53:AR53,OFFSET($AS56,0,1-AR$8,1,AR$8))</f>
        <v>-138.88888888888889</v>
      </c>
      <c r="AS57" s="44">
        <f ca="1">-$J52*AS54-SUMPRODUCT($J53:AS53,OFFSET($AS56,0,1-AS$8,1,AS$8))</f>
        <v>-138.88888888888889</v>
      </c>
    </row>
    <row r="58" spans="2:45" outlineLevel="1" x14ac:dyDescent="0.15">
      <c r="B58" s="16" t="s">
        <v>438</v>
      </c>
      <c r="J58" s="15">
        <f t="shared" ref="J58:AS58" ca="1" si="25">SUM(J52:J53,J57)</f>
        <v>9930.5555555555547</v>
      </c>
      <c r="K58" s="15">
        <f t="shared" ca="1" si="25"/>
        <v>9791.6666666666661</v>
      </c>
      <c r="L58" s="15">
        <f t="shared" ca="1" si="25"/>
        <v>9652.7777777777774</v>
      </c>
      <c r="M58" s="15">
        <f t="shared" ca="1" si="25"/>
        <v>9513.8888888888887</v>
      </c>
      <c r="N58" s="15">
        <f t="shared" ca="1" si="25"/>
        <v>9375</v>
      </c>
      <c r="O58" s="15">
        <f t="shared" ca="1" si="25"/>
        <v>9236.1111111111113</v>
      </c>
      <c r="P58" s="15">
        <f t="shared" ca="1" si="25"/>
        <v>9097.2222222222226</v>
      </c>
      <c r="Q58" s="15">
        <f t="shared" ca="1" si="25"/>
        <v>8958.3333333333339</v>
      </c>
      <c r="R58" s="15">
        <f t="shared" ca="1" si="25"/>
        <v>8819.4444444444453</v>
      </c>
      <c r="S58" s="15">
        <f t="shared" ca="1" si="25"/>
        <v>8680.5555555555566</v>
      </c>
      <c r="T58" s="15">
        <f t="shared" ca="1" si="25"/>
        <v>8541.6666666666679</v>
      </c>
      <c r="U58" s="15">
        <f t="shared" ca="1" si="25"/>
        <v>8402.7777777777792</v>
      </c>
      <c r="V58" s="15">
        <f t="shared" ca="1" si="25"/>
        <v>8263.8888888888905</v>
      </c>
      <c r="W58" s="15">
        <f t="shared" ca="1" si="25"/>
        <v>8125.0000000000018</v>
      </c>
      <c r="X58" s="15">
        <f t="shared" ca="1" si="25"/>
        <v>7986.1111111111131</v>
      </c>
      <c r="Y58" s="15">
        <f t="shared" ca="1" si="25"/>
        <v>7847.2222222222244</v>
      </c>
      <c r="Z58" s="15">
        <f t="shared" ca="1" si="25"/>
        <v>7708.3333333333358</v>
      </c>
      <c r="AA58" s="15">
        <f t="shared" ca="1" si="25"/>
        <v>7569.4444444444471</v>
      </c>
      <c r="AB58" s="15">
        <f t="shared" ca="1" si="25"/>
        <v>7430.5555555555584</v>
      </c>
      <c r="AC58" s="15">
        <f t="shared" ca="1" si="25"/>
        <v>7291.6666666666697</v>
      </c>
      <c r="AD58" s="15">
        <f t="shared" ca="1" si="25"/>
        <v>7152.777777777781</v>
      </c>
      <c r="AE58" s="15">
        <f t="shared" ca="1" si="25"/>
        <v>7013.8888888888923</v>
      </c>
      <c r="AF58" s="15">
        <f t="shared" ca="1" si="25"/>
        <v>6875.0000000000036</v>
      </c>
      <c r="AG58" s="15">
        <f t="shared" ca="1" si="25"/>
        <v>6736.111111111115</v>
      </c>
      <c r="AH58" s="15">
        <f t="shared" ca="1" si="25"/>
        <v>6597.2222222222263</v>
      </c>
      <c r="AI58" s="15">
        <f t="shared" ca="1" si="25"/>
        <v>6458.3333333333376</v>
      </c>
      <c r="AJ58" s="15">
        <f t="shared" ca="1" si="25"/>
        <v>6319.4444444444489</v>
      </c>
      <c r="AK58" s="15">
        <f t="shared" ca="1" si="25"/>
        <v>6180.5555555555602</v>
      </c>
      <c r="AL58" s="15">
        <f t="shared" ca="1" si="25"/>
        <v>6041.6666666666715</v>
      </c>
      <c r="AM58" s="15">
        <f t="shared" ca="1" si="25"/>
        <v>5902.7777777777828</v>
      </c>
      <c r="AN58" s="15">
        <f t="shared" ca="1" si="25"/>
        <v>5763.8888888888941</v>
      </c>
      <c r="AO58" s="15">
        <f t="shared" ca="1" si="25"/>
        <v>5625.0000000000055</v>
      </c>
      <c r="AP58" s="15">
        <f t="shared" ca="1" si="25"/>
        <v>5486.1111111111168</v>
      </c>
      <c r="AQ58" s="15">
        <f t="shared" ca="1" si="25"/>
        <v>5347.2222222222281</v>
      </c>
      <c r="AR58" s="15">
        <f t="shared" ca="1" si="25"/>
        <v>5208.3333333333394</v>
      </c>
      <c r="AS58" s="15">
        <f t="shared" ca="1" si="25"/>
        <v>5069.4444444444507</v>
      </c>
    </row>
    <row r="59" spans="2:45" outlineLevel="1" x14ac:dyDescent="0.15"/>
    <row r="60" spans="2:45" outlineLevel="1" x14ac:dyDescent="0.15">
      <c r="B60" s="16" t="str">
        <f>OBS!B20</f>
        <v>Leashold Improvements</v>
      </c>
      <c r="I60" s="70" t="s">
        <v>432</v>
      </c>
    </row>
    <row r="61" spans="2:45" outlineLevel="1" x14ac:dyDescent="0.15">
      <c r="B61" s="107" t="s">
        <v>433</v>
      </c>
      <c r="I61" s="169">
        <v>2</v>
      </c>
      <c r="J61" s="14">
        <f>IF(J$8=1,OBS!J20,I67)</f>
        <v>2538</v>
      </c>
      <c r="K61" s="14">
        <f ca="1">IF(K$8=1,OBS!K20,J67)</f>
        <v>199654.47222222222</v>
      </c>
      <c r="L61" s="14">
        <f ca="1">IF(L$8=1,OBS!L20,K67)</f>
        <v>193993.16666666666</v>
      </c>
      <c r="M61" s="14">
        <f ca="1">IF(M$8=1,OBS!M20,L67)</f>
        <v>188331.86111111109</v>
      </c>
      <c r="N61" s="14">
        <f ca="1">IF(N$8=1,OBS!N20,M67)</f>
        <v>182670.55555555553</v>
      </c>
      <c r="O61" s="14">
        <f ca="1">IF(O$8=1,OBS!O20,N67)</f>
        <v>177009.24999999997</v>
      </c>
      <c r="P61" s="14">
        <f ca="1">IF(P$8=1,OBS!P20,O67)</f>
        <v>171347.94444444441</v>
      </c>
      <c r="Q61" s="14">
        <f ca="1">IF(Q$8=1,OBS!Q20,P67)</f>
        <v>165686.63888888885</v>
      </c>
      <c r="R61" s="14">
        <f ca="1">IF(R$8=1,OBS!R20,Q67)</f>
        <v>160025.33333333328</v>
      </c>
      <c r="S61" s="14">
        <f ca="1">IF(S$8=1,OBS!S20,R67)</f>
        <v>154364.02777777772</v>
      </c>
      <c r="T61" s="14">
        <f ca="1">IF(T$8=1,OBS!T20,S67)</f>
        <v>148702.72222222216</v>
      </c>
      <c r="U61" s="14">
        <f ca="1">IF(U$8=1,OBS!U20,T67)</f>
        <v>143041.4166666666</v>
      </c>
      <c r="V61" s="14">
        <f ca="1">IF(V$8=1,OBS!V20,U67)</f>
        <v>137380.11111111104</v>
      </c>
      <c r="W61" s="14">
        <f ca="1">IF(W$8=1,OBS!W20,V67)</f>
        <v>131718.80555555547</v>
      </c>
      <c r="X61" s="14">
        <f ca="1">IF(X$8=1,OBS!X20,W67)</f>
        <v>126057.49999999991</v>
      </c>
      <c r="Y61" s="14">
        <f ca="1">IF(Y$8=1,OBS!Y20,X67)</f>
        <v>120396.19444444435</v>
      </c>
      <c r="Z61" s="14">
        <f ca="1">IF(Z$8=1,OBS!Z20,Y67)</f>
        <v>114734.88888888879</v>
      </c>
      <c r="AA61" s="14">
        <f ca="1">IF(AA$8=1,OBS!AA20,Z67)</f>
        <v>109073.58333333323</v>
      </c>
      <c r="AB61" s="14">
        <f ca="1">IF(AB$8=1,OBS!AB20,AA67)</f>
        <v>103412.27777777766</v>
      </c>
      <c r="AC61" s="14">
        <f ca="1">IF(AC$8=1,OBS!AC20,AB67)</f>
        <v>97750.972222222103</v>
      </c>
      <c r="AD61" s="14">
        <f ca="1">IF(AD$8=1,OBS!AD20,AC67)</f>
        <v>92089.666666666541</v>
      </c>
      <c r="AE61" s="14">
        <f ca="1">IF(AE$8=1,OBS!AE20,AD67)</f>
        <v>86428.361111110979</v>
      </c>
      <c r="AF61" s="14">
        <f ca="1">IF(AF$8=1,OBS!AF20,AE67)</f>
        <v>80767.055555555417</v>
      </c>
      <c r="AG61" s="14">
        <f ca="1">IF(AG$8=1,OBS!AG20,AF67)</f>
        <v>75105.749999999854</v>
      </c>
      <c r="AH61" s="14">
        <f ca="1">IF(AH$8=1,OBS!AH20,AG67)</f>
        <v>69444.444444444292</v>
      </c>
      <c r="AI61" s="14">
        <f ca="1">IF(AI$8=1,OBS!AI20,AH67)</f>
        <v>63888.888888888738</v>
      </c>
      <c r="AJ61" s="14">
        <f ca="1">IF(AJ$8=1,OBS!AJ20,AI67)</f>
        <v>58333.333333333183</v>
      </c>
      <c r="AK61" s="14">
        <f ca="1">IF(AK$8=1,OBS!AK20,AJ67)</f>
        <v>52777.777777777628</v>
      </c>
      <c r="AL61" s="14">
        <f ca="1">IF(AL$8=1,OBS!AL20,AK67)</f>
        <v>47222.222222222073</v>
      </c>
      <c r="AM61" s="14">
        <f ca="1">IF(AM$8=1,OBS!AM20,AL67)</f>
        <v>41666.666666666519</v>
      </c>
      <c r="AN61" s="14">
        <f ca="1">IF(AN$8=1,OBS!AN20,AM67)</f>
        <v>36111.111111110964</v>
      </c>
      <c r="AO61" s="14">
        <f ca="1">IF(AO$8=1,OBS!AO20,AN67)</f>
        <v>30555.555555555409</v>
      </c>
      <c r="AP61" s="14">
        <f ca="1">IF(AP$8=1,OBS!AP20,AO67)</f>
        <v>24999.999999999854</v>
      </c>
      <c r="AQ61" s="14">
        <f ca="1">IF(AQ$8=1,OBS!AQ20,AP67)</f>
        <v>19444.4444444443</v>
      </c>
      <c r="AR61" s="14">
        <f ca="1">IF(AR$8=1,OBS!AR20,AQ67)</f>
        <v>13888.888888888745</v>
      </c>
      <c r="AS61" s="14">
        <f ca="1">IF(AS$8=1,OBS!AS20,AR67)</f>
        <v>8333.3333333331902</v>
      </c>
    </row>
    <row r="62" spans="2:45" outlineLevel="1" x14ac:dyDescent="0.15">
      <c r="B62" s="107" t="s">
        <v>270</v>
      </c>
      <c r="I62" s="169">
        <v>3</v>
      </c>
      <c r="J62" s="14">
        <f>SUMIF($H$45:$H$46,ROWS(Lookups!$D$146:$D147),J$45:J$46)</f>
        <v>200000</v>
      </c>
      <c r="K62" s="14">
        <f>SUMIF($H$45:$H$46,ROWS(Lookups!$D$146:$D147),K$45:K$46)</f>
        <v>0</v>
      </c>
      <c r="L62" s="14">
        <f>SUMIF($H$45:$H$46,ROWS(Lookups!$D$146:$D147),L$45:L$46)</f>
        <v>0</v>
      </c>
      <c r="M62" s="14">
        <f>SUMIF($H$45:$H$46,ROWS(Lookups!$D$146:$D147),M$45:M$46)</f>
        <v>0</v>
      </c>
      <c r="N62" s="14">
        <f>SUMIF($H$45:$H$46,ROWS(Lookups!$D$146:$D147),N$45:N$46)</f>
        <v>0</v>
      </c>
      <c r="O62" s="14">
        <f>SUMIF($H$45:$H$46,ROWS(Lookups!$D$146:$D147),O$45:O$46)</f>
        <v>0</v>
      </c>
      <c r="P62" s="14">
        <f>SUMIF($H$45:$H$46,ROWS(Lookups!$D$146:$D147),P$45:P$46)</f>
        <v>0</v>
      </c>
      <c r="Q62" s="14">
        <f>SUMIF($H$45:$H$46,ROWS(Lookups!$D$146:$D147),Q$45:Q$46)</f>
        <v>0</v>
      </c>
      <c r="R62" s="14">
        <f>SUMIF($H$45:$H$46,ROWS(Lookups!$D$146:$D147),R$45:R$46)</f>
        <v>0</v>
      </c>
      <c r="S62" s="14">
        <f>SUMIF($H$45:$H$46,ROWS(Lookups!$D$146:$D147),S$45:S$46)</f>
        <v>0</v>
      </c>
      <c r="T62" s="14">
        <f>SUMIF($H$45:$H$46,ROWS(Lookups!$D$146:$D147),T$45:T$46)</f>
        <v>0</v>
      </c>
      <c r="U62" s="14">
        <f>SUMIF($H$45:$H$46,ROWS(Lookups!$D$146:$D147),U$45:U$46)</f>
        <v>0</v>
      </c>
      <c r="V62" s="14">
        <f>SUMIF($H$45:$H$46,ROWS(Lookups!$D$146:$D147),V$45:V$46)</f>
        <v>0</v>
      </c>
      <c r="W62" s="14">
        <f>SUMIF($H$45:$H$46,ROWS(Lookups!$D$146:$D147),W$45:W$46)</f>
        <v>0</v>
      </c>
      <c r="X62" s="14">
        <f>SUMIF($H$45:$H$46,ROWS(Lookups!$D$146:$D147),X$45:X$46)</f>
        <v>0</v>
      </c>
      <c r="Y62" s="14">
        <f>SUMIF($H$45:$H$46,ROWS(Lookups!$D$146:$D147),Y$45:Y$46)</f>
        <v>0</v>
      </c>
      <c r="Z62" s="14">
        <f>SUMIF($H$45:$H$46,ROWS(Lookups!$D$146:$D147),Z$45:Z$46)</f>
        <v>0</v>
      </c>
      <c r="AA62" s="14">
        <f>SUMIF($H$45:$H$46,ROWS(Lookups!$D$146:$D147),AA$45:AA$46)</f>
        <v>0</v>
      </c>
      <c r="AB62" s="14">
        <f>SUMIF($H$45:$H$46,ROWS(Lookups!$D$146:$D147),AB$45:AB$46)</f>
        <v>0</v>
      </c>
      <c r="AC62" s="14">
        <f>SUMIF($H$45:$H$46,ROWS(Lookups!$D$146:$D147),AC$45:AC$46)</f>
        <v>0</v>
      </c>
      <c r="AD62" s="14">
        <f>SUMIF($H$45:$H$46,ROWS(Lookups!$D$146:$D147),AD$45:AD$46)</f>
        <v>0</v>
      </c>
      <c r="AE62" s="14">
        <f>SUMIF($H$45:$H$46,ROWS(Lookups!$D$146:$D147),AE$45:AE$46)</f>
        <v>0</v>
      </c>
      <c r="AF62" s="14">
        <f>SUMIF($H$45:$H$46,ROWS(Lookups!$D$146:$D147),AF$45:AF$46)</f>
        <v>0</v>
      </c>
      <c r="AG62" s="14">
        <f>SUMIF($H$45:$H$46,ROWS(Lookups!$D$146:$D147),AG$45:AG$46)</f>
        <v>0</v>
      </c>
      <c r="AH62" s="14">
        <f>SUMIF($H$45:$H$46,ROWS(Lookups!$D$146:$D147),AH$45:AH$46)</f>
        <v>0</v>
      </c>
      <c r="AI62" s="14">
        <f>SUMIF($H$45:$H$46,ROWS(Lookups!$D$146:$D147),AI$45:AI$46)</f>
        <v>0</v>
      </c>
      <c r="AJ62" s="14">
        <f>SUMIF($H$45:$H$46,ROWS(Lookups!$D$146:$D147),AJ$45:AJ$46)</f>
        <v>0</v>
      </c>
      <c r="AK62" s="14">
        <f>SUMIF($H$45:$H$46,ROWS(Lookups!$D$146:$D147),AK$45:AK$46)</f>
        <v>0</v>
      </c>
      <c r="AL62" s="14">
        <f>SUMIF($H$45:$H$46,ROWS(Lookups!$D$146:$D147),AL$45:AL$46)</f>
        <v>0</v>
      </c>
      <c r="AM62" s="14">
        <f>SUMIF($H$45:$H$46,ROWS(Lookups!$D$146:$D147),AM$45:AM$46)</f>
        <v>0</v>
      </c>
      <c r="AN62" s="14">
        <f>SUMIF($H$45:$H$46,ROWS(Lookups!$D$146:$D147),AN$45:AN$46)</f>
        <v>0</v>
      </c>
      <c r="AO62" s="14">
        <f>SUMIF($H$45:$H$46,ROWS(Lookups!$D$146:$D147),AO$45:AO$46)</f>
        <v>0</v>
      </c>
      <c r="AP62" s="14">
        <f>SUMIF($H$45:$H$46,ROWS(Lookups!$D$146:$D147),AP$45:AP$46)</f>
        <v>0</v>
      </c>
      <c r="AQ62" s="14">
        <f>SUMIF($H$45:$H$46,ROWS(Lookups!$D$146:$D147),AQ$45:AQ$46)</f>
        <v>0</v>
      </c>
      <c r="AR62" s="14">
        <f>SUMIF($H$45:$H$46,ROWS(Lookups!$D$146:$D147),AR$45:AR$46)</f>
        <v>0</v>
      </c>
      <c r="AS62" s="14">
        <f>SUMIF($H$45:$H$46,ROWS(Lookups!$D$146:$D147),AS$45:AS$46)</f>
        <v>0</v>
      </c>
    </row>
    <row r="63" spans="2:45" hidden="1" outlineLevel="2" x14ac:dyDescent="0.15">
      <c r="C63" s="107" t="s">
        <v>434</v>
      </c>
      <c r="J63" s="43">
        <f>IF($I61=0,0,MIN(1-SUM($I63:I63),1/$I61/Ts_Mths_In_Yr))</f>
        <v>4.1666666666666664E-2</v>
      </c>
      <c r="K63" s="43">
        <f>IF($I61=0,0,MIN(1-SUM($I63:J63),1/$I61/Ts_Mths_In_Yr))</f>
        <v>4.1666666666666664E-2</v>
      </c>
      <c r="L63" s="43">
        <f>IF($I61=0,0,MIN(1-SUM($I63:K63),1/$I61/Ts_Mths_In_Yr))</f>
        <v>4.1666666666666664E-2</v>
      </c>
      <c r="M63" s="43">
        <f>IF($I61=0,0,MIN(1-SUM($I63:L63),1/$I61/Ts_Mths_In_Yr))</f>
        <v>4.1666666666666664E-2</v>
      </c>
      <c r="N63" s="43">
        <f>IF($I61=0,0,MIN(1-SUM($I63:M63),1/$I61/Ts_Mths_In_Yr))</f>
        <v>4.1666666666666664E-2</v>
      </c>
      <c r="O63" s="43">
        <f>IF($I61=0,0,MIN(1-SUM($I63:N63),1/$I61/Ts_Mths_In_Yr))</f>
        <v>4.1666666666666664E-2</v>
      </c>
      <c r="P63" s="43">
        <f>IF($I61=0,0,MIN(1-SUM($I63:O63),1/$I61/Ts_Mths_In_Yr))</f>
        <v>4.1666666666666664E-2</v>
      </c>
      <c r="Q63" s="43">
        <f>IF($I61=0,0,MIN(1-SUM($I63:P63),1/$I61/Ts_Mths_In_Yr))</f>
        <v>4.1666666666666664E-2</v>
      </c>
      <c r="R63" s="43">
        <f>IF($I61=0,0,MIN(1-SUM($I63:Q63),1/$I61/Ts_Mths_In_Yr))</f>
        <v>4.1666666666666664E-2</v>
      </c>
      <c r="S63" s="43">
        <f>IF($I61=0,0,MIN(1-SUM($I63:R63),1/$I61/Ts_Mths_In_Yr))</f>
        <v>4.1666666666666664E-2</v>
      </c>
      <c r="T63" s="43">
        <f>IF($I61=0,0,MIN(1-SUM($I63:S63),1/$I61/Ts_Mths_In_Yr))</f>
        <v>4.1666666666666664E-2</v>
      </c>
      <c r="U63" s="43">
        <f>IF($I61=0,0,MIN(1-SUM($I63:T63),1/$I61/Ts_Mths_In_Yr))</f>
        <v>4.1666666666666664E-2</v>
      </c>
      <c r="V63" s="43">
        <f>IF($I61=0,0,MIN(1-SUM($I63:U63),1/$I61/Ts_Mths_In_Yr))</f>
        <v>4.1666666666666664E-2</v>
      </c>
      <c r="W63" s="43">
        <f>IF($I61=0,0,MIN(1-SUM($I63:V63),1/$I61/Ts_Mths_In_Yr))</f>
        <v>4.1666666666666664E-2</v>
      </c>
      <c r="X63" s="43">
        <f>IF($I61=0,0,MIN(1-SUM($I63:W63),1/$I61/Ts_Mths_In_Yr))</f>
        <v>4.1666666666666664E-2</v>
      </c>
      <c r="Y63" s="43">
        <f>IF($I61=0,0,MIN(1-SUM($I63:X63),1/$I61/Ts_Mths_In_Yr))</f>
        <v>4.1666666666666664E-2</v>
      </c>
      <c r="Z63" s="43">
        <f>IF($I61=0,0,MIN(1-SUM($I63:Y63),1/$I61/Ts_Mths_In_Yr))</f>
        <v>4.1666666666666664E-2</v>
      </c>
      <c r="AA63" s="43">
        <f>IF($I61=0,0,MIN(1-SUM($I63:Z63),1/$I61/Ts_Mths_In_Yr))</f>
        <v>4.1666666666666664E-2</v>
      </c>
      <c r="AB63" s="43">
        <f>IF($I61=0,0,MIN(1-SUM($I63:AA63),1/$I61/Ts_Mths_In_Yr))</f>
        <v>4.1666666666666664E-2</v>
      </c>
      <c r="AC63" s="43">
        <f>IF($I61=0,0,MIN(1-SUM($I63:AB63),1/$I61/Ts_Mths_In_Yr))</f>
        <v>4.1666666666666664E-2</v>
      </c>
      <c r="AD63" s="43">
        <f>IF($I61=0,0,MIN(1-SUM($I63:AC63),1/$I61/Ts_Mths_In_Yr))</f>
        <v>4.1666666666666664E-2</v>
      </c>
      <c r="AE63" s="43">
        <f>IF($I61=0,0,MIN(1-SUM($I63:AD63),1/$I61/Ts_Mths_In_Yr))</f>
        <v>4.1666666666666664E-2</v>
      </c>
      <c r="AF63" s="43">
        <f>IF($I61=0,0,MIN(1-SUM($I63:AE63),1/$I61/Ts_Mths_In_Yr))</f>
        <v>4.1666666666666664E-2</v>
      </c>
      <c r="AG63" s="43">
        <f>IF($I61=0,0,MIN(1-SUM($I63:AF63),1/$I61/Ts_Mths_In_Yr))</f>
        <v>4.1666666666666664E-2</v>
      </c>
      <c r="AH63" s="43">
        <f>IF($I61=0,0,MIN(1-SUM($I63:AG63),1/$I61/Ts_Mths_In_Yr))</f>
        <v>4.4408920985006262E-16</v>
      </c>
      <c r="AI63" s="43">
        <f>IF($I61=0,0,MIN(1-SUM($I63:AH63),1/$I61/Ts_Mths_In_Yr))</f>
        <v>0</v>
      </c>
      <c r="AJ63" s="43">
        <f>IF($I61=0,0,MIN(1-SUM($I63:AI63),1/$I61/Ts_Mths_In_Yr))</f>
        <v>0</v>
      </c>
      <c r="AK63" s="43">
        <f>IF($I61=0,0,MIN(1-SUM($I63:AJ63),1/$I61/Ts_Mths_In_Yr))</f>
        <v>0</v>
      </c>
      <c r="AL63" s="43">
        <f>IF($I61=0,0,MIN(1-SUM($I63:AK63),1/$I61/Ts_Mths_In_Yr))</f>
        <v>0</v>
      </c>
      <c r="AM63" s="43">
        <f>IF($I61=0,0,MIN(1-SUM($I63:AL63),1/$I61/Ts_Mths_In_Yr))</f>
        <v>0</v>
      </c>
      <c r="AN63" s="43">
        <f>IF($I61=0,0,MIN(1-SUM($I63:AM63),1/$I61/Ts_Mths_In_Yr))</f>
        <v>0</v>
      </c>
      <c r="AO63" s="43">
        <f>IF($I61=0,0,MIN(1-SUM($I63:AN63),1/$I61/Ts_Mths_In_Yr))</f>
        <v>0</v>
      </c>
      <c r="AP63" s="43">
        <f>IF($I61=0,0,MIN(1-SUM($I63:AO63),1/$I61/Ts_Mths_In_Yr))</f>
        <v>0</v>
      </c>
      <c r="AQ63" s="43">
        <f>IF($I61=0,0,MIN(1-SUM($I63:AP63),1/$I61/Ts_Mths_In_Yr))</f>
        <v>0</v>
      </c>
      <c r="AR63" s="43">
        <f>IF($I61=0,0,MIN(1-SUM($I63:AQ63),1/$I61/Ts_Mths_In_Yr))</f>
        <v>0</v>
      </c>
      <c r="AS63" s="43">
        <f>IF($I61=0,0,MIN(1-SUM($I63:AR63),1/$I61/Ts_Mths_In_Yr))</f>
        <v>0</v>
      </c>
    </row>
    <row r="64" spans="2:45" hidden="1" outlineLevel="2" x14ac:dyDescent="0.15">
      <c r="C64" s="107" t="s">
        <v>435</v>
      </c>
      <c r="J64" s="43">
        <f>IF($I62=0,0,MIN(1-SUM($I64:I64),1/$I62/Ts_Mths_In_Yr*IF(J$8=1,0.5,1)))</f>
        <v>1.3888888888888888E-2</v>
      </c>
      <c r="K64" s="43">
        <f>IF($I62=0,0,MIN(1-SUM($I64:J64),1/$I62/Ts_Mths_In_Yr*IF(K$8=1,0.5,1)))</f>
        <v>2.7777777777777776E-2</v>
      </c>
      <c r="L64" s="43">
        <f>IF($I62=0,0,MIN(1-SUM($I64:K64),1/$I62/Ts_Mths_In_Yr*IF(L$8=1,0.5,1)))</f>
        <v>2.7777777777777776E-2</v>
      </c>
      <c r="M64" s="43">
        <f>IF($I62=0,0,MIN(1-SUM($I64:L64),1/$I62/Ts_Mths_In_Yr*IF(M$8=1,0.5,1)))</f>
        <v>2.7777777777777776E-2</v>
      </c>
      <c r="N64" s="43">
        <f>IF($I62=0,0,MIN(1-SUM($I64:M64),1/$I62/Ts_Mths_In_Yr*IF(N$8=1,0.5,1)))</f>
        <v>2.7777777777777776E-2</v>
      </c>
      <c r="O64" s="43">
        <f>IF($I62=0,0,MIN(1-SUM($I64:N64),1/$I62/Ts_Mths_In_Yr*IF(O$8=1,0.5,1)))</f>
        <v>2.7777777777777776E-2</v>
      </c>
      <c r="P64" s="43">
        <f>IF($I62=0,0,MIN(1-SUM($I64:O64),1/$I62/Ts_Mths_In_Yr*IF(P$8=1,0.5,1)))</f>
        <v>2.7777777777777776E-2</v>
      </c>
      <c r="Q64" s="43">
        <f>IF($I62=0,0,MIN(1-SUM($I64:P64),1/$I62/Ts_Mths_In_Yr*IF(Q$8=1,0.5,1)))</f>
        <v>2.7777777777777776E-2</v>
      </c>
      <c r="R64" s="43">
        <f>IF($I62=0,0,MIN(1-SUM($I64:Q64),1/$I62/Ts_Mths_In_Yr*IF(R$8=1,0.5,1)))</f>
        <v>2.7777777777777776E-2</v>
      </c>
      <c r="S64" s="43">
        <f>IF($I62=0,0,MIN(1-SUM($I64:R64),1/$I62/Ts_Mths_In_Yr*IF(S$8=1,0.5,1)))</f>
        <v>2.7777777777777776E-2</v>
      </c>
      <c r="T64" s="43">
        <f>IF($I62=0,0,MIN(1-SUM($I64:S64),1/$I62/Ts_Mths_In_Yr*IF(T$8=1,0.5,1)))</f>
        <v>2.7777777777777776E-2</v>
      </c>
      <c r="U64" s="43">
        <f>IF($I62=0,0,MIN(1-SUM($I64:T64),1/$I62/Ts_Mths_In_Yr*IF(U$8=1,0.5,1)))</f>
        <v>2.7777777777777776E-2</v>
      </c>
      <c r="V64" s="43">
        <f>IF($I62=0,0,MIN(1-SUM($I64:U64),1/$I62/Ts_Mths_In_Yr*IF(V$8=1,0.5,1)))</f>
        <v>2.7777777777777776E-2</v>
      </c>
      <c r="W64" s="43">
        <f>IF($I62=0,0,MIN(1-SUM($I64:V64),1/$I62/Ts_Mths_In_Yr*IF(W$8=1,0.5,1)))</f>
        <v>2.7777777777777776E-2</v>
      </c>
      <c r="X64" s="43">
        <f>IF($I62=0,0,MIN(1-SUM($I64:W64),1/$I62/Ts_Mths_In_Yr*IF(X$8=1,0.5,1)))</f>
        <v>2.7777777777777776E-2</v>
      </c>
      <c r="Y64" s="43">
        <f>IF($I62=0,0,MIN(1-SUM($I64:X64),1/$I62/Ts_Mths_In_Yr*IF(Y$8=1,0.5,1)))</f>
        <v>2.7777777777777776E-2</v>
      </c>
      <c r="Z64" s="43">
        <f>IF($I62=0,0,MIN(1-SUM($I64:Y64),1/$I62/Ts_Mths_In_Yr*IF(Z$8=1,0.5,1)))</f>
        <v>2.7777777777777776E-2</v>
      </c>
      <c r="AA64" s="43">
        <f>IF($I62=0,0,MIN(1-SUM($I64:Z64),1/$I62/Ts_Mths_In_Yr*IF(AA$8=1,0.5,1)))</f>
        <v>2.7777777777777776E-2</v>
      </c>
      <c r="AB64" s="43">
        <f>IF($I62=0,0,MIN(1-SUM($I64:AA64),1/$I62/Ts_Mths_In_Yr*IF(AB$8=1,0.5,1)))</f>
        <v>2.7777777777777776E-2</v>
      </c>
      <c r="AC64" s="43">
        <f>IF($I62=0,0,MIN(1-SUM($I64:AB64),1/$I62/Ts_Mths_In_Yr*IF(AC$8=1,0.5,1)))</f>
        <v>2.7777777777777776E-2</v>
      </c>
      <c r="AD64" s="43">
        <f>IF($I62=0,0,MIN(1-SUM($I64:AC64),1/$I62/Ts_Mths_In_Yr*IF(AD$8=1,0.5,1)))</f>
        <v>2.7777777777777776E-2</v>
      </c>
      <c r="AE64" s="43">
        <f>IF($I62=0,0,MIN(1-SUM($I64:AD64),1/$I62/Ts_Mths_In_Yr*IF(AE$8=1,0.5,1)))</f>
        <v>2.7777777777777776E-2</v>
      </c>
      <c r="AF64" s="43">
        <f>IF($I62=0,0,MIN(1-SUM($I64:AE64),1/$I62/Ts_Mths_In_Yr*IF(AF$8=1,0.5,1)))</f>
        <v>2.7777777777777776E-2</v>
      </c>
      <c r="AG64" s="43">
        <f>IF($I62=0,0,MIN(1-SUM($I64:AF64),1/$I62/Ts_Mths_In_Yr*IF(AG$8=1,0.5,1)))</f>
        <v>2.7777777777777776E-2</v>
      </c>
      <c r="AH64" s="43">
        <f>IF($I62=0,0,MIN(1-SUM($I64:AG64),1/$I62/Ts_Mths_In_Yr*IF(AH$8=1,0.5,1)))</f>
        <v>2.7777777777777776E-2</v>
      </c>
      <c r="AI64" s="43">
        <f>IF($I62=0,0,MIN(1-SUM($I64:AH64),1/$I62/Ts_Mths_In_Yr*IF(AI$8=1,0.5,1)))</f>
        <v>2.7777777777777776E-2</v>
      </c>
      <c r="AJ64" s="43">
        <f>IF($I62=0,0,MIN(1-SUM($I64:AI64),1/$I62/Ts_Mths_In_Yr*IF(AJ$8=1,0.5,1)))</f>
        <v>2.7777777777777776E-2</v>
      </c>
      <c r="AK64" s="43">
        <f>IF($I62=0,0,MIN(1-SUM($I64:AJ64),1/$I62/Ts_Mths_In_Yr*IF(AK$8=1,0.5,1)))</f>
        <v>2.7777777777777776E-2</v>
      </c>
      <c r="AL64" s="43">
        <f>IF($I62=0,0,MIN(1-SUM($I64:AK64),1/$I62/Ts_Mths_In_Yr*IF(AL$8=1,0.5,1)))</f>
        <v>2.7777777777777776E-2</v>
      </c>
      <c r="AM64" s="43">
        <f>IF($I62=0,0,MIN(1-SUM($I64:AL64),1/$I62/Ts_Mths_In_Yr*IF(AM$8=1,0.5,1)))</f>
        <v>2.7777777777777776E-2</v>
      </c>
      <c r="AN64" s="43">
        <f>IF($I62=0,0,MIN(1-SUM($I64:AM64),1/$I62/Ts_Mths_In_Yr*IF(AN$8=1,0.5,1)))</f>
        <v>2.7777777777777776E-2</v>
      </c>
      <c r="AO64" s="43">
        <f>IF($I62=0,0,MIN(1-SUM($I64:AN64),1/$I62/Ts_Mths_In_Yr*IF(AO$8=1,0.5,1)))</f>
        <v>2.7777777777777776E-2</v>
      </c>
      <c r="AP64" s="43">
        <f>IF($I62=0,0,MIN(1-SUM($I64:AO64),1/$I62/Ts_Mths_In_Yr*IF(AP$8=1,0.5,1)))</f>
        <v>2.7777777777777776E-2</v>
      </c>
      <c r="AQ64" s="43">
        <f>IF($I62=0,0,MIN(1-SUM($I64:AP64),1/$I62/Ts_Mths_In_Yr*IF(AQ$8=1,0.5,1)))</f>
        <v>2.7777777777777776E-2</v>
      </c>
      <c r="AR64" s="43">
        <f>IF($I62=0,0,MIN(1-SUM($I64:AQ64),1/$I62/Ts_Mths_In_Yr*IF(AR$8=1,0.5,1)))</f>
        <v>2.7777777777777776E-2</v>
      </c>
      <c r="AS64" s="43">
        <f>IF($I62=0,0,MIN(1-SUM($I64:AR64),1/$I62/Ts_Mths_In_Yr*IF(AS$8=1,0.5,1)))</f>
        <v>2.7777777777777776E-2</v>
      </c>
    </row>
    <row r="65" spans="2:45" hidden="1" outlineLevel="2" x14ac:dyDescent="0.15">
      <c r="C65" s="107" t="s">
        <v>436</v>
      </c>
      <c r="J65" s="45">
        <f t="shared" ref="J65:AS65" ca="1" si="26">OFFSET($AS64,0,1-J$8)</f>
        <v>2.7777777777777776E-2</v>
      </c>
      <c r="K65" s="45">
        <f t="shared" ca="1" si="26"/>
        <v>2.7777777777777776E-2</v>
      </c>
      <c r="L65" s="45">
        <f t="shared" ca="1" si="26"/>
        <v>2.7777777777777776E-2</v>
      </c>
      <c r="M65" s="45">
        <f t="shared" ca="1" si="26"/>
        <v>2.7777777777777776E-2</v>
      </c>
      <c r="N65" s="45">
        <f t="shared" ca="1" si="26"/>
        <v>2.7777777777777776E-2</v>
      </c>
      <c r="O65" s="45">
        <f t="shared" ca="1" si="26"/>
        <v>2.7777777777777776E-2</v>
      </c>
      <c r="P65" s="45">
        <f t="shared" ca="1" si="26"/>
        <v>2.7777777777777776E-2</v>
      </c>
      <c r="Q65" s="45">
        <f t="shared" ca="1" si="26"/>
        <v>2.7777777777777776E-2</v>
      </c>
      <c r="R65" s="45">
        <f t="shared" ca="1" si="26"/>
        <v>2.7777777777777776E-2</v>
      </c>
      <c r="S65" s="45">
        <f t="shared" ca="1" si="26"/>
        <v>2.7777777777777776E-2</v>
      </c>
      <c r="T65" s="45">
        <f t="shared" ca="1" si="26"/>
        <v>2.7777777777777776E-2</v>
      </c>
      <c r="U65" s="45">
        <f t="shared" ca="1" si="26"/>
        <v>2.7777777777777776E-2</v>
      </c>
      <c r="V65" s="45">
        <f t="shared" ca="1" si="26"/>
        <v>2.7777777777777776E-2</v>
      </c>
      <c r="W65" s="45">
        <f t="shared" ca="1" si="26"/>
        <v>2.7777777777777776E-2</v>
      </c>
      <c r="X65" s="45">
        <f t="shared" ca="1" si="26"/>
        <v>2.7777777777777776E-2</v>
      </c>
      <c r="Y65" s="45">
        <f t="shared" ca="1" si="26"/>
        <v>2.7777777777777776E-2</v>
      </c>
      <c r="Z65" s="45">
        <f t="shared" ca="1" si="26"/>
        <v>2.7777777777777776E-2</v>
      </c>
      <c r="AA65" s="45">
        <f t="shared" ca="1" si="26"/>
        <v>2.7777777777777776E-2</v>
      </c>
      <c r="AB65" s="45">
        <f t="shared" ca="1" si="26"/>
        <v>2.7777777777777776E-2</v>
      </c>
      <c r="AC65" s="45">
        <f t="shared" ca="1" si="26"/>
        <v>2.7777777777777776E-2</v>
      </c>
      <c r="AD65" s="45">
        <f t="shared" ca="1" si="26"/>
        <v>2.7777777777777776E-2</v>
      </c>
      <c r="AE65" s="45">
        <f t="shared" ca="1" si="26"/>
        <v>2.7777777777777776E-2</v>
      </c>
      <c r="AF65" s="45">
        <f t="shared" ca="1" si="26"/>
        <v>2.7777777777777776E-2</v>
      </c>
      <c r="AG65" s="45">
        <f t="shared" ca="1" si="26"/>
        <v>2.7777777777777776E-2</v>
      </c>
      <c r="AH65" s="45">
        <f t="shared" ca="1" si="26"/>
        <v>2.7777777777777776E-2</v>
      </c>
      <c r="AI65" s="45">
        <f t="shared" ca="1" si="26"/>
        <v>2.7777777777777776E-2</v>
      </c>
      <c r="AJ65" s="45">
        <f t="shared" ca="1" si="26"/>
        <v>2.7777777777777776E-2</v>
      </c>
      <c r="AK65" s="45">
        <f t="shared" ca="1" si="26"/>
        <v>2.7777777777777776E-2</v>
      </c>
      <c r="AL65" s="45">
        <f t="shared" ca="1" si="26"/>
        <v>2.7777777777777776E-2</v>
      </c>
      <c r="AM65" s="45">
        <f t="shared" ca="1" si="26"/>
        <v>2.7777777777777776E-2</v>
      </c>
      <c r="AN65" s="45">
        <f t="shared" ca="1" si="26"/>
        <v>2.7777777777777776E-2</v>
      </c>
      <c r="AO65" s="45">
        <f t="shared" ca="1" si="26"/>
        <v>2.7777777777777776E-2</v>
      </c>
      <c r="AP65" s="45">
        <f t="shared" ca="1" si="26"/>
        <v>2.7777777777777776E-2</v>
      </c>
      <c r="AQ65" s="45">
        <f t="shared" ca="1" si="26"/>
        <v>2.7777777777777776E-2</v>
      </c>
      <c r="AR65" s="45">
        <f t="shared" ca="1" si="26"/>
        <v>2.7777777777777776E-2</v>
      </c>
      <c r="AS65" s="45">
        <f t="shared" ca="1" si="26"/>
        <v>1.3888888888888888E-2</v>
      </c>
    </row>
    <row r="66" spans="2:45" outlineLevel="1" collapsed="1" x14ac:dyDescent="0.15">
      <c r="B66" s="107" t="s">
        <v>437</v>
      </c>
      <c r="J66" s="44">
        <f ca="1">-$J61*J63-SUMPRODUCT(J62:$J62,OFFSET($AS65,0,1-J$8,1,J$8))</f>
        <v>-2883.5277777777778</v>
      </c>
      <c r="K66" s="44">
        <f ca="1">-$J61*K63-SUMPRODUCT($J62:K62,OFFSET($AS65,0,1-K$8,1,K$8))</f>
        <v>-5661.3055555555557</v>
      </c>
      <c r="L66" s="44">
        <f ca="1">-$J61*L63-SUMPRODUCT($J62:L62,OFFSET($AS65,0,1-L$8,1,L$8))</f>
        <v>-5661.3055555555557</v>
      </c>
      <c r="M66" s="44">
        <f ca="1">-$J61*M63-SUMPRODUCT($J62:M62,OFFSET($AS65,0,1-M$8,1,M$8))</f>
        <v>-5661.3055555555557</v>
      </c>
      <c r="N66" s="44">
        <f ca="1">-$J61*N63-SUMPRODUCT($J62:N62,OFFSET($AS65,0,1-N$8,1,N$8))</f>
        <v>-5661.3055555555557</v>
      </c>
      <c r="O66" s="44">
        <f ca="1">-$J61*O63-SUMPRODUCT($J62:O62,OFFSET($AS65,0,1-O$8,1,O$8))</f>
        <v>-5661.3055555555557</v>
      </c>
      <c r="P66" s="44">
        <f ca="1">-$J61*P63-SUMPRODUCT($J62:P62,OFFSET($AS65,0,1-P$8,1,P$8))</f>
        <v>-5661.3055555555557</v>
      </c>
      <c r="Q66" s="44">
        <f ca="1">-$J61*Q63-SUMPRODUCT($J62:Q62,OFFSET($AS65,0,1-Q$8,1,Q$8))</f>
        <v>-5661.3055555555557</v>
      </c>
      <c r="R66" s="44">
        <f ca="1">-$J61*R63-SUMPRODUCT($J62:R62,OFFSET($AS65,0,1-R$8,1,R$8))</f>
        <v>-5661.3055555555557</v>
      </c>
      <c r="S66" s="44">
        <f ca="1">-$J61*S63-SUMPRODUCT($J62:S62,OFFSET($AS65,0,1-S$8,1,S$8))</f>
        <v>-5661.3055555555557</v>
      </c>
      <c r="T66" s="44">
        <f ca="1">-$J61*T63-SUMPRODUCT($J62:T62,OFFSET($AS65,0,1-T$8,1,T$8))</f>
        <v>-5661.3055555555557</v>
      </c>
      <c r="U66" s="44">
        <f ca="1">-$J61*U63-SUMPRODUCT($J62:U62,OFFSET($AS65,0,1-U$8,1,U$8))</f>
        <v>-5661.3055555555557</v>
      </c>
      <c r="V66" s="44">
        <f ca="1">-$J61*V63-SUMPRODUCT($J62:V62,OFFSET($AS65,0,1-V$8,1,V$8))</f>
        <v>-5661.3055555555557</v>
      </c>
      <c r="W66" s="44">
        <f ca="1">-$J61*W63-SUMPRODUCT($J62:W62,OFFSET($AS65,0,1-W$8,1,W$8))</f>
        <v>-5661.3055555555557</v>
      </c>
      <c r="X66" s="44">
        <f ca="1">-$J61*X63-SUMPRODUCT($J62:X62,OFFSET($AS65,0,1-X$8,1,X$8))</f>
        <v>-5661.3055555555557</v>
      </c>
      <c r="Y66" s="44">
        <f ca="1">-$J61*Y63-SUMPRODUCT($J62:Y62,OFFSET($AS65,0,1-Y$8,1,Y$8))</f>
        <v>-5661.3055555555557</v>
      </c>
      <c r="Z66" s="44">
        <f ca="1">-$J61*Z63-SUMPRODUCT($J62:Z62,OFFSET($AS65,0,1-Z$8,1,Z$8))</f>
        <v>-5661.3055555555557</v>
      </c>
      <c r="AA66" s="44">
        <f ca="1">-$J61*AA63-SUMPRODUCT($J62:AA62,OFFSET($AS65,0,1-AA$8,1,AA$8))</f>
        <v>-5661.3055555555557</v>
      </c>
      <c r="AB66" s="44">
        <f ca="1">-$J61*AB63-SUMPRODUCT($J62:AB62,OFFSET($AS65,0,1-AB$8,1,AB$8))</f>
        <v>-5661.3055555555557</v>
      </c>
      <c r="AC66" s="44">
        <f ca="1">-$J61*AC63-SUMPRODUCT($J62:AC62,OFFSET($AS65,0,1-AC$8,1,AC$8))</f>
        <v>-5661.3055555555557</v>
      </c>
      <c r="AD66" s="44">
        <f ca="1">-$J61*AD63-SUMPRODUCT($J62:AD62,OFFSET($AS65,0,1-AD$8,1,AD$8))</f>
        <v>-5661.3055555555557</v>
      </c>
      <c r="AE66" s="44">
        <f ca="1">-$J61*AE63-SUMPRODUCT($J62:AE62,OFFSET($AS65,0,1-AE$8,1,AE$8))</f>
        <v>-5661.3055555555557</v>
      </c>
      <c r="AF66" s="44">
        <f ca="1">-$J61*AF63-SUMPRODUCT($J62:AF62,OFFSET($AS65,0,1-AF$8,1,AF$8))</f>
        <v>-5661.3055555555557</v>
      </c>
      <c r="AG66" s="44">
        <f ca="1">-$J61*AG63-SUMPRODUCT($J62:AG62,OFFSET($AS65,0,1-AG$8,1,AG$8))</f>
        <v>-5661.3055555555557</v>
      </c>
      <c r="AH66" s="44">
        <f ca="1">-$J61*AH63-SUMPRODUCT($J62:AH62,OFFSET($AS65,0,1-AH$8,1,AH$8))</f>
        <v>-5555.5555555555566</v>
      </c>
      <c r="AI66" s="44">
        <f ca="1">-$J61*AI63-SUMPRODUCT($J62:AI62,OFFSET($AS65,0,1-AI$8,1,AI$8))</f>
        <v>-5555.5555555555557</v>
      </c>
      <c r="AJ66" s="44">
        <f ca="1">-$J61*AJ63-SUMPRODUCT($J62:AJ62,OFFSET($AS65,0,1-AJ$8,1,AJ$8))</f>
        <v>-5555.5555555555557</v>
      </c>
      <c r="AK66" s="44">
        <f ca="1">-$J61*AK63-SUMPRODUCT($J62:AK62,OFFSET($AS65,0,1-AK$8,1,AK$8))</f>
        <v>-5555.5555555555557</v>
      </c>
      <c r="AL66" s="44">
        <f ca="1">-$J61*AL63-SUMPRODUCT($J62:AL62,OFFSET($AS65,0,1-AL$8,1,AL$8))</f>
        <v>-5555.5555555555557</v>
      </c>
      <c r="AM66" s="44">
        <f ca="1">-$J61*AM63-SUMPRODUCT($J62:AM62,OFFSET($AS65,0,1-AM$8,1,AM$8))</f>
        <v>-5555.5555555555557</v>
      </c>
      <c r="AN66" s="44">
        <f ca="1">-$J61*AN63-SUMPRODUCT($J62:AN62,OFFSET($AS65,0,1-AN$8,1,AN$8))</f>
        <v>-5555.5555555555557</v>
      </c>
      <c r="AO66" s="44">
        <f ca="1">-$J61*AO63-SUMPRODUCT($J62:AO62,OFFSET($AS65,0,1-AO$8,1,AO$8))</f>
        <v>-5555.5555555555557</v>
      </c>
      <c r="AP66" s="44">
        <f ca="1">-$J61*AP63-SUMPRODUCT($J62:AP62,OFFSET($AS65,0,1-AP$8,1,AP$8))</f>
        <v>-5555.5555555555557</v>
      </c>
      <c r="AQ66" s="44">
        <f ca="1">-$J61*AQ63-SUMPRODUCT($J62:AQ62,OFFSET($AS65,0,1-AQ$8,1,AQ$8))</f>
        <v>-5555.5555555555557</v>
      </c>
      <c r="AR66" s="44">
        <f ca="1">-$J61*AR63-SUMPRODUCT($J62:AR62,OFFSET($AS65,0,1-AR$8,1,AR$8))</f>
        <v>-5555.5555555555557</v>
      </c>
      <c r="AS66" s="44">
        <f ca="1">-$J61*AS63-SUMPRODUCT($J62:AS62,OFFSET($AS65,0,1-AS$8,1,AS$8))</f>
        <v>-5555.5555555555557</v>
      </c>
    </row>
    <row r="67" spans="2:45" outlineLevel="1" x14ac:dyDescent="0.15">
      <c r="B67" s="16" t="s">
        <v>438</v>
      </c>
      <c r="J67" s="15">
        <f t="shared" ref="J67:AS67" ca="1" si="27">SUM(J61:J62,J66)</f>
        <v>199654.47222222222</v>
      </c>
      <c r="K67" s="15">
        <f t="shared" ca="1" si="27"/>
        <v>193993.16666666666</v>
      </c>
      <c r="L67" s="15">
        <f t="shared" ca="1" si="27"/>
        <v>188331.86111111109</v>
      </c>
      <c r="M67" s="15">
        <f t="shared" ca="1" si="27"/>
        <v>182670.55555555553</v>
      </c>
      <c r="N67" s="15">
        <f t="shared" ca="1" si="27"/>
        <v>177009.24999999997</v>
      </c>
      <c r="O67" s="15">
        <f t="shared" ca="1" si="27"/>
        <v>171347.94444444441</v>
      </c>
      <c r="P67" s="15">
        <f t="shared" ca="1" si="27"/>
        <v>165686.63888888885</v>
      </c>
      <c r="Q67" s="15">
        <f t="shared" ca="1" si="27"/>
        <v>160025.33333333328</v>
      </c>
      <c r="R67" s="15">
        <f t="shared" ca="1" si="27"/>
        <v>154364.02777777772</v>
      </c>
      <c r="S67" s="15">
        <f t="shared" ca="1" si="27"/>
        <v>148702.72222222216</v>
      </c>
      <c r="T67" s="15">
        <f t="shared" ca="1" si="27"/>
        <v>143041.4166666666</v>
      </c>
      <c r="U67" s="15">
        <f t="shared" ca="1" si="27"/>
        <v>137380.11111111104</v>
      </c>
      <c r="V67" s="15">
        <f t="shared" ca="1" si="27"/>
        <v>131718.80555555547</v>
      </c>
      <c r="W67" s="15">
        <f t="shared" ca="1" si="27"/>
        <v>126057.49999999991</v>
      </c>
      <c r="X67" s="15">
        <f t="shared" ca="1" si="27"/>
        <v>120396.19444444435</v>
      </c>
      <c r="Y67" s="15">
        <f t="shared" ca="1" si="27"/>
        <v>114734.88888888879</v>
      </c>
      <c r="Z67" s="15">
        <f t="shared" ca="1" si="27"/>
        <v>109073.58333333323</v>
      </c>
      <c r="AA67" s="15">
        <f t="shared" ca="1" si="27"/>
        <v>103412.27777777766</v>
      </c>
      <c r="AB67" s="15">
        <f t="shared" ca="1" si="27"/>
        <v>97750.972222222103</v>
      </c>
      <c r="AC67" s="15">
        <f t="shared" ca="1" si="27"/>
        <v>92089.666666666541</v>
      </c>
      <c r="AD67" s="15">
        <f t="shared" ca="1" si="27"/>
        <v>86428.361111110979</v>
      </c>
      <c r="AE67" s="15">
        <f t="shared" ca="1" si="27"/>
        <v>80767.055555555417</v>
      </c>
      <c r="AF67" s="15">
        <f t="shared" ca="1" si="27"/>
        <v>75105.749999999854</v>
      </c>
      <c r="AG67" s="15">
        <f t="shared" ca="1" si="27"/>
        <v>69444.444444444292</v>
      </c>
      <c r="AH67" s="15">
        <f t="shared" ca="1" si="27"/>
        <v>63888.888888888738</v>
      </c>
      <c r="AI67" s="15">
        <f t="shared" ca="1" si="27"/>
        <v>58333.333333333183</v>
      </c>
      <c r="AJ67" s="15">
        <f t="shared" ca="1" si="27"/>
        <v>52777.777777777628</v>
      </c>
      <c r="AK67" s="15">
        <f t="shared" ca="1" si="27"/>
        <v>47222.222222222073</v>
      </c>
      <c r="AL67" s="15">
        <f t="shared" ca="1" si="27"/>
        <v>41666.666666666519</v>
      </c>
      <c r="AM67" s="15">
        <f t="shared" ca="1" si="27"/>
        <v>36111.111111110964</v>
      </c>
      <c r="AN67" s="15">
        <f t="shared" ca="1" si="27"/>
        <v>30555.555555555409</v>
      </c>
      <c r="AO67" s="15">
        <f t="shared" ca="1" si="27"/>
        <v>24999.999999999854</v>
      </c>
      <c r="AP67" s="15">
        <f t="shared" ca="1" si="27"/>
        <v>19444.4444444443</v>
      </c>
      <c r="AQ67" s="15">
        <f t="shared" ca="1" si="27"/>
        <v>13888.888888888745</v>
      </c>
      <c r="AR67" s="15">
        <f t="shared" ca="1" si="27"/>
        <v>8333.3333333331902</v>
      </c>
      <c r="AS67" s="15">
        <f t="shared" ca="1" si="27"/>
        <v>2777.7777777776346</v>
      </c>
    </row>
    <row r="68" spans="2:45" outlineLevel="1" x14ac:dyDescent="0.15"/>
    <row r="69" spans="2:45" outlineLevel="1" x14ac:dyDescent="0.15">
      <c r="B69" s="108" t="s">
        <v>59</v>
      </c>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row>
    <row r="70" spans="2:45" outlineLevel="1" x14ac:dyDescent="0.15"/>
    <row r="71" spans="2:45" hidden="1" outlineLevel="2" x14ac:dyDescent="0.15">
      <c r="B71" s="107" t="str">
        <f>B51</f>
        <v>Fencing Equipment</v>
      </c>
      <c r="J71" s="23">
        <f t="shared" ref="J71:AS71" si="28">J52</f>
        <v>0</v>
      </c>
      <c r="K71" s="23">
        <f t="shared" ca="1" si="28"/>
        <v>9930.5555555555547</v>
      </c>
      <c r="L71" s="23">
        <f t="shared" ca="1" si="28"/>
        <v>9791.6666666666661</v>
      </c>
      <c r="M71" s="23">
        <f t="shared" ca="1" si="28"/>
        <v>9652.7777777777774</v>
      </c>
      <c r="N71" s="23">
        <f t="shared" ca="1" si="28"/>
        <v>9513.8888888888887</v>
      </c>
      <c r="O71" s="23">
        <f t="shared" ca="1" si="28"/>
        <v>9375</v>
      </c>
      <c r="P71" s="23">
        <f t="shared" ca="1" si="28"/>
        <v>9236.1111111111113</v>
      </c>
      <c r="Q71" s="23">
        <f t="shared" ca="1" si="28"/>
        <v>9097.2222222222226</v>
      </c>
      <c r="R71" s="23">
        <f t="shared" ca="1" si="28"/>
        <v>8958.3333333333339</v>
      </c>
      <c r="S71" s="23">
        <f t="shared" ca="1" si="28"/>
        <v>8819.4444444444453</v>
      </c>
      <c r="T71" s="23">
        <f t="shared" ca="1" si="28"/>
        <v>8680.5555555555566</v>
      </c>
      <c r="U71" s="23">
        <f t="shared" ca="1" si="28"/>
        <v>8541.6666666666679</v>
      </c>
      <c r="V71" s="23">
        <f t="shared" ca="1" si="28"/>
        <v>8402.7777777777792</v>
      </c>
      <c r="W71" s="23">
        <f t="shared" ca="1" si="28"/>
        <v>8263.8888888888905</v>
      </c>
      <c r="X71" s="23">
        <f t="shared" ca="1" si="28"/>
        <v>8125.0000000000018</v>
      </c>
      <c r="Y71" s="23">
        <f t="shared" ca="1" si="28"/>
        <v>7986.1111111111131</v>
      </c>
      <c r="Z71" s="23">
        <f t="shared" ca="1" si="28"/>
        <v>7847.2222222222244</v>
      </c>
      <c r="AA71" s="23">
        <f t="shared" ca="1" si="28"/>
        <v>7708.3333333333358</v>
      </c>
      <c r="AB71" s="23">
        <f t="shared" ca="1" si="28"/>
        <v>7569.4444444444471</v>
      </c>
      <c r="AC71" s="23">
        <f t="shared" ca="1" si="28"/>
        <v>7430.5555555555584</v>
      </c>
      <c r="AD71" s="23">
        <f t="shared" ca="1" si="28"/>
        <v>7291.6666666666697</v>
      </c>
      <c r="AE71" s="23">
        <f t="shared" ca="1" si="28"/>
        <v>7152.777777777781</v>
      </c>
      <c r="AF71" s="23">
        <f t="shared" ca="1" si="28"/>
        <v>7013.8888888888923</v>
      </c>
      <c r="AG71" s="23">
        <f t="shared" ca="1" si="28"/>
        <v>6875.0000000000036</v>
      </c>
      <c r="AH71" s="23">
        <f t="shared" ca="1" si="28"/>
        <v>6736.111111111115</v>
      </c>
      <c r="AI71" s="23">
        <f t="shared" ca="1" si="28"/>
        <v>6597.2222222222263</v>
      </c>
      <c r="AJ71" s="23">
        <f t="shared" ca="1" si="28"/>
        <v>6458.3333333333376</v>
      </c>
      <c r="AK71" s="23">
        <f t="shared" ca="1" si="28"/>
        <v>6319.4444444444489</v>
      </c>
      <c r="AL71" s="23">
        <f t="shared" ca="1" si="28"/>
        <v>6180.5555555555602</v>
      </c>
      <c r="AM71" s="23">
        <f t="shared" ca="1" si="28"/>
        <v>6041.6666666666715</v>
      </c>
      <c r="AN71" s="23">
        <f t="shared" ca="1" si="28"/>
        <v>5902.7777777777828</v>
      </c>
      <c r="AO71" s="23">
        <f t="shared" ca="1" si="28"/>
        <v>5763.8888888888941</v>
      </c>
      <c r="AP71" s="23">
        <f t="shared" ca="1" si="28"/>
        <v>5625.0000000000055</v>
      </c>
      <c r="AQ71" s="23">
        <f t="shared" ca="1" si="28"/>
        <v>5486.1111111111168</v>
      </c>
      <c r="AR71" s="23">
        <f t="shared" ca="1" si="28"/>
        <v>5347.2222222222281</v>
      </c>
      <c r="AS71" s="23">
        <f t="shared" ca="1" si="28"/>
        <v>5208.3333333333394</v>
      </c>
    </row>
    <row r="72" spans="2:45" hidden="1" outlineLevel="2" collapsed="1" x14ac:dyDescent="0.15">
      <c r="B72" s="107" t="str">
        <f>B60</f>
        <v>Leashold Improvements</v>
      </c>
      <c r="J72" s="24">
        <f t="shared" ref="J72:AS72" si="29">J61</f>
        <v>2538</v>
      </c>
      <c r="K72" s="24">
        <f t="shared" ca="1" si="29"/>
        <v>199654.47222222222</v>
      </c>
      <c r="L72" s="24">
        <f t="shared" ca="1" si="29"/>
        <v>193993.16666666666</v>
      </c>
      <c r="M72" s="24">
        <f t="shared" ca="1" si="29"/>
        <v>188331.86111111109</v>
      </c>
      <c r="N72" s="24">
        <f t="shared" ca="1" si="29"/>
        <v>182670.55555555553</v>
      </c>
      <c r="O72" s="24">
        <f t="shared" ca="1" si="29"/>
        <v>177009.24999999997</v>
      </c>
      <c r="P72" s="24">
        <f t="shared" ca="1" si="29"/>
        <v>171347.94444444441</v>
      </c>
      <c r="Q72" s="24">
        <f t="shared" ca="1" si="29"/>
        <v>165686.63888888885</v>
      </c>
      <c r="R72" s="24">
        <f t="shared" ca="1" si="29"/>
        <v>160025.33333333328</v>
      </c>
      <c r="S72" s="24">
        <f t="shared" ca="1" si="29"/>
        <v>154364.02777777772</v>
      </c>
      <c r="T72" s="24">
        <f t="shared" ca="1" si="29"/>
        <v>148702.72222222216</v>
      </c>
      <c r="U72" s="24">
        <f t="shared" ca="1" si="29"/>
        <v>143041.4166666666</v>
      </c>
      <c r="V72" s="24">
        <f t="shared" ca="1" si="29"/>
        <v>137380.11111111104</v>
      </c>
      <c r="W72" s="24">
        <f t="shared" ca="1" si="29"/>
        <v>131718.80555555547</v>
      </c>
      <c r="X72" s="24">
        <f t="shared" ca="1" si="29"/>
        <v>126057.49999999991</v>
      </c>
      <c r="Y72" s="24">
        <f t="shared" ca="1" si="29"/>
        <v>120396.19444444435</v>
      </c>
      <c r="Z72" s="24">
        <f t="shared" ca="1" si="29"/>
        <v>114734.88888888879</v>
      </c>
      <c r="AA72" s="24">
        <f t="shared" ca="1" si="29"/>
        <v>109073.58333333323</v>
      </c>
      <c r="AB72" s="24">
        <f t="shared" ca="1" si="29"/>
        <v>103412.27777777766</v>
      </c>
      <c r="AC72" s="24">
        <f t="shared" ca="1" si="29"/>
        <v>97750.972222222103</v>
      </c>
      <c r="AD72" s="24">
        <f t="shared" ca="1" si="29"/>
        <v>92089.666666666541</v>
      </c>
      <c r="AE72" s="24">
        <f t="shared" ca="1" si="29"/>
        <v>86428.361111110979</v>
      </c>
      <c r="AF72" s="24">
        <f t="shared" ca="1" si="29"/>
        <v>80767.055555555417</v>
      </c>
      <c r="AG72" s="24">
        <f t="shared" ca="1" si="29"/>
        <v>75105.749999999854</v>
      </c>
      <c r="AH72" s="24">
        <f t="shared" ca="1" si="29"/>
        <v>69444.444444444292</v>
      </c>
      <c r="AI72" s="24">
        <f t="shared" ca="1" si="29"/>
        <v>63888.888888888738</v>
      </c>
      <c r="AJ72" s="24">
        <f t="shared" ca="1" si="29"/>
        <v>58333.333333333183</v>
      </c>
      <c r="AK72" s="24">
        <f t="shared" ca="1" si="29"/>
        <v>52777.777777777628</v>
      </c>
      <c r="AL72" s="24">
        <f t="shared" ca="1" si="29"/>
        <v>47222.222222222073</v>
      </c>
      <c r="AM72" s="24">
        <f t="shared" ca="1" si="29"/>
        <v>41666.666666666519</v>
      </c>
      <c r="AN72" s="24">
        <f t="shared" ca="1" si="29"/>
        <v>36111.111111110964</v>
      </c>
      <c r="AO72" s="24">
        <f t="shared" ca="1" si="29"/>
        <v>30555.555555555409</v>
      </c>
      <c r="AP72" s="24">
        <f t="shared" ca="1" si="29"/>
        <v>24999.999999999854</v>
      </c>
      <c r="AQ72" s="24">
        <f t="shared" ca="1" si="29"/>
        <v>19444.4444444443</v>
      </c>
      <c r="AR72" s="24">
        <f t="shared" ca="1" si="29"/>
        <v>13888.888888888745</v>
      </c>
      <c r="AS72" s="24">
        <f t="shared" ca="1" si="29"/>
        <v>8333.3333333331902</v>
      </c>
    </row>
    <row r="73" spans="2:45" outlineLevel="1" collapsed="1" x14ac:dyDescent="0.15">
      <c r="B73" s="107" t="s">
        <v>433</v>
      </c>
      <c r="J73" s="14">
        <f t="shared" ref="J73:AS73" si="30">SUM(J71:J72)</f>
        <v>2538</v>
      </c>
      <c r="K73" s="14">
        <f t="shared" ca="1" si="30"/>
        <v>209585.02777777778</v>
      </c>
      <c r="L73" s="14">
        <f t="shared" ca="1" si="30"/>
        <v>203784.83333333331</v>
      </c>
      <c r="M73" s="14">
        <f t="shared" ca="1" si="30"/>
        <v>197984.63888888888</v>
      </c>
      <c r="N73" s="14">
        <f t="shared" ca="1" si="30"/>
        <v>192184.44444444441</v>
      </c>
      <c r="O73" s="14">
        <f t="shared" ca="1" si="30"/>
        <v>186384.24999999997</v>
      </c>
      <c r="P73" s="14">
        <f t="shared" ca="1" si="30"/>
        <v>180584.05555555553</v>
      </c>
      <c r="Q73" s="14">
        <f t="shared" ca="1" si="30"/>
        <v>174783.86111111107</v>
      </c>
      <c r="R73" s="14">
        <f t="shared" ca="1" si="30"/>
        <v>168983.66666666663</v>
      </c>
      <c r="S73" s="14">
        <f t="shared" ca="1" si="30"/>
        <v>163183.47222222216</v>
      </c>
      <c r="T73" s="14">
        <f t="shared" ca="1" si="30"/>
        <v>157383.27777777772</v>
      </c>
      <c r="U73" s="14">
        <f t="shared" ca="1" si="30"/>
        <v>151583.08333333326</v>
      </c>
      <c r="V73" s="14">
        <f t="shared" ca="1" si="30"/>
        <v>145782.88888888882</v>
      </c>
      <c r="W73" s="14">
        <f t="shared" ca="1" si="30"/>
        <v>139982.69444444438</v>
      </c>
      <c r="X73" s="14">
        <f t="shared" ca="1" si="30"/>
        <v>134182.49999999991</v>
      </c>
      <c r="Y73" s="14">
        <f t="shared" ca="1" si="30"/>
        <v>128382.30555555546</v>
      </c>
      <c r="Z73" s="14">
        <f t="shared" ca="1" si="30"/>
        <v>122582.11111111101</v>
      </c>
      <c r="AA73" s="14">
        <f t="shared" ca="1" si="30"/>
        <v>116781.91666666657</v>
      </c>
      <c r="AB73" s="14">
        <f t="shared" ca="1" si="30"/>
        <v>110981.72222222212</v>
      </c>
      <c r="AC73" s="14">
        <f t="shared" ca="1" si="30"/>
        <v>105181.52777777766</v>
      </c>
      <c r="AD73" s="14">
        <f t="shared" ca="1" si="30"/>
        <v>99381.333333333212</v>
      </c>
      <c r="AE73" s="14">
        <f t="shared" ca="1" si="30"/>
        <v>93581.13888888876</v>
      </c>
      <c r="AF73" s="14">
        <f t="shared" ca="1" si="30"/>
        <v>87780.944444444307</v>
      </c>
      <c r="AG73" s="14">
        <f t="shared" ca="1" si="30"/>
        <v>81980.749999999854</v>
      </c>
      <c r="AH73" s="14">
        <f t="shared" ca="1" si="30"/>
        <v>76180.555555555402</v>
      </c>
      <c r="AI73" s="14">
        <f t="shared" ca="1" si="30"/>
        <v>70486.111111110964</v>
      </c>
      <c r="AJ73" s="14">
        <f t="shared" ca="1" si="30"/>
        <v>64791.666666666519</v>
      </c>
      <c r="AK73" s="14">
        <f t="shared" ca="1" si="30"/>
        <v>59097.222222222073</v>
      </c>
      <c r="AL73" s="14">
        <f t="shared" ca="1" si="30"/>
        <v>53402.777777777635</v>
      </c>
      <c r="AM73" s="14">
        <f t="shared" ca="1" si="30"/>
        <v>47708.33333333319</v>
      </c>
      <c r="AN73" s="14">
        <f t="shared" ca="1" si="30"/>
        <v>42013.888888888745</v>
      </c>
      <c r="AO73" s="14">
        <f t="shared" ca="1" si="30"/>
        <v>36319.444444444307</v>
      </c>
      <c r="AP73" s="14">
        <f t="shared" ca="1" si="30"/>
        <v>30624.999999999862</v>
      </c>
      <c r="AQ73" s="14">
        <f t="shared" ca="1" si="30"/>
        <v>24930.555555555417</v>
      </c>
      <c r="AR73" s="14">
        <f t="shared" ca="1" si="30"/>
        <v>19236.111111110971</v>
      </c>
      <c r="AS73" s="14">
        <f t="shared" ca="1" si="30"/>
        <v>13541.66666666653</v>
      </c>
    </row>
    <row r="74" spans="2:45" outlineLevel="2" x14ac:dyDescent="0.15"/>
    <row r="75" spans="2:45" outlineLevel="2" x14ac:dyDescent="0.15">
      <c r="B75" s="107" t="str">
        <f>B51</f>
        <v>Fencing Equipment</v>
      </c>
      <c r="J75" s="23">
        <f t="shared" ref="J75:AS75" si="31">J53</f>
        <v>10000</v>
      </c>
      <c r="K75" s="23">
        <f t="shared" si="31"/>
        <v>0</v>
      </c>
      <c r="L75" s="23">
        <f t="shared" si="31"/>
        <v>0</v>
      </c>
      <c r="M75" s="23">
        <f t="shared" si="31"/>
        <v>0</v>
      </c>
      <c r="N75" s="23">
        <f t="shared" si="31"/>
        <v>0</v>
      </c>
      <c r="O75" s="23">
        <f t="shared" si="31"/>
        <v>0</v>
      </c>
      <c r="P75" s="23">
        <f t="shared" si="31"/>
        <v>0</v>
      </c>
      <c r="Q75" s="23">
        <f t="shared" si="31"/>
        <v>0</v>
      </c>
      <c r="R75" s="23">
        <f t="shared" si="31"/>
        <v>0</v>
      </c>
      <c r="S75" s="23">
        <f t="shared" si="31"/>
        <v>0</v>
      </c>
      <c r="T75" s="23">
        <f t="shared" si="31"/>
        <v>0</v>
      </c>
      <c r="U75" s="23">
        <f t="shared" si="31"/>
        <v>0</v>
      </c>
      <c r="V75" s="23">
        <f t="shared" si="31"/>
        <v>0</v>
      </c>
      <c r="W75" s="23">
        <f t="shared" si="31"/>
        <v>0</v>
      </c>
      <c r="X75" s="23">
        <f t="shared" si="31"/>
        <v>0</v>
      </c>
      <c r="Y75" s="23">
        <f t="shared" si="31"/>
        <v>0</v>
      </c>
      <c r="Z75" s="23">
        <f t="shared" si="31"/>
        <v>0</v>
      </c>
      <c r="AA75" s="23">
        <f t="shared" si="31"/>
        <v>0</v>
      </c>
      <c r="AB75" s="23">
        <f t="shared" si="31"/>
        <v>0</v>
      </c>
      <c r="AC75" s="23">
        <f t="shared" si="31"/>
        <v>0</v>
      </c>
      <c r="AD75" s="23">
        <f t="shared" si="31"/>
        <v>0</v>
      </c>
      <c r="AE75" s="23">
        <f t="shared" si="31"/>
        <v>0</v>
      </c>
      <c r="AF75" s="23">
        <f t="shared" si="31"/>
        <v>0</v>
      </c>
      <c r="AG75" s="23">
        <f t="shared" si="31"/>
        <v>0</v>
      </c>
      <c r="AH75" s="23">
        <f t="shared" si="31"/>
        <v>0</v>
      </c>
      <c r="AI75" s="23">
        <f t="shared" si="31"/>
        <v>0</v>
      </c>
      <c r="AJ75" s="23">
        <f t="shared" si="31"/>
        <v>0</v>
      </c>
      <c r="AK75" s="23">
        <f t="shared" si="31"/>
        <v>0</v>
      </c>
      <c r="AL75" s="23">
        <f t="shared" si="31"/>
        <v>0</v>
      </c>
      <c r="AM75" s="23">
        <f t="shared" si="31"/>
        <v>0</v>
      </c>
      <c r="AN75" s="23">
        <f t="shared" si="31"/>
        <v>0</v>
      </c>
      <c r="AO75" s="23">
        <f t="shared" si="31"/>
        <v>0</v>
      </c>
      <c r="AP75" s="23">
        <f t="shared" si="31"/>
        <v>0</v>
      </c>
      <c r="AQ75" s="23">
        <f t="shared" si="31"/>
        <v>0</v>
      </c>
      <c r="AR75" s="23">
        <f t="shared" si="31"/>
        <v>0</v>
      </c>
      <c r="AS75" s="23">
        <f t="shared" si="31"/>
        <v>0</v>
      </c>
    </row>
    <row r="76" spans="2:45" outlineLevel="2" collapsed="1" x14ac:dyDescent="0.15">
      <c r="B76" s="107" t="str">
        <f>B60</f>
        <v>Leashold Improvements</v>
      </c>
      <c r="J76" s="24">
        <f t="shared" ref="J76:AS76" si="32">J62</f>
        <v>200000</v>
      </c>
      <c r="K76" s="24">
        <f t="shared" si="32"/>
        <v>0</v>
      </c>
      <c r="L76" s="24">
        <f t="shared" si="32"/>
        <v>0</v>
      </c>
      <c r="M76" s="24">
        <f t="shared" si="32"/>
        <v>0</v>
      </c>
      <c r="N76" s="24">
        <f t="shared" si="32"/>
        <v>0</v>
      </c>
      <c r="O76" s="24">
        <f t="shared" si="32"/>
        <v>0</v>
      </c>
      <c r="P76" s="24">
        <f t="shared" si="32"/>
        <v>0</v>
      </c>
      <c r="Q76" s="24">
        <f t="shared" si="32"/>
        <v>0</v>
      </c>
      <c r="R76" s="24">
        <f t="shared" si="32"/>
        <v>0</v>
      </c>
      <c r="S76" s="24">
        <f t="shared" si="32"/>
        <v>0</v>
      </c>
      <c r="T76" s="24">
        <f t="shared" si="32"/>
        <v>0</v>
      </c>
      <c r="U76" s="24">
        <f t="shared" si="32"/>
        <v>0</v>
      </c>
      <c r="V76" s="24">
        <f t="shared" si="32"/>
        <v>0</v>
      </c>
      <c r="W76" s="24">
        <f t="shared" si="32"/>
        <v>0</v>
      </c>
      <c r="X76" s="24">
        <f t="shared" si="32"/>
        <v>0</v>
      </c>
      <c r="Y76" s="24">
        <f t="shared" si="32"/>
        <v>0</v>
      </c>
      <c r="Z76" s="24">
        <f t="shared" si="32"/>
        <v>0</v>
      </c>
      <c r="AA76" s="24">
        <f t="shared" si="32"/>
        <v>0</v>
      </c>
      <c r="AB76" s="24">
        <f t="shared" si="32"/>
        <v>0</v>
      </c>
      <c r="AC76" s="24">
        <f t="shared" si="32"/>
        <v>0</v>
      </c>
      <c r="AD76" s="24">
        <f t="shared" si="32"/>
        <v>0</v>
      </c>
      <c r="AE76" s="24">
        <f t="shared" si="32"/>
        <v>0</v>
      </c>
      <c r="AF76" s="24">
        <f t="shared" si="32"/>
        <v>0</v>
      </c>
      <c r="AG76" s="24">
        <f t="shared" si="32"/>
        <v>0</v>
      </c>
      <c r="AH76" s="24">
        <f t="shared" si="32"/>
        <v>0</v>
      </c>
      <c r="AI76" s="24">
        <f t="shared" si="32"/>
        <v>0</v>
      </c>
      <c r="AJ76" s="24">
        <f t="shared" si="32"/>
        <v>0</v>
      </c>
      <c r="AK76" s="24">
        <f t="shared" si="32"/>
        <v>0</v>
      </c>
      <c r="AL76" s="24">
        <f t="shared" si="32"/>
        <v>0</v>
      </c>
      <c r="AM76" s="24">
        <f t="shared" si="32"/>
        <v>0</v>
      </c>
      <c r="AN76" s="24">
        <f t="shared" si="32"/>
        <v>0</v>
      </c>
      <c r="AO76" s="24">
        <f t="shared" si="32"/>
        <v>0</v>
      </c>
      <c r="AP76" s="24">
        <f t="shared" si="32"/>
        <v>0</v>
      </c>
      <c r="AQ76" s="24">
        <f t="shared" si="32"/>
        <v>0</v>
      </c>
      <c r="AR76" s="24">
        <f t="shared" si="32"/>
        <v>0</v>
      </c>
      <c r="AS76" s="24">
        <f t="shared" si="32"/>
        <v>0</v>
      </c>
    </row>
    <row r="77" spans="2:45" outlineLevel="1" x14ac:dyDescent="0.15">
      <c r="B77" s="107" t="s">
        <v>270</v>
      </c>
      <c r="J77" s="14">
        <f t="shared" ref="J77:AS77" si="33">SUM(J75:J76)</f>
        <v>210000</v>
      </c>
      <c r="K77" s="14">
        <f t="shared" si="33"/>
        <v>0</v>
      </c>
      <c r="L77" s="14">
        <f t="shared" si="33"/>
        <v>0</v>
      </c>
      <c r="M77" s="14">
        <f t="shared" si="33"/>
        <v>0</v>
      </c>
      <c r="N77" s="14">
        <f t="shared" si="33"/>
        <v>0</v>
      </c>
      <c r="O77" s="14">
        <f t="shared" si="33"/>
        <v>0</v>
      </c>
      <c r="P77" s="14">
        <f t="shared" si="33"/>
        <v>0</v>
      </c>
      <c r="Q77" s="14">
        <f t="shared" si="33"/>
        <v>0</v>
      </c>
      <c r="R77" s="14">
        <f t="shared" si="33"/>
        <v>0</v>
      </c>
      <c r="S77" s="14">
        <f t="shared" si="33"/>
        <v>0</v>
      </c>
      <c r="T77" s="14">
        <f t="shared" si="33"/>
        <v>0</v>
      </c>
      <c r="U77" s="14">
        <f t="shared" si="33"/>
        <v>0</v>
      </c>
      <c r="V77" s="14">
        <f t="shared" si="33"/>
        <v>0</v>
      </c>
      <c r="W77" s="14">
        <f t="shared" si="33"/>
        <v>0</v>
      </c>
      <c r="X77" s="14">
        <f t="shared" si="33"/>
        <v>0</v>
      </c>
      <c r="Y77" s="14">
        <f t="shared" si="33"/>
        <v>0</v>
      </c>
      <c r="Z77" s="14">
        <f t="shared" si="33"/>
        <v>0</v>
      </c>
      <c r="AA77" s="14">
        <f t="shared" si="33"/>
        <v>0</v>
      </c>
      <c r="AB77" s="14">
        <f t="shared" si="33"/>
        <v>0</v>
      </c>
      <c r="AC77" s="14">
        <f t="shared" si="33"/>
        <v>0</v>
      </c>
      <c r="AD77" s="14">
        <f t="shared" si="33"/>
        <v>0</v>
      </c>
      <c r="AE77" s="14">
        <f t="shared" si="33"/>
        <v>0</v>
      </c>
      <c r="AF77" s="14">
        <f t="shared" si="33"/>
        <v>0</v>
      </c>
      <c r="AG77" s="14">
        <f t="shared" si="33"/>
        <v>0</v>
      </c>
      <c r="AH77" s="14">
        <f t="shared" si="33"/>
        <v>0</v>
      </c>
      <c r="AI77" s="14">
        <f t="shared" si="33"/>
        <v>0</v>
      </c>
      <c r="AJ77" s="14">
        <f t="shared" si="33"/>
        <v>0</v>
      </c>
      <c r="AK77" s="14">
        <f t="shared" si="33"/>
        <v>0</v>
      </c>
      <c r="AL77" s="14">
        <f t="shared" si="33"/>
        <v>0</v>
      </c>
      <c r="AM77" s="14">
        <f t="shared" si="33"/>
        <v>0</v>
      </c>
      <c r="AN77" s="14">
        <f t="shared" si="33"/>
        <v>0</v>
      </c>
      <c r="AO77" s="14">
        <f t="shared" si="33"/>
        <v>0</v>
      </c>
      <c r="AP77" s="14">
        <f t="shared" si="33"/>
        <v>0</v>
      </c>
      <c r="AQ77" s="14">
        <f t="shared" si="33"/>
        <v>0</v>
      </c>
      <c r="AR77" s="14">
        <f t="shared" si="33"/>
        <v>0</v>
      </c>
      <c r="AS77" s="14">
        <f t="shared" si="33"/>
        <v>0</v>
      </c>
    </row>
    <row r="78" spans="2:45" hidden="1" outlineLevel="2" x14ac:dyDescent="0.15"/>
    <row r="79" spans="2:45" hidden="1" outlineLevel="2" x14ac:dyDescent="0.15">
      <c r="B79" s="107" t="str">
        <f>B51</f>
        <v>Fencing Equipment</v>
      </c>
      <c r="J79" s="23">
        <f t="shared" ref="J79:AS79" ca="1" si="34">J57</f>
        <v>-69.444444444444443</v>
      </c>
      <c r="K79" s="23">
        <f t="shared" ca="1" si="34"/>
        <v>-138.88888888888889</v>
      </c>
      <c r="L79" s="23">
        <f t="shared" ca="1" si="34"/>
        <v>-138.88888888888889</v>
      </c>
      <c r="M79" s="23">
        <f t="shared" ca="1" si="34"/>
        <v>-138.88888888888889</v>
      </c>
      <c r="N79" s="23">
        <f t="shared" ca="1" si="34"/>
        <v>-138.88888888888889</v>
      </c>
      <c r="O79" s="23">
        <f t="shared" ca="1" si="34"/>
        <v>-138.88888888888889</v>
      </c>
      <c r="P79" s="23">
        <f t="shared" ca="1" si="34"/>
        <v>-138.88888888888889</v>
      </c>
      <c r="Q79" s="23">
        <f t="shared" ca="1" si="34"/>
        <v>-138.88888888888889</v>
      </c>
      <c r="R79" s="23">
        <f t="shared" ca="1" si="34"/>
        <v>-138.88888888888889</v>
      </c>
      <c r="S79" s="23">
        <f t="shared" ca="1" si="34"/>
        <v>-138.88888888888889</v>
      </c>
      <c r="T79" s="23">
        <f t="shared" ca="1" si="34"/>
        <v>-138.88888888888889</v>
      </c>
      <c r="U79" s="23">
        <f t="shared" ca="1" si="34"/>
        <v>-138.88888888888889</v>
      </c>
      <c r="V79" s="23">
        <f t="shared" ca="1" si="34"/>
        <v>-138.88888888888889</v>
      </c>
      <c r="W79" s="23">
        <f t="shared" ca="1" si="34"/>
        <v>-138.88888888888889</v>
      </c>
      <c r="X79" s="23">
        <f t="shared" ca="1" si="34"/>
        <v>-138.88888888888889</v>
      </c>
      <c r="Y79" s="23">
        <f t="shared" ca="1" si="34"/>
        <v>-138.88888888888889</v>
      </c>
      <c r="Z79" s="23">
        <f t="shared" ca="1" si="34"/>
        <v>-138.88888888888889</v>
      </c>
      <c r="AA79" s="23">
        <f t="shared" ca="1" si="34"/>
        <v>-138.88888888888889</v>
      </c>
      <c r="AB79" s="23">
        <f t="shared" ca="1" si="34"/>
        <v>-138.88888888888889</v>
      </c>
      <c r="AC79" s="23">
        <f t="shared" ca="1" si="34"/>
        <v>-138.88888888888889</v>
      </c>
      <c r="AD79" s="23">
        <f t="shared" ca="1" si="34"/>
        <v>-138.88888888888889</v>
      </c>
      <c r="AE79" s="23">
        <f t="shared" ca="1" si="34"/>
        <v>-138.88888888888889</v>
      </c>
      <c r="AF79" s="23">
        <f t="shared" ca="1" si="34"/>
        <v>-138.88888888888889</v>
      </c>
      <c r="AG79" s="23">
        <f t="shared" ca="1" si="34"/>
        <v>-138.88888888888889</v>
      </c>
      <c r="AH79" s="23">
        <f t="shared" ca="1" si="34"/>
        <v>-138.88888888888889</v>
      </c>
      <c r="AI79" s="23">
        <f t="shared" ca="1" si="34"/>
        <v>-138.88888888888889</v>
      </c>
      <c r="AJ79" s="23">
        <f t="shared" ca="1" si="34"/>
        <v>-138.88888888888889</v>
      </c>
      <c r="AK79" s="23">
        <f t="shared" ca="1" si="34"/>
        <v>-138.88888888888889</v>
      </c>
      <c r="AL79" s="23">
        <f t="shared" ca="1" si="34"/>
        <v>-138.88888888888889</v>
      </c>
      <c r="AM79" s="23">
        <f t="shared" ca="1" si="34"/>
        <v>-138.88888888888889</v>
      </c>
      <c r="AN79" s="23">
        <f t="shared" ca="1" si="34"/>
        <v>-138.88888888888889</v>
      </c>
      <c r="AO79" s="23">
        <f t="shared" ca="1" si="34"/>
        <v>-138.88888888888889</v>
      </c>
      <c r="AP79" s="23">
        <f t="shared" ca="1" si="34"/>
        <v>-138.88888888888889</v>
      </c>
      <c r="AQ79" s="23">
        <f t="shared" ca="1" si="34"/>
        <v>-138.88888888888889</v>
      </c>
      <c r="AR79" s="23">
        <f t="shared" ca="1" si="34"/>
        <v>-138.88888888888889</v>
      </c>
      <c r="AS79" s="23">
        <f t="shared" ca="1" si="34"/>
        <v>-138.88888888888889</v>
      </c>
    </row>
    <row r="80" spans="2:45" hidden="1" outlineLevel="2" collapsed="1" x14ac:dyDescent="0.15">
      <c r="B80" s="107" t="str">
        <f>B60</f>
        <v>Leashold Improvements</v>
      </c>
      <c r="J80" s="24">
        <f t="shared" ref="J80:AS80" ca="1" si="35">J66</f>
        <v>-2883.5277777777778</v>
      </c>
      <c r="K80" s="24">
        <f t="shared" ca="1" si="35"/>
        <v>-5661.3055555555557</v>
      </c>
      <c r="L80" s="24">
        <f t="shared" ca="1" si="35"/>
        <v>-5661.3055555555557</v>
      </c>
      <c r="M80" s="24">
        <f t="shared" ca="1" si="35"/>
        <v>-5661.3055555555557</v>
      </c>
      <c r="N80" s="24">
        <f t="shared" ca="1" si="35"/>
        <v>-5661.3055555555557</v>
      </c>
      <c r="O80" s="24">
        <f t="shared" ca="1" si="35"/>
        <v>-5661.3055555555557</v>
      </c>
      <c r="P80" s="24">
        <f t="shared" ca="1" si="35"/>
        <v>-5661.3055555555557</v>
      </c>
      <c r="Q80" s="24">
        <f t="shared" ca="1" si="35"/>
        <v>-5661.3055555555557</v>
      </c>
      <c r="R80" s="24">
        <f t="shared" ca="1" si="35"/>
        <v>-5661.3055555555557</v>
      </c>
      <c r="S80" s="24">
        <f t="shared" ca="1" si="35"/>
        <v>-5661.3055555555557</v>
      </c>
      <c r="T80" s="24">
        <f t="shared" ca="1" si="35"/>
        <v>-5661.3055555555557</v>
      </c>
      <c r="U80" s="24">
        <f t="shared" ca="1" si="35"/>
        <v>-5661.3055555555557</v>
      </c>
      <c r="V80" s="24">
        <f t="shared" ca="1" si="35"/>
        <v>-5661.3055555555557</v>
      </c>
      <c r="W80" s="24">
        <f t="shared" ca="1" si="35"/>
        <v>-5661.3055555555557</v>
      </c>
      <c r="X80" s="24">
        <f t="shared" ca="1" si="35"/>
        <v>-5661.3055555555557</v>
      </c>
      <c r="Y80" s="24">
        <f t="shared" ca="1" si="35"/>
        <v>-5661.3055555555557</v>
      </c>
      <c r="Z80" s="24">
        <f t="shared" ca="1" si="35"/>
        <v>-5661.3055555555557</v>
      </c>
      <c r="AA80" s="24">
        <f t="shared" ca="1" si="35"/>
        <v>-5661.3055555555557</v>
      </c>
      <c r="AB80" s="24">
        <f t="shared" ca="1" si="35"/>
        <v>-5661.3055555555557</v>
      </c>
      <c r="AC80" s="24">
        <f t="shared" ca="1" si="35"/>
        <v>-5661.3055555555557</v>
      </c>
      <c r="AD80" s="24">
        <f t="shared" ca="1" si="35"/>
        <v>-5661.3055555555557</v>
      </c>
      <c r="AE80" s="24">
        <f t="shared" ca="1" si="35"/>
        <v>-5661.3055555555557</v>
      </c>
      <c r="AF80" s="24">
        <f t="shared" ca="1" si="35"/>
        <v>-5661.3055555555557</v>
      </c>
      <c r="AG80" s="24">
        <f t="shared" ca="1" si="35"/>
        <v>-5661.3055555555557</v>
      </c>
      <c r="AH80" s="24">
        <f t="shared" ca="1" si="35"/>
        <v>-5555.5555555555566</v>
      </c>
      <c r="AI80" s="24">
        <f t="shared" ca="1" si="35"/>
        <v>-5555.5555555555557</v>
      </c>
      <c r="AJ80" s="24">
        <f t="shared" ca="1" si="35"/>
        <v>-5555.5555555555557</v>
      </c>
      <c r="AK80" s="24">
        <f t="shared" ca="1" si="35"/>
        <v>-5555.5555555555557</v>
      </c>
      <c r="AL80" s="24">
        <f t="shared" ca="1" si="35"/>
        <v>-5555.5555555555557</v>
      </c>
      <c r="AM80" s="24">
        <f t="shared" ca="1" si="35"/>
        <v>-5555.5555555555557</v>
      </c>
      <c r="AN80" s="24">
        <f t="shared" ca="1" si="35"/>
        <v>-5555.5555555555557</v>
      </c>
      <c r="AO80" s="24">
        <f t="shared" ca="1" si="35"/>
        <v>-5555.5555555555557</v>
      </c>
      <c r="AP80" s="24">
        <f t="shared" ca="1" si="35"/>
        <v>-5555.5555555555557</v>
      </c>
      <c r="AQ80" s="24">
        <f t="shared" ca="1" si="35"/>
        <v>-5555.5555555555557</v>
      </c>
      <c r="AR80" s="24">
        <f t="shared" ca="1" si="35"/>
        <v>-5555.5555555555557</v>
      </c>
      <c r="AS80" s="24">
        <f t="shared" ca="1" si="35"/>
        <v>-5555.5555555555557</v>
      </c>
    </row>
    <row r="81" spans="2:45" outlineLevel="1" collapsed="1" x14ac:dyDescent="0.15">
      <c r="B81" s="107" t="s">
        <v>437</v>
      </c>
      <c r="J81" s="14">
        <f t="shared" ref="J81:AS81" ca="1" si="36">SUM(J79:J80)</f>
        <v>-2952.9722222222222</v>
      </c>
      <c r="K81" s="14">
        <f t="shared" ca="1" si="36"/>
        <v>-5800.1944444444443</v>
      </c>
      <c r="L81" s="14">
        <f t="shared" ca="1" si="36"/>
        <v>-5800.1944444444443</v>
      </c>
      <c r="M81" s="14">
        <f t="shared" ca="1" si="36"/>
        <v>-5800.1944444444443</v>
      </c>
      <c r="N81" s="14">
        <f t="shared" ca="1" si="36"/>
        <v>-5800.1944444444443</v>
      </c>
      <c r="O81" s="14">
        <f t="shared" ca="1" si="36"/>
        <v>-5800.1944444444443</v>
      </c>
      <c r="P81" s="14">
        <f t="shared" ca="1" si="36"/>
        <v>-5800.1944444444443</v>
      </c>
      <c r="Q81" s="14">
        <f t="shared" ca="1" si="36"/>
        <v>-5800.1944444444443</v>
      </c>
      <c r="R81" s="14">
        <f t="shared" ca="1" si="36"/>
        <v>-5800.1944444444443</v>
      </c>
      <c r="S81" s="14">
        <f t="shared" ca="1" si="36"/>
        <v>-5800.1944444444443</v>
      </c>
      <c r="T81" s="14">
        <f t="shared" ca="1" si="36"/>
        <v>-5800.1944444444443</v>
      </c>
      <c r="U81" s="14">
        <f t="shared" ca="1" si="36"/>
        <v>-5800.1944444444443</v>
      </c>
      <c r="V81" s="14">
        <f t="shared" ca="1" si="36"/>
        <v>-5800.1944444444443</v>
      </c>
      <c r="W81" s="14">
        <f t="shared" ca="1" si="36"/>
        <v>-5800.1944444444443</v>
      </c>
      <c r="X81" s="14">
        <f t="shared" ca="1" si="36"/>
        <v>-5800.1944444444443</v>
      </c>
      <c r="Y81" s="14">
        <f t="shared" ca="1" si="36"/>
        <v>-5800.1944444444443</v>
      </c>
      <c r="Z81" s="14">
        <f t="shared" ca="1" si="36"/>
        <v>-5800.1944444444443</v>
      </c>
      <c r="AA81" s="14">
        <f t="shared" ca="1" si="36"/>
        <v>-5800.1944444444443</v>
      </c>
      <c r="AB81" s="14">
        <f t="shared" ca="1" si="36"/>
        <v>-5800.1944444444443</v>
      </c>
      <c r="AC81" s="14">
        <f t="shared" ca="1" si="36"/>
        <v>-5800.1944444444443</v>
      </c>
      <c r="AD81" s="14">
        <f t="shared" ca="1" si="36"/>
        <v>-5800.1944444444443</v>
      </c>
      <c r="AE81" s="14">
        <f t="shared" ca="1" si="36"/>
        <v>-5800.1944444444443</v>
      </c>
      <c r="AF81" s="14">
        <f t="shared" ca="1" si="36"/>
        <v>-5800.1944444444443</v>
      </c>
      <c r="AG81" s="14">
        <f t="shared" ca="1" si="36"/>
        <v>-5800.1944444444443</v>
      </c>
      <c r="AH81" s="14">
        <f t="shared" ca="1" si="36"/>
        <v>-5694.4444444444453</v>
      </c>
      <c r="AI81" s="14">
        <f t="shared" ca="1" si="36"/>
        <v>-5694.4444444444443</v>
      </c>
      <c r="AJ81" s="14">
        <f t="shared" ca="1" si="36"/>
        <v>-5694.4444444444443</v>
      </c>
      <c r="AK81" s="14">
        <f t="shared" ca="1" si="36"/>
        <v>-5694.4444444444443</v>
      </c>
      <c r="AL81" s="14">
        <f t="shared" ca="1" si="36"/>
        <v>-5694.4444444444443</v>
      </c>
      <c r="AM81" s="14">
        <f t="shared" ca="1" si="36"/>
        <v>-5694.4444444444443</v>
      </c>
      <c r="AN81" s="14">
        <f t="shared" ca="1" si="36"/>
        <v>-5694.4444444444443</v>
      </c>
      <c r="AO81" s="14">
        <f t="shared" ca="1" si="36"/>
        <v>-5694.4444444444443</v>
      </c>
      <c r="AP81" s="14">
        <f t="shared" ca="1" si="36"/>
        <v>-5694.4444444444443</v>
      </c>
      <c r="AQ81" s="14">
        <f t="shared" ca="1" si="36"/>
        <v>-5694.4444444444443</v>
      </c>
      <c r="AR81" s="14">
        <f t="shared" ca="1" si="36"/>
        <v>-5694.4444444444443</v>
      </c>
      <c r="AS81" s="14">
        <f t="shared" ca="1" si="36"/>
        <v>-5694.4444444444443</v>
      </c>
    </row>
    <row r="82" spans="2:45" hidden="1" outlineLevel="2" x14ac:dyDescent="0.15"/>
    <row r="83" spans="2:45" hidden="1" outlineLevel="2" x14ac:dyDescent="0.15">
      <c r="B83" s="107" t="str">
        <f>B51</f>
        <v>Fencing Equipment</v>
      </c>
      <c r="J83" s="23">
        <f t="shared" ref="J83:AS83" ca="1" si="37">J58</f>
        <v>9930.5555555555547</v>
      </c>
      <c r="K83" s="23">
        <f t="shared" ca="1" si="37"/>
        <v>9791.6666666666661</v>
      </c>
      <c r="L83" s="23">
        <f t="shared" ca="1" si="37"/>
        <v>9652.7777777777774</v>
      </c>
      <c r="M83" s="23">
        <f t="shared" ca="1" si="37"/>
        <v>9513.8888888888887</v>
      </c>
      <c r="N83" s="23">
        <f t="shared" ca="1" si="37"/>
        <v>9375</v>
      </c>
      <c r="O83" s="23">
        <f t="shared" ca="1" si="37"/>
        <v>9236.1111111111113</v>
      </c>
      <c r="P83" s="23">
        <f t="shared" ca="1" si="37"/>
        <v>9097.2222222222226</v>
      </c>
      <c r="Q83" s="23">
        <f t="shared" ca="1" si="37"/>
        <v>8958.3333333333339</v>
      </c>
      <c r="R83" s="23">
        <f t="shared" ca="1" si="37"/>
        <v>8819.4444444444453</v>
      </c>
      <c r="S83" s="23">
        <f t="shared" ca="1" si="37"/>
        <v>8680.5555555555566</v>
      </c>
      <c r="T83" s="23">
        <f t="shared" ca="1" si="37"/>
        <v>8541.6666666666679</v>
      </c>
      <c r="U83" s="23">
        <f t="shared" ca="1" si="37"/>
        <v>8402.7777777777792</v>
      </c>
      <c r="V83" s="23">
        <f t="shared" ca="1" si="37"/>
        <v>8263.8888888888905</v>
      </c>
      <c r="W83" s="23">
        <f t="shared" ca="1" si="37"/>
        <v>8125.0000000000018</v>
      </c>
      <c r="X83" s="23">
        <f t="shared" ca="1" si="37"/>
        <v>7986.1111111111131</v>
      </c>
      <c r="Y83" s="23">
        <f t="shared" ca="1" si="37"/>
        <v>7847.2222222222244</v>
      </c>
      <c r="Z83" s="23">
        <f t="shared" ca="1" si="37"/>
        <v>7708.3333333333358</v>
      </c>
      <c r="AA83" s="23">
        <f t="shared" ca="1" si="37"/>
        <v>7569.4444444444471</v>
      </c>
      <c r="AB83" s="23">
        <f t="shared" ca="1" si="37"/>
        <v>7430.5555555555584</v>
      </c>
      <c r="AC83" s="23">
        <f t="shared" ca="1" si="37"/>
        <v>7291.6666666666697</v>
      </c>
      <c r="AD83" s="23">
        <f t="shared" ca="1" si="37"/>
        <v>7152.777777777781</v>
      </c>
      <c r="AE83" s="23">
        <f t="shared" ca="1" si="37"/>
        <v>7013.8888888888923</v>
      </c>
      <c r="AF83" s="23">
        <f t="shared" ca="1" si="37"/>
        <v>6875.0000000000036</v>
      </c>
      <c r="AG83" s="23">
        <f t="shared" ca="1" si="37"/>
        <v>6736.111111111115</v>
      </c>
      <c r="AH83" s="23">
        <f t="shared" ca="1" si="37"/>
        <v>6597.2222222222263</v>
      </c>
      <c r="AI83" s="23">
        <f t="shared" ca="1" si="37"/>
        <v>6458.3333333333376</v>
      </c>
      <c r="AJ83" s="23">
        <f t="shared" ca="1" si="37"/>
        <v>6319.4444444444489</v>
      </c>
      <c r="AK83" s="23">
        <f t="shared" ca="1" si="37"/>
        <v>6180.5555555555602</v>
      </c>
      <c r="AL83" s="23">
        <f t="shared" ca="1" si="37"/>
        <v>6041.6666666666715</v>
      </c>
      <c r="AM83" s="23">
        <f t="shared" ca="1" si="37"/>
        <v>5902.7777777777828</v>
      </c>
      <c r="AN83" s="23">
        <f t="shared" ca="1" si="37"/>
        <v>5763.8888888888941</v>
      </c>
      <c r="AO83" s="23">
        <f t="shared" ca="1" si="37"/>
        <v>5625.0000000000055</v>
      </c>
      <c r="AP83" s="23">
        <f t="shared" ca="1" si="37"/>
        <v>5486.1111111111168</v>
      </c>
      <c r="AQ83" s="23">
        <f t="shared" ca="1" si="37"/>
        <v>5347.2222222222281</v>
      </c>
      <c r="AR83" s="23">
        <f t="shared" ca="1" si="37"/>
        <v>5208.3333333333394</v>
      </c>
      <c r="AS83" s="23">
        <f t="shared" ca="1" si="37"/>
        <v>5069.4444444444507</v>
      </c>
    </row>
    <row r="84" spans="2:45" hidden="1" outlineLevel="2" collapsed="1" x14ac:dyDescent="0.15">
      <c r="B84" s="107" t="str">
        <f>B60</f>
        <v>Leashold Improvements</v>
      </c>
      <c r="J84" s="23">
        <f t="shared" ref="J84:AS84" ca="1" si="38">J67</f>
        <v>199654.47222222222</v>
      </c>
      <c r="K84" s="23">
        <f t="shared" ca="1" si="38"/>
        <v>193993.16666666666</v>
      </c>
      <c r="L84" s="23">
        <f t="shared" ca="1" si="38"/>
        <v>188331.86111111109</v>
      </c>
      <c r="M84" s="23">
        <f t="shared" ca="1" si="38"/>
        <v>182670.55555555553</v>
      </c>
      <c r="N84" s="23">
        <f t="shared" ca="1" si="38"/>
        <v>177009.24999999997</v>
      </c>
      <c r="O84" s="23">
        <f t="shared" ca="1" si="38"/>
        <v>171347.94444444441</v>
      </c>
      <c r="P84" s="23">
        <f t="shared" ca="1" si="38"/>
        <v>165686.63888888885</v>
      </c>
      <c r="Q84" s="23">
        <f t="shared" ca="1" si="38"/>
        <v>160025.33333333328</v>
      </c>
      <c r="R84" s="23">
        <f t="shared" ca="1" si="38"/>
        <v>154364.02777777772</v>
      </c>
      <c r="S84" s="23">
        <f t="shared" ca="1" si="38"/>
        <v>148702.72222222216</v>
      </c>
      <c r="T84" s="23">
        <f t="shared" ca="1" si="38"/>
        <v>143041.4166666666</v>
      </c>
      <c r="U84" s="23">
        <f t="shared" ca="1" si="38"/>
        <v>137380.11111111104</v>
      </c>
      <c r="V84" s="23">
        <f t="shared" ca="1" si="38"/>
        <v>131718.80555555547</v>
      </c>
      <c r="W84" s="23">
        <f t="shared" ca="1" si="38"/>
        <v>126057.49999999991</v>
      </c>
      <c r="X84" s="23">
        <f t="shared" ca="1" si="38"/>
        <v>120396.19444444435</v>
      </c>
      <c r="Y84" s="23">
        <f t="shared" ca="1" si="38"/>
        <v>114734.88888888879</v>
      </c>
      <c r="Z84" s="23">
        <f t="shared" ca="1" si="38"/>
        <v>109073.58333333323</v>
      </c>
      <c r="AA84" s="23">
        <f t="shared" ca="1" si="38"/>
        <v>103412.27777777766</v>
      </c>
      <c r="AB84" s="23">
        <f t="shared" ca="1" si="38"/>
        <v>97750.972222222103</v>
      </c>
      <c r="AC84" s="23">
        <f t="shared" ca="1" si="38"/>
        <v>92089.666666666541</v>
      </c>
      <c r="AD84" s="23">
        <f t="shared" ca="1" si="38"/>
        <v>86428.361111110979</v>
      </c>
      <c r="AE84" s="23">
        <f t="shared" ca="1" si="38"/>
        <v>80767.055555555417</v>
      </c>
      <c r="AF84" s="23">
        <f t="shared" ca="1" si="38"/>
        <v>75105.749999999854</v>
      </c>
      <c r="AG84" s="23">
        <f t="shared" ca="1" si="38"/>
        <v>69444.444444444292</v>
      </c>
      <c r="AH84" s="23">
        <f t="shared" ca="1" si="38"/>
        <v>63888.888888888738</v>
      </c>
      <c r="AI84" s="23">
        <f t="shared" ca="1" si="38"/>
        <v>58333.333333333183</v>
      </c>
      <c r="AJ84" s="23">
        <f t="shared" ca="1" si="38"/>
        <v>52777.777777777628</v>
      </c>
      <c r="AK84" s="23">
        <f t="shared" ca="1" si="38"/>
        <v>47222.222222222073</v>
      </c>
      <c r="AL84" s="23">
        <f t="shared" ca="1" si="38"/>
        <v>41666.666666666519</v>
      </c>
      <c r="AM84" s="23">
        <f t="shared" ca="1" si="38"/>
        <v>36111.111111110964</v>
      </c>
      <c r="AN84" s="23">
        <f t="shared" ca="1" si="38"/>
        <v>30555.555555555409</v>
      </c>
      <c r="AO84" s="23">
        <f t="shared" ca="1" si="38"/>
        <v>24999.999999999854</v>
      </c>
      <c r="AP84" s="23">
        <f t="shared" ca="1" si="38"/>
        <v>19444.4444444443</v>
      </c>
      <c r="AQ84" s="23">
        <f t="shared" ca="1" si="38"/>
        <v>13888.888888888745</v>
      </c>
      <c r="AR84" s="23">
        <f t="shared" ca="1" si="38"/>
        <v>8333.3333333331902</v>
      </c>
      <c r="AS84" s="23">
        <f t="shared" ca="1" si="38"/>
        <v>2777.7777777776346</v>
      </c>
    </row>
    <row r="85" spans="2:45" outlineLevel="1" collapsed="1" x14ac:dyDescent="0.15">
      <c r="B85" s="16" t="s">
        <v>438</v>
      </c>
      <c r="J85" s="18">
        <f t="shared" ref="J85:AS85" ca="1" si="39">SUM(J83:J84)</f>
        <v>209585.02777777778</v>
      </c>
      <c r="K85" s="18">
        <f t="shared" ca="1" si="39"/>
        <v>203784.83333333331</v>
      </c>
      <c r="L85" s="18">
        <f t="shared" ca="1" si="39"/>
        <v>197984.63888888888</v>
      </c>
      <c r="M85" s="18">
        <f t="shared" ca="1" si="39"/>
        <v>192184.44444444441</v>
      </c>
      <c r="N85" s="18">
        <f t="shared" ca="1" si="39"/>
        <v>186384.24999999997</v>
      </c>
      <c r="O85" s="18">
        <f t="shared" ca="1" si="39"/>
        <v>180584.05555555553</v>
      </c>
      <c r="P85" s="18">
        <f t="shared" ca="1" si="39"/>
        <v>174783.86111111107</v>
      </c>
      <c r="Q85" s="18">
        <f t="shared" ca="1" si="39"/>
        <v>168983.66666666663</v>
      </c>
      <c r="R85" s="18">
        <f t="shared" ca="1" si="39"/>
        <v>163183.47222222216</v>
      </c>
      <c r="S85" s="18">
        <f t="shared" ca="1" si="39"/>
        <v>157383.27777777772</v>
      </c>
      <c r="T85" s="18">
        <f t="shared" ca="1" si="39"/>
        <v>151583.08333333326</v>
      </c>
      <c r="U85" s="18">
        <f t="shared" ca="1" si="39"/>
        <v>145782.88888888882</v>
      </c>
      <c r="V85" s="18">
        <f t="shared" ca="1" si="39"/>
        <v>139982.69444444438</v>
      </c>
      <c r="W85" s="18">
        <f t="shared" ca="1" si="39"/>
        <v>134182.49999999991</v>
      </c>
      <c r="X85" s="18">
        <f t="shared" ca="1" si="39"/>
        <v>128382.30555555546</v>
      </c>
      <c r="Y85" s="18">
        <f t="shared" ca="1" si="39"/>
        <v>122582.11111111101</v>
      </c>
      <c r="Z85" s="18">
        <f t="shared" ca="1" si="39"/>
        <v>116781.91666666657</v>
      </c>
      <c r="AA85" s="18">
        <f t="shared" ca="1" si="39"/>
        <v>110981.72222222212</v>
      </c>
      <c r="AB85" s="18">
        <f t="shared" ca="1" si="39"/>
        <v>105181.52777777766</v>
      </c>
      <c r="AC85" s="18">
        <f t="shared" ca="1" si="39"/>
        <v>99381.333333333212</v>
      </c>
      <c r="AD85" s="18">
        <f t="shared" ca="1" si="39"/>
        <v>93581.13888888876</v>
      </c>
      <c r="AE85" s="18">
        <f t="shared" ca="1" si="39"/>
        <v>87780.944444444307</v>
      </c>
      <c r="AF85" s="18">
        <f t="shared" ca="1" si="39"/>
        <v>81980.749999999854</v>
      </c>
      <c r="AG85" s="18">
        <f t="shared" ca="1" si="39"/>
        <v>76180.555555555402</v>
      </c>
      <c r="AH85" s="18">
        <f t="shared" ca="1" si="39"/>
        <v>70486.111111110964</v>
      </c>
      <c r="AI85" s="18">
        <f t="shared" ca="1" si="39"/>
        <v>64791.666666666519</v>
      </c>
      <c r="AJ85" s="18">
        <f t="shared" ca="1" si="39"/>
        <v>59097.222222222073</v>
      </c>
      <c r="AK85" s="18">
        <f t="shared" ca="1" si="39"/>
        <v>53402.777777777635</v>
      </c>
      <c r="AL85" s="18">
        <f t="shared" ca="1" si="39"/>
        <v>47708.33333333319</v>
      </c>
      <c r="AM85" s="18">
        <f t="shared" ca="1" si="39"/>
        <v>42013.888888888745</v>
      </c>
      <c r="AN85" s="18">
        <f t="shared" ca="1" si="39"/>
        <v>36319.444444444307</v>
      </c>
      <c r="AO85" s="18">
        <f t="shared" ca="1" si="39"/>
        <v>30624.999999999862</v>
      </c>
      <c r="AP85" s="18">
        <f t="shared" ca="1" si="39"/>
        <v>24930.555555555417</v>
      </c>
      <c r="AQ85" s="18">
        <f t="shared" ca="1" si="39"/>
        <v>19236.111111110971</v>
      </c>
      <c r="AR85" s="18">
        <f t="shared" ca="1" si="39"/>
        <v>13541.66666666653</v>
      </c>
      <c r="AS85" s="18">
        <f t="shared" ca="1" si="39"/>
        <v>7847.2222222220853</v>
      </c>
    </row>
    <row r="86" spans="2:45" outlineLevel="1" x14ac:dyDescent="0.15"/>
    <row r="87" spans="2:45" hidden="1" outlineLevel="2" x14ac:dyDescent="0.15">
      <c r="C87" s="107" t="s">
        <v>192</v>
      </c>
      <c r="J87" s="17">
        <f t="shared" ref="J87:AS87" ca="1" si="40">IF(ISERROR(J73+J77+J81-J85),1,0)</f>
        <v>0</v>
      </c>
      <c r="K87" s="17">
        <f t="shared" ca="1" si="40"/>
        <v>0</v>
      </c>
      <c r="L87" s="17">
        <f t="shared" ca="1" si="40"/>
        <v>0</v>
      </c>
      <c r="M87" s="17">
        <f t="shared" ca="1" si="40"/>
        <v>0</v>
      </c>
      <c r="N87" s="17">
        <f t="shared" ca="1" si="40"/>
        <v>0</v>
      </c>
      <c r="O87" s="17">
        <f t="shared" ca="1" si="40"/>
        <v>0</v>
      </c>
      <c r="P87" s="17">
        <f t="shared" ca="1" si="40"/>
        <v>0</v>
      </c>
      <c r="Q87" s="17">
        <f t="shared" ca="1" si="40"/>
        <v>0</v>
      </c>
      <c r="R87" s="17">
        <f t="shared" ca="1" si="40"/>
        <v>0</v>
      </c>
      <c r="S87" s="17">
        <f t="shared" ca="1" si="40"/>
        <v>0</v>
      </c>
      <c r="T87" s="17">
        <f t="shared" ca="1" si="40"/>
        <v>0</v>
      </c>
      <c r="U87" s="17">
        <f t="shared" ca="1" si="40"/>
        <v>0</v>
      </c>
      <c r="V87" s="17">
        <f t="shared" ca="1" si="40"/>
        <v>0</v>
      </c>
      <c r="W87" s="17">
        <f t="shared" ca="1" si="40"/>
        <v>0</v>
      </c>
      <c r="X87" s="17">
        <f t="shared" ca="1" si="40"/>
        <v>0</v>
      </c>
      <c r="Y87" s="17">
        <f t="shared" ca="1" si="40"/>
        <v>0</v>
      </c>
      <c r="Z87" s="17">
        <f t="shared" ca="1" si="40"/>
        <v>0</v>
      </c>
      <c r="AA87" s="17">
        <f t="shared" ca="1" si="40"/>
        <v>0</v>
      </c>
      <c r="AB87" s="17">
        <f t="shared" ca="1" si="40"/>
        <v>0</v>
      </c>
      <c r="AC87" s="17">
        <f t="shared" ca="1" si="40"/>
        <v>0</v>
      </c>
      <c r="AD87" s="17">
        <f t="shared" ca="1" si="40"/>
        <v>0</v>
      </c>
      <c r="AE87" s="17">
        <f t="shared" ca="1" si="40"/>
        <v>0</v>
      </c>
      <c r="AF87" s="17">
        <f t="shared" ca="1" si="40"/>
        <v>0</v>
      </c>
      <c r="AG87" s="17">
        <f t="shared" ca="1" si="40"/>
        <v>0</v>
      </c>
      <c r="AH87" s="17">
        <f t="shared" ca="1" si="40"/>
        <v>0</v>
      </c>
      <c r="AI87" s="17">
        <f t="shared" ca="1" si="40"/>
        <v>0</v>
      </c>
      <c r="AJ87" s="17">
        <f t="shared" ca="1" si="40"/>
        <v>0</v>
      </c>
      <c r="AK87" s="17">
        <f t="shared" ca="1" si="40"/>
        <v>0</v>
      </c>
      <c r="AL87" s="17">
        <f t="shared" ca="1" si="40"/>
        <v>0</v>
      </c>
      <c r="AM87" s="17">
        <f t="shared" ca="1" si="40"/>
        <v>0</v>
      </c>
      <c r="AN87" s="17">
        <f t="shared" ca="1" si="40"/>
        <v>0</v>
      </c>
      <c r="AO87" s="17">
        <f t="shared" ca="1" si="40"/>
        <v>0</v>
      </c>
      <c r="AP87" s="17">
        <f t="shared" ca="1" si="40"/>
        <v>0</v>
      </c>
      <c r="AQ87" s="17">
        <f t="shared" ca="1" si="40"/>
        <v>0</v>
      </c>
      <c r="AR87" s="17">
        <f t="shared" ca="1" si="40"/>
        <v>0</v>
      </c>
      <c r="AS87" s="17">
        <f t="shared" ca="1" si="40"/>
        <v>0</v>
      </c>
    </row>
    <row r="88" spans="2:45" hidden="1" outlineLevel="2" x14ac:dyDescent="0.15">
      <c r="C88" s="107" t="s">
        <v>305</v>
      </c>
      <c r="J88" s="42">
        <f t="shared" ref="J88:AS88" ca="1" si="41">IF(J87&lt;&gt;0,0,IF(ROUND(J73+J77+J81-J85,5)&lt;&gt;0,1,0))</f>
        <v>0</v>
      </c>
      <c r="K88" s="42">
        <f t="shared" ca="1" si="41"/>
        <v>0</v>
      </c>
      <c r="L88" s="42">
        <f t="shared" ca="1" si="41"/>
        <v>0</v>
      </c>
      <c r="M88" s="42">
        <f t="shared" ca="1" si="41"/>
        <v>0</v>
      </c>
      <c r="N88" s="42">
        <f t="shared" ca="1" si="41"/>
        <v>0</v>
      </c>
      <c r="O88" s="42">
        <f t="shared" ca="1" si="41"/>
        <v>0</v>
      </c>
      <c r="P88" s="42">
        <f t="shared" ca="1" si="41"/>
        <v>0</v>
      </c>
      <c r="Q88" s="42">
        <f t="shared" ca="1" si="41"/>
        <v>0</v>
      </c>
      <c r="R88" s="42">
        <f t="shared" ca="1" si="41"/>
        <v>0</v>
      </c>
      <c r="S88" s="42">
        <f t="shared" ca="1" si="41"/>
        <v>0</v>
      </c>
      <c r="T88" s="42">
        <f t="shared" ca="1" si="41"/>
        <v>0</v>
      </c>
      <c r="U88" s="42">
        <f t="shared" ca="1" si="41"/>
        <v>0</v>
      </c>
      <c r="V88" s="42">
        <f t="shared" ca="1" si="41"/>
        <v>0</v>
      </c>
      <c r="W88" s="42">
        <f t="shared" ca="1" si="41"/>
        <v>0</v>
      </c>
      <c r="X88" s="42">
        <f t="shared" ca="1" si="41"/>
        <v>0</v>
      </c>
      <c r="Y88" s="42">
        <f t="shared" ca="1" si="41"/>
        <v>0</v>
      </c>
      <c r="Z88" s="42">
        <f t="shared" ca="1" si="41"/>
        <v>0</v>
      </c>
      <c r="AA88" s="42">
        <f t="shared" ca="1" si="41"/>
        <v>0</v>
      </c>
      <c r="AB88" s="42">
        <f t="shared" ca="1" si="41"/>
        <v>0</v>
      </c>
      <c r="AC88" s="42">
        <f t="shared" ca="1" si="41"/>
        <v>0</v>
      </c>
      <c r="AD88" s="42">
        <f t="shared" ca="1" si="41"/>
        <v>0</v>
      </c>
      <c r="AE88" s="42">
        <f t="shared" ca="1" si="41"/>
        <v>0</v>
      </c>
      <c r="AF88" s="42">
        <f t="shared" ca="1" si="41"/>
        <v>0</v>
      </c>
      <c r="AG88" s="42">
        <f t="shared" ca="1" si="41"/>
        <v>0</v>
      </c>
      <c r="AH88" s="42">
        <f t="shared" ca="1" si="41"/>
        <v>0</v>
      </c>
      <c r="AI88" s="42">
        <f t="shared" ca="1" si="41"/>
        <v>0</v>
      </c>
      <c r="AJ88" s="42">
        <f t="shared" ca="1" si="41"/>
        <v>0</v>
      </c>
      <c r="AK88" s="42">
        <f t="shared" ca="1" si="41"/>
        <v>0</v>
      </c>
      <c r="AL88" s="42">
        <f t="shared" ca="1" si="41"/>
        <v>0</v>
      </c>
      <c r="AM88" s="42">
        <f t="shared" ca="1" si="41"/>
        <v>0</v>
      </c>
      <c r="AN88" s="42">
        <f t="shared" ca="1" si="41"/>
        <v>0</v>
      </c>
      <c r="AO88" s="42">
        <f t="shared" ca="1" si="41"/>
        <v>0</v>
      </c>
      <c r="AP88" s="42">
        <f t="shared" ca="1" si="41"/>
        <v>0</v>
      </c>
      <c r="AQ88" s="42">
        <f t="shared" ca="1" si="41"/>
        <v>0</v>
      </c>
      <c r="AR88" s="42">
        <f t="shared" ca="1" si="41"/>
        <v>0</v>
      </c>
      <c r="AS88" s="42">
        <f t="shared" ca="1" si="41"/>
        <v>0</v>
      </c>
    </row>
    <row r="89" spans="2:45" outlineLevel="1" collapsed="1" x14ac:dyDescent="0.15">
      <c r="B89" s="107" t="s">
        <v>335</v>
      </c>
      <c r="I89" s="22">
        <f ca="1">IF(ISERROR(SUM(J89:AS89)),1,MIN(SUM(J89:AS89),1))</f>
        <v>0</v>
      </c>
      <c r="J89" s="17">
        <f t="shared" ref="J89:AS89" ca="1" si="42">MIN(SUM(J87:J88),1)</f>
        <v>0</v>
      </c>
      <c r="K89" s="17">
        <f t="shared" ca="1" si="42"/>
        <v>0</v>
      </c>
      <c r="L89" s="17">
        <f t="shared" ca="1" si="42"/>
        <v>0</v>
      </c>
      <c r="M89" s="17">
        <f t="shared" ca="1" si="42"/>
        <v>0</v>
      </c>
      <c r="N89" s="17">
        <f t="shared" ca="1" si="42"/>
        <v>0</v>
      </c>
      <c r="O89" s="17">
        <f t="shared" ca="1" si="42"/>
        <v>0</v>
      </c>
      <c r="P89" s="17">
        <f t="shared" ca="1" si="42"/>
        <v>0</v>
      </c>
      <c r="Q89" s="17">
        <f t="shared" ca="1" si="42"/>
        <v>0</v>
      </c>
      <c r="R89" s="17">
        <f t="shared" ca="1" si="42"/>
        <v>0</v>
      </c>
      <c r="S89" s="17">
        <f t="shared" ca="1" si="42"/>
        <v>0</v>
      </c>
      <c r="T89" s="17">
        <f t="shared" ca="1" si="42"/>
        <v>0</v>
      </c>
      <c r="U89" s="17">
        <f t="shared" ca="1" si="42"/>
        <v>0</v>
      </c>
      <c r="V89" s="17">
        <f t="shared" ca="1" si="42"/>
        <v>0</v>
      </c>
      <c r="W89" s="17">
        <f t="shared" ca="1" si="42"/>
        <v>0</v>
      </c>
      <c r="X89" s="17">
        <f t="shared" ca="1" si="42"/>
        <v>0</v>
      </c>
      <c r="Y89" s="17">
        <f t="shared" ca="1" si="42"/>
        <v>0</v>
      </c>
      <c r="Z89" s="17">
        <f t="shared" ca="1" si="42"/>
        <v>0</v>
      </c>
      <c r="AA89" s="17">
        <f t="shared" ca="1" si="42"/>
        <v>0</v>
      </c>
      <c r="AB89" s="17">
        <f t="shared" ca="1" si="42"/>
        <v>0</v>
      </c>
      <c r="AC89" s="17">
        <f t="shared" ca="1" si="42"/>
        <v>0</v>
      </c>
      <c r="AD89" s="17">
        <f t="shared" ca="1" si="42"/>
        <v>0</v>
      </c>
      <c r="AE89" s="17">
        <f t="shared" ca="1" si="42"/>
        <v>0</v>
      </c>
      <c r="AF89" s="17">
        <f t="shared" ca="1" si="42"/>
        <v>0</v>
      </c>
      <c r="AG89" s="17">
        <f t="shared" ca="1" si="42"/>
        <v>0</v>
      </c>
      <c r="AH89" s="17">
        <f t="shared" ca="1" si="42"/>
        <v>0</v>
      </c>
      <c r="AI89" s="17">
        <f t="shared" ca="1" si="42"/>
        <v>0</v>
      </c>
      <c r="AJ89" s="17">
        <f t="shared" ca="1" si="42"/>
        <v>0</v>
      </c>
      <c r="AK89" s="17">
        <f t="shared" ca="1" si="42"/>
        <v>0</v>
      </c>
      <c r="AL89" s="17">
        <f t="shared" ca="1" si="42"/>
        <v>0</v>
      </c>
      <c r="AM89" s="17">
        <f t="shared" ca="1" si="42"/>
        <v>0</v>
      </c>
      <c r="AN89" s="17">
        <f t="shared" ca="1" si="42"/>
        <v>0</v>
      </c>
      <c r="AO89" s="17">
        <f t="shared" ca="1" si="42"/>
        <v>0</v>
      </c>
      <c r="AP89" s="17">
        <f t="shared" ca="1" si="42"/>
        <v>0</v>
      </c>
      <c r="AQ89" s="17">
        <f t="shared" ca="1" si="42"/>
        <v>0</v>
      </c>
      <c r="AR89" s="17">
        <f t="shared" ca="1" si="42"/>
        <v>0</v>
      </c>
      <c r="AS89" s="17">
        <f t="shared" ca="1" si="42"/>
        <v>0</v>
      </c>
    </row>
    <row r="90" spans="2:45" ht="6" hidden="1" customHeight="1" outlineLevel="2" x14ac:dyDescent="0.15"/>
    <row r="91" spans="2:45" hidden="1" outlineLevel="2" x14ac:dyDescent="0.15">
      <c r="C91" s="107" t="s">
        <v>439</v>
      </c>
      <c r="J91" s="17">
        <f t="shared" ref="J91:AS91" ca="1" si="43">IF(J89&lt;&gt;0,0,IF(ROUND(MIN(J75:J76),5)&lt;0,1,0))</f>
        <v>0</v>
      </c>
      <c r="K91" s="17">
        <f t="shared" ca="1" si="43"/>
        <v>0</v>
      </c>
      <c r="L91" s="17">
        <f t="shared" ca="1" si="43"/>
        <v>0</v>
      </c>
      <c r="M91" s="17">
        <f t="shared" ca="1" si="43"/>
        <v>0</v>
      </c>
      <c r="N91" s="17">
        <f t="shared" ca="1" si="43"/>
        <v>0</v>
      </c>
      <c r="O91" s="17">
        <f t="shared" ca="1" si="43"/>
        <v>0</v>
      </c>
      <c r="P91" s="17">
        <f t="shared" ca="1" si="43"/>
        <v>0</v>
      </c>
      <c r="Q91" s="17">
        <f t="shared" ca="1" si="43"/>
        <v>0</v>
      </c>
      <c r="R91" s="17">
        <f t="shared" ca="1" si="43"/>
        <v>0</v>
      </c>
      <c r="S91" s="17">
        <f t="shared" ca="1" si="43"/>
        <v>0</v>
      </c>
      <c r="T91" s="17">
        <f t="shared" ca="1" si="43"/>
        <v>0</v>
      </c>
      <c r="U91" s="17">
        <f t="shared" ca="1" si="43"/>
        <v>0</v>
      </c>
      <c r="V91" s="17">
        <f t="shared" ca="1" si="43"/>
        <v>0</v>
      </c>
      <c r="W91" s="17">
        <f t="shared" ca="1" si="43"/>
        <v>0</v>
      </c>
      <c r="X91" s="17">
        <f t="shared" ca="1" si="43"/>
        <v>0</v>
      </c>
      <c r="Y91" s="17">
        <f t="shared" ca="1" si="43"/>
        <v>0</v>
      </c>
      <c r="Z91" s="17">
        <f t="shared" ca="1" si="43"/>
        <v>0</v>
      </c>
      <c r="AA91" s="17">
        <f t="shared" ca="1" si="43"/>
        <v>0</v>
      </c>
      <c r="AB91" s="17">
        <f t="shared" ca="1" si="43"/>
        <v>0</v>
      </c>
      <c r="AC91" s="17">
        <f t="shared" ca="1" si="43"/>
        <v>0</v>
      </c>
      <c r="AD91" s="17">
        <f t="shared" ca="1" si="43"/>
        <v>0</v>
      </c>
      <c r="AE91" s="17">
        <f t="shared" ca="1" si="43"/>
        <v>0</v>
      </c>
      <c r="AF91" s="17">
        <f t="shared" ca="1" si="43"/>
        <v>0</v>
      </c>
      <c r="AG91" s="17">
        <f t="shared" ca="1" si="43"/>
        <v>0</v>
      </c>
      <c r="AH91" s="17">
        <f t="shared" ca="1" si="43"/>
        <v>0</v>
      </c>
      <c r="AI91" s="17">
        <f t="shared" ca="1" si="43"/>
        <v>0</v>
      </c>
      <c r="AJ91" s="17">
        <f t="shared" ca="1" si="43"/>
        <v>0</v>
      </c>
      <c r="AK91" s="17">
        <f t="shared" ca="1" si="43"/>
        <v>0</v>
      </c>
      <c r="AL91" s="17">
        <f t="shared" ca="1" si="43"/>
        <v>0</v>
      </c>
      <c r="AM91" s="17">
        <f t="shared" ca="1" si="43"/>
        <v>0</v>
      </c>
      <c r="AN91" s="17">
        <f t="shared" ca="1" si="43"/>
        <v>0</v>
      </c>
      <c r="AO91" s="17">
        <f t="shared" ca="1" si="43"/>
        <v>0</v>
      </c>
      <c r="AP91" s="17">
        <f t="shared" ca="1" si="43"/>
        <v>0</v>
      </c>
      <c r="AQ91" s="17">
        <f t="shared" ca="1" si="43"/>
        <v>0</v>
      </c>
      <c r="AR91" s="17">
        <f t="shared" ca="1" si="43"/>
        <v>0</v>
      </c>
      <c r="AS91" s="17">
        <f t="shared" ca="1" si="43"/>
        <v>0</v>
      </c>
    </row>
    <row r="92" spans="2:45" hidden="1" outlineLevel="2" x14ac:dyDescent="0.15">
      <c r="C92" s="107" t="s">
        <v>440</v>
      </c>
      <c r="J92" s="17">
        <f t="shared" ref="J92:AS92" ca="1" si="44">IF(J89&lt;&gt;0,0,IF(ROUND(MAX(J79:J80),5)&gt;0,1,0))</f>
        <v>0</v>
      </c>
      <c r="K92" s="17">
        <f t="shared" ca="1" si="44"/>
        <v>0</v>
      </c>
      <c r="L92" s="17">
        <f t="shared" ca="1" si="44"/>
        <v>0</v>
      </c>
      <c r="M92" s="17">
        <f t="shared" ca="1" si="44"/>
        <v>0</v>
      </c>
      <c r="N92" s="17">
        <f t="shared" ca="1" si="44"/>
        <v>0</v>
      </c>
      <c r="O92" s="17">
        <f t="shared" ca="1" si="44"/>
        <v>0</v>
      </c>
      <c r="P92" s="17">
        <f t="shared" ca="1" si="44"/>
        <v>0</v>
      </c>
      <c r="Q92" s="17">
        <f t="shared" ca="1" si="44"/>
        <v>0</v>
      </c>
      <c r="R92" s="17">
        <f t="shared" ca="1" si="44"/>
        <v>0</v>
      </c>
      <c r="S92" s="17">
        <f t="shared" ca="1" si="44"/>
        <v>0</v>
      </c>
      <c r="T92" s="17">
        <f t="shared" ca="1" si="44"/>
        <v>0</v>
      </c>
      <c r="U92" s="17">
        <f t="shared" ca="1" si="44"/>
        <v>0</v>
      </c>
      <c r="V92" s="17">
        <f t="shared" ca="1" si="44"/>
        <v>0</v>
      </c>
      <c r="W92" s="17">
        <f t="shared" ca="1" si="44"/>
        <v>0</v>
      </c>
      <c r="X92" s="17">
        <f t="shared" ca="1" si="44"/>
        <v>0</v>
      </c>
      <c r="Y92" s="17">
        <f t="shared" ca="1" si="44"/>
        <v>0</v>
      </c>
      <c r="Z92" s="17">
        <f t="shared" ca="1" si="44"/>
        <v>0</v>
      </c>
      <c r="AA92" s="17">
        <f t="shared" ca="1" si="44"/>
        <v>0</v>
      </c>
      <c r="AB92" s="17">
        <f t="shared" ca="1" si="44"/>
        <v>0</v>
      </c>
      <c r="AC92" s="17">
        <f t="shared" ca="1" si="44"/>
        <v>0</v>
      </c>
      <c r="AD92" s="17">
        <f t="shared" ca="1" si="44"/>
        <v>0</v>
      </c>
      <c r="AE92" s="17">
        <f t="shared" ca="1" si="44"/>
        <v>0</v>
      </c>
      <c r="AF92" s="17">
        <f t="shared" ca="1" si="44"/>
        <v>0</v>
      </c>
      <c r="AG92" s="17">
        <f t="shared" ca="1" si="44"/>
        <v>0</v>
      </c>
      <c r="AH92" s="17">
        <f t="shared" ca="1" si="44"/>
        <v>0</v>
      </c>
      <c r="AI92" s="17">
        <f t="shared" ca="1" si="44"/>
        <v>0</v>
      </c>
      <c r="AJ92" s="17">
        <f t="shared" ca="1" si="44"/>
        <v>0</v>
      </c>
      <c r="AK92" s="17">
        <f t="shared" ca="1" si="44"/>
        <v>0</v>
      </c>
      <c r="AL92" s="17">
        <f t="shared" ca="1" si="44"/>
        <v>0</v>
      </c>
      <c r="AM92" s="17">
        <f t="shared" ca="1" si="44"/>
        <v>0</v>
      </c>
      <c r="AN92" s="17">
        <f t="shared" ca="1" si="44"/>
        <v>0</v>
      </c>
      <c r="AO92" s="17">
        <f t="shared" ca="1" si="44"/>
        <v>0</v>
      </c>
      <c r="AP92" s="17">
        <f t="shared" ca="1" si="44"/>
        <v>0</v>
      </c>
      <c r="AQ92" s="17">
        <f t="shared" ca="1" si="44"/>
        <v>0</v>
      </c>
      <c r="AR92" s="17">
        <f t="shared" ca="1" si="44"/>
        <v>0</v>
      </c>
      <c r="AS92" s="17">
        <f t="shared" ca="1" si="44"/>
        <v>0</v>
      </c>
    </row>
    <row r="93" spans="2:45" hidden="1" outlineLevel="2" x14ac:dyDescent="0.15">
      <c r="C93" s="107" t="s">
        <v>441</v>
      </c>
      <c r="J93" s="42">
        <f t="shared" ref="J93:AS93" ca="1" si="45">IF(J89&lt;&gt;0,0,IF(ROUND(MIN(J83:J84),5)&lt;0,1,0))</f>
        <v>0</v>
      </c>
      <c r="K93" s="42">
        <f t="shared" ca="1" si="45"/>
        <v>0</v>
      </c>
      <c r="L93" s="42">
        <f t="shared" ca="1" si="45"/>
        <v>0</v>
      </c>
      <c r="M93" s="42">
        <f t="shared" ca="1" si="45"/>
        <v>0</v>
      </c>
      <c r="N93" s="42">
        <f t="shared" ca="1" si="45"/>
        <v>0</v>
      </c>
      <c r="O93" s="42">
        <f t="shared" ca="1" si="45"/>
        <v>0</v>
      </c>
      <c r="P93" s="42">
        <f t="shared" ca="1" si="45"/>
        <v>0</v>
      </c>
      <c r="Q93" s="42">
        <f t="shared" ca="1" si="45"/>
        <v>0</v>
      </c>
      <c r="R93" s="42">
        <f t="shared" ca="1" si="45"/>
        <v>0</v>
      </c>
      <c r="S93" s="42">
        <f t="shared" ca="1" si="45"/>
        <v>0</v>
      </c>
      <c r="T93" s="42">
        <f t="shared" ca="1" si="45"/>
        <v>0</v>
      </c>
      <c r="U93" s="42">
        <f t="shared" ca="1" si="45"/>
        <v>0</v>
      </c>
      <c r="V93" s="42">
        <f t="shared" ca="1" si="45"/>
        <v>0</v>
      </c>
      <c r="W93" s="42">
        <f t="shared" ca="1" si="45"/>
        <v>0</v>
      </c>
      <c r="X93" s="42">
        <f t="shared" ca="1" si="45"/>
        <v>0</v>
      </c>
      <c r="Y93" s="42">
        <f t="shared" ca="1" si="45"/>
        <v>0</v>
      </c>
      <c r="Z93" s="42">
        <f t="shared" ca="1" si="45"/>
        <v>0</v>
      </c>
      <c r="AA93" s="42">
        <f t="shared" ca="1" si="45"/>
        <v>0</v>
      </c>
      <c r="AB93" s="42">
        <f t="shared" ca="1" si="45"/>
        <v>0</v>
      </c>
      <c r="AC93" s="42">
        <f t="shared" ca="1" si="45"/>
        <v>0</v>
      </c>
      <c r="AD93" s="42">
        <f t="shared" ca="1" si="45"/>
        <v>0</v>
      </c>
      <c r="AE93" s="42">
        <f t="shared" ca="1" si="45"/>
        <v>0</v>
      </c>
      <c r="AF93" s="42">
        <f t="shared" ca="1" si="45"/>
        <v>0</v>
      </c>
      <c r="AG93" s="42">
        <f t="shared" ca="1" si="45"/>
        <v>0</v>
      </c>
      <c r="AH93" s="42">
        <f t="shared" ca="1" si="45"/>
        <v>0</v>
      </c>
      <c r="AI93" s="42">
        <f t="shared" ca="1" si="45"/>
        <v>0</v>
      </c>
      <c r="AJ93" s="42">
        <f t="shared" ca="1" si="45"/>
        <v>0</v>
      </c>
      <c r="AK93" s="42">
        <f t="shared" ca="1" si="45"/>
        <v>0</v>
      </c>
      <c r="AL93" s="42">
        <f t="shared" ca="1" si="45"/>
        <v>0</v>
      </c>
      <c r="AM93" s="42">
        <f t="shared" ca="1" si="45"/>
        <v>0</v>
      </c>
      <c r="AN93" s="42">
        <f t="shared" ca="1" si="45"/>
        <v>0</v>
      </c>
      <c r="AO93" s="42">
        <f t="shared" ca="1" si="45"/>
        <v>0</v>
      </c>
      <c r="AP93" s="42">
        <f t="shared" ca="1" si="45"/>
        <v>0</v>
      </c>
      <c r="AQ93" s="42">
        <f t="shared" ca="1" si="45"/>
        <v>0</v>
      </c>
      <c r="AR93" s="42">
        <f t="shared" ca="1" si="45"/>
        <v>0</v>
      </c>
      <c r="AS93" s="42">
        <f t="shared" ca="1" si="45"/>
        <v>0</v>
      </c>
    </row>
    <row r="94" spans="2:45" outlineLevel="1" collapsed="1" x14ac:dyDescent="0.15">
      <c r="B94" s="107" t="s">
        <v>392</v>
      </c>
      <c r="I94" s="22">
        <f ca="1">IF(ISERROR(SUM(J94:AS94)),1,MIN(SUM(J94:AS94),1))</f>
        <v>0</v>
      </c>
      <c r="J94" s="17">
        <f t="shared" ref="J94:AS94" ca="1" si="46">MIN(SUM(J91:J93),1)</f>
        <v>0</v>
      </c>
      <c r="K94" s="17">
        <f t="shared" ca="1" si="46"/>
        <v>0</v>
      </c>
      <c r="L94" s="17">
        <f t="shared" ca="1" si="46"/>
        <v>0</v>
      </c>
      <c r="M94" s="17">
        <f t="shared" ca="1" si="46"/>
        <v>0</v>
      </c>
      <c r="N94" s="17">
        <f t="shared" ca="1" si="46"/>
        <v>0</v>
      </c>
      <c r="O94" s="17">
        <f t="shared" ca="1" si="46"/>
        <v>0</v>
      </c>
      <c r="P94" s="17">
        <f t="shared" ca="1" si="46"/>
        <v>0</v>
      </c>
      <c r="Q94" s="17">
        <f t="shared" ca="1" si="46"/>
        <v>0</v>
      </c>
      <c r="R94" s="17">
        <f t="shared" ca="1" si="46"/>
        <v>0</v>
      </c>
      <c r="S94" s="17">
        <f t="shared" ca="1" si="46"/>
        <v>0</v>
      </c>
      <c r="T94" s="17">
        <f t="shared" ca="1" si="46"/>
        <v>0</v>
      </c>
      <c r="U94" s="17">
        <f t="shared" ca="1" si="46"/>
        <v>0</v>
      </c>
      <c r="V94" s="17">
        <f t="shared" ca="1" si="46"/>
        <v>0</v>
      </c>
      <c r="W94" s="17">
        <f t="shared" ca="1" si="46"/>
        <v>0</v>
      </c>
      <c r="X94" s="17">
        <f t="shared" ca="1" si="46"/>
        <v>0</v>
      </c>
      <c r="Y94" s="17">
        <f t="shared" ca="1" si="46"/>
        <v>0</v>
      </c>
      <c r="Z94" s="17">
        <f t="shared" ca="1" si="46"/>
        <v>0</v>
      </c>
      <c r="AA94" s="17">
        <f t="shared" ca="1" si="46"/>
        <v>0</v>
      </c>
      <c r="AB94" s="17">
        <f t="shared" ca="1" si="46"/>
        <v>0</v>
      </c>
      <c r="AC94" s="17">
        <f t="shared" ca="1" si="46"/>
        <v>0</v>
      </c>
      <c r="AD94" s="17">
        <f t="shared" ca="1" si="46"/>
        <v>0</v>
      </c>
      <c r="AE94" s="17">
        <f t="shared" ca="1" si="46"/>
        <v>0</v>
      </c>
      <c r="AF94" s="17">
        <f t="shared" ca="1" si="46"/>
        <v>0</v>
      </c>
      <c r="AG94" s="17">
        <f t="shared" ca="1" si="46"/>
        <v>0</v>
      </c>
      <c r="AH94" s="17">
        <f t="shared" ca="1" si="46"/>
        <v>0</v>
      </c>
      <c r="AI94" s="17">
        <f t="shared" ca="1" si="46"/>
        <v>0</v>
      </c>
      <c r="AJ94" s="17">
        <f t="shared" ca="1" si="46"/>
        <v>0</v>
      </c>
      <c r="AK94" s="17">
        <f t="shared" ca="1" si="46"/>
        <v>0</v>
      </c>
      <c r="AL94" s="17">
        <f t="shared" ca="1" si="46"/>
        <v>0</v>
      </c>
      <c r="AM94" s="17">
        <f t="shared" ca="1" si="46"/>
        <v>0</v>
      </c>
      <c r="AN94" s="17">
        <f t="shared" ca="1" si="46"/>
        <v>0</v>
      </c>
      <c r="AO94" s="17">
        <f t="shared" ca="1" si="46"/>
        <v>0</v>
      </c>
      <c r="AP94" s="17">
        <f t="shared" ca="1" si="46"/>
        <v>0</v>
      </c>
      <c r="AQ94" s="17">
        <f t="shared" ca="1" si="46"/>
        <v>0</v>
      </c>
      <c r="AR94" s="17">
        <f t="shared" ca="1" si="46"/>
        <v>0</v>
      </c>
      <c r="AS94" s="17">
        <f t="shared" ca="1" si="46"/>
        <v>0</v>
      </c>
    </row>
  </sheetData>
  <sheetProtection algorithmName="SHA-512" hashValue="JqW0ES2M7TkhFwM2vrQhCe1WxclQEDG97OXRd2Pl4GrFXUnHzBl42B9/spCAK32HbLICKqlRw0//WoDTyZ2A7A==" saltValue="q9FV7w/Ay8ygm4DULyG76w==" spinCount="100000" sheet="1" objects="1" scenarios="1" formatColumns="0" formatRows="0"/>
  <mergeCells count="2">
    <mergeCell ref="B20:F20"/>
    <mergeCell ref="B22:F22"/>
  </mergeCells>
  <conditionalFormatting sqref="I37:I38">
    <cfRule type="cellIs" dxfId="132" priority="3" operator="notEqual">
      <formula>0</formula>
    </cfRule>
  </conditionalFormatting>
  <conditionalFormatting sqref="I89">
    <cfRule type="cellIs" dxfId="131" priority="9" operator="notEqual">
      <formula>0</formula>
    </cfRule>
  </conditionalFormatting>
  <conditionalFormatting sqref="I94">
    <cfRule type="cellIs" dxfId="130" priority="14" operator="notEqual">
      <formula>0</formula>
    </cfRule>
  </conditionalFormatting>
  <conditionalFormatting sqref="J35:AS38">
    <cfRule type="cellIs" dxfId="129" priority="15" operator="notEqual">
      <formula>0</formula>
    </cfRule>
  </conditionalFormatting>
  <conditionalFormatting sqref="J87:AS89">
    <cfRule type="cellIs" dxfId="128" priority="19" operator="notEqual">
      <formula>0</formula>
    </cfRule>
  </conditionalFormatting>
  <conditionalFormatting sqref="J91:AS94">
    <cfRule type="cellIs" dxfId="127" priority="22" operator="notEqual">
      <formula>0</formula>
    </cfRule>
  </conditionalFormatting>
  <dataValidations count="3">
    <dataValidation type="decimal" operator="greaterThanOrEqual" allowBlank="1" showDropDown="1" showErrorMessage="1" errorTitle="Invalid Assumption" error="Assumption must be a value greater than or equal to zero." sqref="I52:I53 I61:I62" xr:uid="{6ECF0FF5-4198-4043-A031-C090C3A9E48C}">
      <formula1>0</formula1>
    </dataValidation>
    <dataValidation type="custom" showErrorMessage="1" errorTitle="Invalid Assumption" error="Assumption must be a number." sqref="J20:AS20 J22:AS22" xr:uid="{A0B54957-37ED-41B5-B2BD-DC50A64D6257}">
      <formula1>NOT(ISERROR(J20/1))</formula1>
    </dataValidation>
    <dataValidation type="whole" showDropDown="1" showErrorMessage="1" errorTitle="Drop Down Box Cell Link" error="The value in a drop down box cell link must be a whole number within the control's lookup range rows." sqref="H45:H46" xr:uid="{38150A72-15E6-4660-8D7D-CCB2BFC15C2B}">
      <formula1>1</formula1>
      <formula2>ROWS(LU_Assets_Cat_Names)</formula2>
    </dataValidation>
  </dataValidations>
  <hyperlinks>
    <hyperlink ref="A1" location="HL_Home" tooltip="Go to Table of Contents" display="HL_Home" xr:uid="{F19F8C3B-6CE8-4ADD-9DAB-D1BB44B03125}"/>
    <hyperlink ref="A17" location="HL_Capex_Scen_Ass" tooltip="Click to follow hyperlink." display="HL_Capex_Scen_Ass" xr:uid="{234CE670-23BB-4988-B049-D9D19A0E2AAA}"/>
    <hyperlink ref="A2" location="HL_Err_Chk" tooltip="Go to Error Checks" display="HL_Err_Chk" xr:uid="{93FAD98C-463D-449F-9116-66D8294AB2E8}"/>
  </hyperlinks>
  <pageMargins left="0.4" right="0.4" top="0.6" bottom="1" header="0" footer="0.3"/>
  <pageSetup scale="6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24" r:id="rId4" name="bpmDropDownAssets1">
              <controlPr defaultSize="0" autoFill="0" autoPict="0">
                <anchor moveWithCells="1" sizeWithCells="1">
                  <from>
                    <xdr:col>7</xdr:col>
                    <xdr:colOff>0</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9225" r:id="rId5" name="bpmDropDownAssets2">
              <controlPr defaultSize="0" autoFill="0" autoPict="0">
                <anchor moveWithCells="1" sizeWithCells="1">
                  <from>
                    <xdr:col>7</xdr:col>
                    <xdr:colOff>0</xdr:colOff>
                    <xdr:row>45</xdr:row>
                    <xdr:rowOff>0</xdr:rowOff>
                  </from>
                  <to>
                    <xdr:col>9</xdr:col>
                    <xdr:colOff>0</xdr:colOff>
                    <xdr:row>46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819EC-4A04-41D8-8F79-DF408BFB7B69}">
  <sheetPr codeName="Sheet9">
    <pageSetUpPr autoPageBreaks="0"/>
  </sheetPr>
  <dimension ref="A1:AS164"/>
  <sheetViews>
    <sheetView showGridLines="0" workbookViewId="0">
      <pane xSplit="9" ySplit="15" topLeftCell="J16" activePane="bottomRight" state="frozenSplit"/>
      <selection pane="topRight" activeCell="J1" sqref="J1"/>
      <selection pane="bottomLeft" activeCell="A16" sqref="A16"/>
      <selection pane="bottomRight" activeCell="J60" sqref="J60"/>
    </sheetView>
  </sheetViews>
  <sheetFormatPr baseColWidth="10" defaultColWidth="11.59765625" defaultRowHeight="12" outlineLevelRow="2" x14ac:dyDescent="0.15"/>
  <cols>
    <col min="1" max="4" width="3.59765625" customWidth="1"/>
    <col min="5" max="5" width="11.59765625" customWidth="1"/>
    <col min="10" max="10" width="13.19921875" bestFit="1" customWidth="1"/>
  </cols>
  <sheetData>
    <row r="1" spans="1:45" ht="14" x14ac:dyDescent="0.15">
      <c r="A1" s="3" t="s">
        <v>19</v>
      </c>
      <c r="B1" s="205" t="s">
        <v>442</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hidden="1" outlineLevel="2" collapsed="1"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hidden="1" outlineLevel="2" collapsed="1"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6" spans="1:45" collapsed="1" x14ac:dyDescent="0.15"/>
    <row r="17" spans="2:45" x14ac:dyDescent="0.15">
      <c r="B17" s="1" t="s">
        <v>107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2:45" outlineLevel="1" x14ac:dyDescent="0.15"/>
    <row r="19" spans="2:45" outlineLevel="1" x14ac:dyDescent="0.15">
      <c r="B19" s="108" t="s">
        <v>443</v>
      </c>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row>
    <row r="20" spans="2:45" outlineLevel="1" x14ac:dyDescent="0.15"/>
    <row r="21" spans="2:45" hidden="1" outlineLevel="2" x14ac:dyDescent="0.15">
      <c r="B21" s="16" t="s">
        <v>444</v>
      </c>
      <c r="I21" s="95">
        <f>Ts_Start_Date</f>
        <v>45139</v>
      </c>
    </row>
    <row r="22" spans="2:45" hidden="1" outlineLevel="2" x14ac:dyDescent="0.15">
      <c r="B22" s="107" t="str">
        <f>OBS!B43</f>
        <v>Interest Payable Category 1</v>
      </c>
      <c r="I22" s="151">
        <f>OBS!J43</f>
        <v>0</v>
      </c>
      <c r="J22" s="38">
        <v>0</v>
      </c>
      <c r="K22" s="38">
        <v>0</v>
      </c>
      <c r="L22" s="38">
        <v>0</v>
      </c>
      <c r="M22" s="38">
        <v>0</v>
      </c>
      <c r="N22" s="38">
        <v>0</v>
      </c>
      <c r="O22" s="38">
        <v>0</v>
      </c>
      <c r="P22" s="38">
        <v>0</v>
      </c>
      <c r="Q22" s="38">
        <v>0</v>
      </c>
      <c r="R22" s="38">
        <v>0</v>
      </c>
      <c r="S22" s="38">
        <v>0</v>
      </c>
      <c r="T22" s="38">
        <v>0</v>
      </c>
      <c r="U22" s="38">
        <v>0</v>
      </c>
      <c r="V22" s="38">
        <v>0</v>
      </c>
      <c r="W22" s="38">
        <v>0</v>
      </c>
      <c r="X22" s="38">
        <v>0</v>
      </c>
      <c r="Y22" s="38">
        <v>0</v>
      </c>
      <c r="Z22" s="38">
        <v>0</v>
      </c>
      <c r="AA22" s="38">
        <v>0</v>
      </c>
      <c r="AB22" s="38">
        <v>0</v>
      </c>
      <c r="AC22" s="38">
        <v>0</v>
      </c>
      <c r="AD22" s="38">
        <v>0</v>
      </c>
      <c r="AE22" s="38">
        <v>0</v>
      </c>
      <c r="AF22" s="38">
        <v>0</v>
      </c>
      <c r="AG22" s="38">
        <v>0</v>
      </c>
      <c r="AH22" s="38">
        <v>0</v>
      </c>
      <c r="AI22" s="38">
        <v>0</v>
      </c>
      <c r="AJ22" s="38">
        <v>0</v>
      </c>
      <c r="AK22" s="38">
        <v>0</v>
      </c>
      <c r="AL22" s="38">
        <v>0</v>
      </c>
      <c r="AM22" s="38">
        <v>0</v>
      </c>
      <c r="AN22" s="38">
        <v>0</v>
      </c>
      <c r="AO22" s="38">
        <v>0</v>
      </c>
      <c r="AP22" s="38">
        <v>0</v>
      </c>
      <c r="AQ22" s="38">
        <v>0</v>
      </c>
      <c r="AR22" s="38">
        <v>0</v>
      </c>
      <c r="AS22" s="38">
        <v>0</v>
      </c>
    </row>
    <row r="23" spans="2:45" outlineLevel="1" collapsed="1" x14ac:dyDescent="0.15">
      <c r="B23" s="107" t="str">
        <f>"Total "&amp;B21</f>
        <v>Total Opening Interest Payable</v>
      </c>
      <c r="I23" s="94">
        <f>SUM(I22:I22)</f>
        <v>0</v>
      </c>
      <c r="J23" s="15">
        <f t="shared" ref="J23:AS23" si="11">SUM(J22:J22)</f>
        <v>0</v>
      </c>
      <c r="K23" s="15">
        <f t="shared" si="11"/>
        <v>0</v>
      </c>
      <c r="L23" s="15">
        <f t="shared" si="11"/>
        <v>0</v>
      </c>
      <c r="M23" s="15">
        <f t="shared" si="11"/>
        <v>0</v>
      </c>
      <c r="N23" s="15">
        <f t="shared" si="11"/>
        <v>0</v>
      </c>
      <c r="O23" s="15">
        <f t="shared" si="11"/>
        <v>0</v>
      </c>
      <c r="P23" s="15">
        <f t="shared" si="11"/>
        <v>0</v>
      </c>
      <c r="Q23" s="15">
        <f t="shared" si="11"/>
        <v>0</v>
      </c>
      <c r="R23" s="15">
        <f t="shared" si="11"/>
        <v>0</v>
      </c>
      <c r="S23" s="15">
        <f t="shared" si="11"/>
        <v>0</v>
      </c>
      <c r="T23" s="15">
        <f t="shared" si="11"/>
        <v>0</v>
      </c>
      <c r="U23" s="15">
        <f t="shared" si="11"/>
        <v>0</v>
      </c>
      <c r="V23" s="15">
        <f t="shared" si="11"/>
        <v>0</v>
      </c>
      <c r="W23" s="15">
        <f t="shared" si="11"/>
        <v>0</v>
      </c>
      <c r="X23" s="15">
        <f t="shared" si="11"/>
        <v>0</v>
      </c>
      <c r="Y23" s="15">
        <f t="shared" si="11"/>
        <v>0</v>
      </c>
      <c r="Z23" s="15">
        <f t="shared" si="11"/>
        <v>0</v>
      </c>
      <c r="AA23" s="15">
        <f t="shared" si="11"/>
        <v>0</v>
      </c>
      <c r="AB23" s="15">
        <f t="shared" si="11"/>
        <v>0</v>
      </c>
      <c r="AC23" s="15">
        <f t="shared" si="11"/>
        <v>0</v>
      </c>
      <c r="AD23" s="15">
        <f t="shared" si="11"/>
        <v>0</v>
      </c>
      <c r="AE23" s="15">
        <f t="shared" si="11"/>
        <v>0</v>
      </c>
      <c r="AF23" s="15">
        <f t="shared" si="11"/>
        <v>0</v>
      </c>
      <c r="AG23" s="15">
        <f t="shared" si="11"/>
        <v>0</v>
      </c>
      <c r="AH23" s="15">
        <f t="shared" si="11"/>
        <v>0</v>
      </c>
      <c r="AI23" s="15">
        <f t="shared" si="11"/>
        <v>0</v>
      </c>
      <c r="AJ23" s="15">
        <f t="shared" si="11"/>
        <v>0</v>
      </c>
      <c r="AK23" s="15">
        <f t="shared" si="11"/>
        <v>0</v>
      </c>
      <c r="AL23" s="15">
        <f t="shared" si="11"/>
        <v>0</v>
      </c>
      <c r="AM23" s="15">
        <f t="shared" si="11"/>
        <v>0</v>
      </c>
      <c r="AN23" s="15">
        <f t="shared" si="11"/>
        <v>0</v>
      </c>
      <c r="AO23" s="15">
        <f t="shared" si="11"/>
        <v>0</v>
      </c>
      <c r="AP23" s="15">
        <f t="shared" si="11"/>
        <v>0</v>
      </c>
      <c r="AQ23" s="15">
        <f t="shared" si="11"/>
        <v>0</v>
      </c>
      <c r="AR23" s="15">
        <f t="shared" si="11"/>
        <v>0</v>
      </c>
      <c r="AS23" s="15">
        <f t="shared" si="11"/>
        <v>0</v>
      </c>
    </row>
    <row r="24" spans="2:45" ht="6" hidden="1" customHeight="1" outlineLevel="2" x14ac:dyDescent="0.15"/>
    <row r="25" spans="2:45" hidden="1" outlineLevel="2" x14ac:dyDescent="0.15">
      <c r="B25" s="16" t="s">
        <v>445</v>
      </c>
    </row>
    <row r="26" spans="2:45" hidden="1" outlineLevel="2" x14ac:dyDescent="0.15">
      <c r="B26" s="107" t="str">
        <f>B22</f>
        <v>Interest Payable Category 1</v>
      </c>
      <c r="J26" s="38">
        <f t="shared" ref="J26:AS26" si="12">J22-I22</f>
        <v>0</v>
      </c>
      <c r="K26" s="38">
        <f t="shared" si="12"/>
        <v>0</v>
      </c>
      <c r="L26" s="38">
        <f t="shared" si="12"/>
        <v>0</v>
      </c>
      <c r="M26" s="38">
        <f t="shared" si="12"/>
        <v>0</v>
      </c>
      <c r="N26" s="38">
        <f t="shared" si="12"/>
        <v>0</v>
      </c>
      <c r="O26" s="38">
        <f t="shared" si="12"/>
        <v>0</v>
      </c>
      <c r="P26" s="38">
        <f t="shared" si="12"/>
        <v>0</v>
      </c>
      <c r="Q26" s="38">
        <f t="shared" si="12"/>
        <v>0</v>
      </c>
      <c r="R26" s="38">
        <f t="shared" si="12"/>
        <v>0</v>
      </c>
      <c r="S26" s="38">
        <f t="shared" si="12"/>
        <v>0</v>
      </c>
      <c r="T26" s="38">
        <f t="shared" si="12"/>
        <v>0</v>
      </c>
      <c r="U26" s="38">
        <f t="shared" si="12"/>
        <v>0</v>
      </c>
      <c r="V26" s="38">
        <f t="shared" si="12"/>
        <v>0</v>
      </c>
      <c r="W26" s="38">
        <f t="shared" si="12"/>
        <v>0</v>
      </c>
      <c r="X26" s="38">
        <f t="shared" si="12"/>
        <v>0</v>
      </c>
      <c r="Y26" s="38">
        <f t="shared" si="12"/>
        <v>0</v>
      </c>
      <c r="Z26" s="38">
        <f t="shared" si="12"/>
        <v>0</v>
      </c>
      <c r="AA26" s="38">
        <f t="shared" si="12"/>
        <v>0</v>
      </c>
      <c r="AB26" s="38">
        <f t="shared" si="12"/>
        <v>0</v>
      </c>
      <c r="AC26" s="38">
        <f t="shared" si="12"/>
        <v>0</v>
      </c>
      <c r="AD26" s="38">
        <f t="shared" si="12"/>
        <v>0</v>
      </c>
      <c r="AE26" s="38">
        <f t="shared" si="12"/>
        <v>0</v>
      </c>
      <c r="AF26" s="38">
        <f t="shared" si="12"/>
        <v>0</v>
      </c>
      <c r="AG26" s="38">
        <f t="shared" si="12"/>
        <v>0</v>
      </c>
      <c r="AH26" s="38">
        <f t="shared" si="12"/>
        <v>0</v>
      </c>
      <c r="AI26" s="38">
        <f t="shared" si="12"/>
        <v>0</v>
      </c>
      <c r="AJ26" s="38">
        <f t="shared" si="12"/>
        <v>0</v>
      </c>
      <c r="AK26" s="38">
        <f t="shared" si="12"/>
        <v>0</v>
      </c>
      <c r="AL26" s="38">
        <f t="shared" si="12"/>
        <v>0</v>
      </c>
      <c r="AM26" s="38">
        <f t="shared" si="12"/>
        <v>0</v>
      </c>
      <c r="AN26" s="38">
        <f t="shared" si="12"/>
        <v>0</v>
      </c>
      <c r="AO26" s="38">
        <f t="shared" si="12"/>
        <v>0</v>
      </c>
      <c r="AP26" s="38">
        <f t="shared" si="12"/>
        <v>0</v>
      </c>
      <c r="AQ26" s="38">
        <f t="shared" si="12"/>
        <v>0</v>
      </c>
      <c r="AR26" s="38">
        <f t="shared" si="12"/>
        <v>0</v>
      </c>
      <c r="AS26" s="38">
        <f t="shared" si="12"/>
        <v>0</v>
      </c>
    </row>
    <row r="27" spans="2:45" outlineLevel="1" collapsed="1" x14ac:dyDescent="0.15">
      <c r="B27" s="107" t="str">
        <f>"Total "&amp;B25</f>
        <v>Total Movement in Opening Interest Payable</v>
      </c>
      <c r="J27" s="14">
        <f t="shared" ref="J27:AS27" si="13">SUM(J26:J26)</f>
        <v>0</v>
      </c>
      <c r="K27" s="14">
        <f t="shared" si="13"/>
        <v>0</v>
      </c>
      <c r="L27" s="14">
        <f t="shared" si="13"/>
        <v>0</v>
      </c>
      <c r="M27" s="14">
        <f t="shared" si="13"/>
        <v>0</v>
      </c>
      <c r="N27" s="14">
        <f t="shared" si="13"/>
        <v>0</v>
      </c>
      <c r="O27" s="14">
        <f t="shared" si="13"/>
        <v>0</v>
      </c>
      <c r="P27" s="14">
        <f t="shared" si="13"/>
        <v>0</v>
      </c>
      <c r="Q27" s="14">
        <f t="shared" si="13"/>
        <v>0</v>
      </c>
      <c r="R27" s="14">
        <f t="shared" si="13"/>
        <v>0</v>
      </c>
      <c r="S27" s="14">
        <f t="shared" si="13"/>
        <v>0</v>
      </c>
      <c r="T27" s="14">
        <f t="shared" si="13"/>
        <v>0</v>
      </c>
      <c r="U27" s="14">
        <f t="shared" si="13"/>
        <v>0</v>
      </c>
      <c r="V27" s="14">
        <f t="shared" si="13"/>
        <v>0</v>
      </c>
      <c r="W27" s="14">
        <f t="shared" si="13"/>
        <v>0</v>
      </c>
      <c r="X27" s="14">
        <f t="shared" si="13"/>
        <v>0</v>
      </c>
      <c r="Y27" s="14">
        <f t="shared" si="13"/>
        <v>0</v>
      </c>
      <c r="Z27" s="14">
        <f t="shared" si="13"/>
        <v>0</v>
      </c>
      <c r="AA27" s="14">
        <f t="shared" si="13"/>
        <v>0</v>
      </c>
      <c r="AB27" s="14">
        <f t="shared" si="13"/>
        <v>0</v>
      </c>
      <c r="AC27" s="14">
        <f t="shared" si="13"/>
        <v>0</v>
      </c>
      <c r="AD27" s="14">
        <f t="shared" si="13"/>
        <v>0</v>
      </c>
      <c r="AE27" s="14">
        <f t="shared" si="13"/>
        <v>0</v>
      </c>
      <c r="AF27" s="14">
        <f t="shared" si="13"/>
        <v>0</v>
      </c>
      <c r="AG27" s="14">
        <f t="shared" si="13"/>
        <v>0</v>
      </c>
      <c r="AH27" s="14">
        <f t="shared" si="13"/>
        <v>0</v>
      </c>
      <c r="AI27" s="14">
        <f t="shared" si="13"/>
        <v>0</v>
      </c>
      <c r="AJ27" s="14">
        <f t="shared" si="13"/>
        <v>0</v>
      </c>
      <c r="AK27" s="14">
        <f t="shared" si="13"/>
        <v>0</v>
      </c>
      <c r="AL27" s="14">
        <f t="shared" si="13"/>
        <v>0</v>
      </c>
      <c r="AM27" s="14">
        <f t="shared" si="13"/>
        <v>0</v>
      </c>
      <c r="AN27" s="14">
        <f t="shared" si="13"/>
        <v>0</v>
      </c>
      <c r="AO27" s="14">
        <f t="shared" si="13"/>
        <v>0</v>
      </c>
      <c r="AP27" s="14">
        <f t="shared" si="13"/>
        <v>0</v>
      </c>
      <c r="AQ27" s="14">
        <f t="shared" si="13"/>
        <v>0</v>
      </c>
      <c r="AR27" s="14">
        <f t="shared" si="13"/>
        <v>0</v>
      </c>
      <c r="AS27" s="14">
        <f t="shared" si="13"/>
        <v>0</v>
      </c>
    </row>
    <row r="28" spans="2:45" ht="6" customHeight="1" outlineLevel="1" x14ac:dyDescent="0.15"/>
    <row r="29" spans="2:45" outlineLevel="1" x14ac:dyDescent="0.15">
      <c r="B29" s="107" t="s">
        <v>306</v>
      </c>
      <c r="I29" s="22">
        <f>IF(ISERROR(SUM(J29:AS29)),1,MIN(SUM(J29:AS29),1))</f>
        <v>0</v>
      </c>
      <c r="J29" s="17">
        <f t="shared" ref="J29:AS29" si="14">IF(ISERROR(SUM(J23,J27)),1,0)</f>
        <v>0</v>
      </c>
      <c r="K29" s="17">
        <f t="shared" si="14"/>
        <v>0</v>
      </c>
      <c r="L29" s="17">
        <f t="shared" si="14"/>
        <v>0</v>
      </c>
      <c r="M29" s="17">
        <f t="shared" si="14"/>
        <v>0</v>
      </c>
      <c r="N29" s="17">
        <f t="shared" si="14"/>
        <v>0</v>
      </c>
      <c r="O29" s="17">
        <f t="shared" si="14"/>
        <v>0</v>
      </c>
      <c r="P29" s="17">
        <f t="shared" si="14"/>
        <v>0</v>
      </c>
      <c r="Q29" s="17">
        <f t="shared" si="14"/>
        <v>0</v>
      </c>
      <c r="R29" s="17">
        <f t="shared" si="14"/>
        <v>0</v>
      </c>
      <c r="S29" s="17">
        <f t="shared" si="14"/>
        <v>0</v>
      </c>
      <c r="T29" s="17">
        <f t="shared" si="14"/>
        <v>0</v>
      </c>
      <c r="U29" s="17">
        <f t="shared" si="14"/>
        <v>0</v>
      </c>
      <c r="V29" s="17">
        <f t="shared" si="14"/>
        <v>0</v>
      </c>
      <c r="W29" s="17">
        <f t="shared" si="14"/>
        <v>0</v>
      </c>
      <c r="X29" s="17">
        <f t="shared" si="14"/>
        <v>0</v>
      </c>
      <c r="Y29" s="17">
        <f t="shared" si="14"/>
        <v>0</v>
      </c>
      <c r="Z29" s="17">
        <f t="shared" si="14"/>
        <v>0</v>
      </c>
      <c r="AA29" s="17">
        <f t="shared" si="14"/>
        <v>0</v>
      </c>
      <c r="AB29" s="17">
        <f t="shared" si="14"/>
        <v>0</v>
      </c>
      <c r="AC29" s="17">
        <f t="shared" si="14"/>
        <v>0</v>
      </c>
      <c r="AD29" s="17">
        <f t="shared" si="14"/>
        <v>0</v>
      </c>
      <c r="AE29" s="17">
        <f t="shared" si="14"/>
        <v>0</v>
      </c>
      <c r="AF29" s="17">
        <f t="shared" si="14"/>
        <v>0</v>
      </c>
      <c r="AG29" s="17">
        <f t="shared" si="14"/>
        <v>0</v>
      </c>
      <c r="AH29" s="17">
        <f t="shared" si="14"/>
        <v>0</v>
      </c>
      <c r="AI29" s="17">
        <f t="shared" si="14"/>
        <v>0</v>
      </c>
      <c r="AJ29" s="17">
        <f t="shared" si="14"/>
        <v>0</v>
      </c>
      <c r="AK29" s="17">
        <f t="shared" si="14"/>
        <v>0</v>
      </c>
      <c r="AL29" s="17">
        <f t="shared" si="14"/>
        <v>0</v>
      </c>
      <c r="AM29" s="17">
        <f t="shared" si="14"/>
        <v>0</v>
      </c>
      <c r="AN29" s="17">
        <f t="shared" si="14"/>
        <v>0</v>
      </c>
      <c r="AO29" s="17">
        <f t="shared" si="14"/>
        <v>0</v>
      </c>
      <c r="AP29" s="17">
        <f t="shared" si="14"/>
        <v>0</v>
      </c>
      <c r="AQ29" s="17">
        <f t="shared" si="14"/>
        <v>0</v>
      </c>
      <c r="AR29" s="17">
        <f t="shared" si="14"/>
        <v>0</v>
      </c>
      <c r="AS29" s="17">
        <f t="shared" si="14"/>
        <v>0</v>
      </c>
    </row>
    <row r="30" spans="2:45" outlineLevel="1" x14ac:dyDescent="0.15"/>
    <row r="31" spans="2:45" outlineLevel="1" x14ac:dyDescent="0.15">
      <c r="B31" s="108" t="str">
        <f>OBS!B53</f>
        <v>Operating Grants</v>
      </c>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row>
    <row r="32" spans="2:45" outlineLevel="1" x14ac:dyDescent="0.15"/>
    <row r="33" spans="2:45" outlineLevel="1" x14ac:dyDescent="0.15">
      <c r="B33" s="107" t="s">
        <v>375</v>
      </c>
      <c r="I33" s="78" t="str">
        <f>Debt_Name</f>
        <v>Operating Grants</v>
      </c>
      <c r="J33" s="14">
        <f>IF(J$8=1,OBS!J53,I37)</f>
        <v>0</v>
      </c>
      <c r="K33" s="14">
        <f>IF(K$8=1,OBS!K53,J37)</f>
        <v>0</v>
      </c>
      <c r="L33" s="14">
        <f>IF(L$8=1,OBS!L53,K37)</f>
        <v>0</v>
      </c>
      <c r="M33" s="14">
        <f>IF(M$8=1,OBS!M53,L37)</f>
        <v>0</v>
      </c>
      <c r="N33" s="14">
        <f>IF(N$8=1,OBS!N53,M37)</f>
        <v>0</v>
      </c>
      <c r="O33" s="14">
        <f>IF(O$8=1,OBS!O53,N37)</f>
        <v>0</v>
      </c>
      <c r="P33" s="14">
        <f>IF(P$8=1,OBS!P53,O37)</f>
        <v>0</v>
      </c>
      <c r="Q33" s="14">
        <f>IF(Q$8=1,OBS!Q53,P37)</f>
        <v>0</v>
      </c>
      <c r="R33" s="14">
        <f>IF(R$8=1,OBS!R53,Q37)</f>
        <v>0</v>
      </c>
      <c r="S33" s="14">
        <f>IF(S$8=1,OBS!S53,R37)</f>
        <v>0</v>
      </c>
      <c r="T33" s="14">
        <f>IF(T$8=1,OBS!T53,S37)</f>
        <v>0</v>
      </c>
      <c r="U33" s="14">
        <f>IF(U$8=1,OBS!U53,T37)</f>
        <v>0</v>
      </c>
      <c r="V33" s="14">
        <f>IF(V$8=1,OBS!V53,U37)</f>
        <v>0</v>
      </c>
      <c r="W33" s="14">
        <f>IF(W$8=1,OBS!W53,V37)</f>
        <v>0</v>
      </c>
      <c r="X33" s="14">
        <f>IF(X$8=1,OBS!X53,W37)</f>
        <v>0</v>
      </c>
      <c r="Y33" s="14">
        <f>IF(Y$8=1,OBS!Y53,X37)</f>
        <v>0</v>
      </c>
      <c r="Z33" s="14">
        <f>IF(Z$8=1,OBS!Z53,Y37)</f>
        <v>0</v>
      </c>
      <c r="AA33" s="14">
        <f>IF(AA$8=1,OBS!AA53,Z37)</f>
        <v>0</v>
      </c>
      <c r="AB33" s="14">
        <f>IF(AB$8=1,OBS!AB53,AA37)</f>
        <v>0</v>
      </c>
      <c r="AC33" s="14">
        <f>IF(AC$8=1,OBS!AC53,AB37)</f>
        <v>0</v>
      </c>
      <c r="AD33" s="14">
        <f>IF(AD$8=1,OBS!AD53,AC37)</f>
        <v>0</v>
      </c>
      <c r="AE33" s="14">
        <f>IF(AE$8=1,OBS!AE53,AD37)</f>
        <v>0</v>
      </c>
      <c r="AF33" s="14">
        <f>IF(AF$8=1,OBS!AF53,AE37)</f>
        <v>0</v>
      </c>
      <c r="AG33" s="14">
        <f>IF(AG$8=1,OBS!AG53,AF37)</f>
        <v>0</v>
      </c>
      <c r="AH33" s="14">
        <f>IF(AH$8=1,OBS!AH53,AG37)</f>
        <v>0</v>
      </c>
      <c r="AI33" s="14">
        <f>IF(AI$8=1,OBS!AI53,AH37)</f>
        <v>0</v>
      </c>
      <c r="AJ33" s="14">
        <f>IF(AJ$8=1,OBS!AJ53,AI37)</f>
        <v>0</v>
      </c>
      <c r="AK33" s="14">
        <f>IF(AK$8=1,OBS!AK53,AJ37)</f>
        <v>0</v>
      </c>
      <c r="AL33" s="14">
        <f>IF(AL$8=1,OBS!AL53,AK37)</f>
        <v>0</v>
      </c>
      <c r="AM33" s="14">
        <f>IF(AM$8=1,OBS!AM53,AL37)</f>
        <v>0</v>
      </c>
      <c r="AN33" s="14">
        <f>IF(AN$8=1,OBS!AN53,AM37)</f>
        <v>0</v>
      </c>
      <c r="AO33" s="14">
        <f>IF(AO$8=1,OBS!AO53,AN37)</f>
        <v>0</v>
      </c>
      <c r="AP33" s="14">
        <f>IF(AP$8=1,OBS!AP53,AO37)</f>
        <v>0</v>
      </c>
      <c r="AQ33" s="14">
        <f>IF(AQ$8=1,OBS!AQ53,AP37)</f>
        <v>0</v>
      </c>
      <c r="AR33" s="14">
        <f>IF(AR$8=1,OBS!AR53,AQ37)</f>
        <v>0</v>
      </c>
      <c r="AS33" s="14">
        <f>IF(AS$8=1,OBS!AS53,AR37)</f>
        <v>0</v>
      </c>
    </row>
    <row r="34" spans="2:45" outlineLevel="1" x14ac:dyDescent="0.15">
      <c r="B34" s="107" t="s">
        <v>446</v>
      </c>
      <c r="I34" s="78" t="str">
        <f>Debt_Name</f>
        <v>Operating Grants</v>
      </c>
      <c r="J34" s="166">
        <f>KPIs!U6*1000</f>
        <v>0</v>
      </c>
      <c r="K34" s="166">
        <v>0</v>
      </c>
      <c r="L34" s="166">
        <v>0</v>
      </c>
      <c r="M34" s="166">
        <v>0</v>
      </c>
      <c r="N34" s="166">
        <v>0</v>
      </c>
      <c r="O34" s="166">
        <v>0</v>
      </c>
      <c r="P34" s="166">
        <v>0</v>
      </c>
      <c r="Q34" s="166">
        <v>0</v>
      </c>
      <c r="R34" s="166">
        <v>0</v>
      </c>
      <c r="S34" s="166">
        <v>0</v>
      </c>
      <c r="T34" s="166">
        <v>0</v>
      </c>
      <c r="U34" s="166">
        <v>0</v>
      </c>
      <c r="V34" s="166">
        <v>0</v>
      </c>
      <c r="W34" s="166">
        <v>0</v>
      </c>
      <c r="X34" s="166">
        <v>0</v>
      </c>
      <c r="Y34" s="166">
        <v>0</v>
      </c>
      <c r="Z34" s="166">
        <v>0</v>
      </c>
      <c r="AA34" s="166">
        <v>0</v>
      </c>
      <c r="AB34" s="166">
        <v>0</v>
      </c>
      <c r="AC34" s="166">
        <v>0</v>
      </c>
      <c r="AD34" s="166">
        <v>0</v>
      </c>
      <c r="AE34" s="166">
        <v>0</v>
      </c>
      <c r="AF34" s="166">
        <v>0</v>
      </c>
      <c r="AG34" s="166">
        <v>0</v>
      </c>
      <c r="AH34" s="166">
        <v>0</v>
      </c>
      <c r="AI34" s="166">
        <v>0</v>
      </c>
      <c r="AJ34" s="166">
        <v>0</v>
      </c>
      <c r="AK34" s="166">
        <v>0</v>
      </c>
      <c r="AL34" s="166">
        <v>0</v>
      </c>
      <c r="AM34" s="166">
        <v>0</v>
      </c>
      <c r="AN34" s="166">
        <v>0</v>
      </c>
      <c r="AO34" s="166">
        <v>0</v>
      </c>
      <c r="AP34" s="166">
        <v>0</v>
      </c>
      <c r="AQ34" s="166">
        <v>0</v>
      </c>
      <c r="AR34" s="166">
        <v>0</v>
      </c>
      <c r="AS34" s="166">
        <v>0</v>
      </c>
    </row>
    <row r="35" spans="2:45" outlineLevel="1" x14ac:dyDescent="0.15">
      <c r="B35" s="107" t="s">
        <v>447</v>
      </c>
      <c r="J35" s="165">
        <v>0</v>
      </c>
      <c r="K35" s="165">
        <v>0</v>
      </c>
      <c r="L35" s="165">
        <v>0</v>
      </c>
      <c r="M35" s="165">
        <v>0</v>
      </c>
      <c r="N35" s="165">
        <v>0</v>
      </c>
      <c r="O35" s="165">
        <v>0</v>
      </c>
      <c r="P35" s="165">
        <v>0</v>
      </c>
      <c r="Q35" s="165">
        <v>0</v>
      </c>
      <c r="R35" s="165">
        <v>0</v>
      </c>
      <c r="S35" s="165">
        <v>0</v>
      </c>
      <c r="T35" s="165">
        <v>0</v>
      </c>
      <c r="U35" s="165">
        <v>0</v>
      </c>
      <c r="V35" s="165">
        <v>0</v>
      </c>
      <c r="W35" s="165">
        <v>0</v>
      </c>
      <c r="X35" s="165">
        <v>0</v>
      </c>
      <c r="Y35" s="165">
        <v>0</v>
      </c>
      <c r="Z35" s="165">
        <v>0</v>
      </c>
      <c r="AA35" s="165">
        <v>0</v>
      </c>
      <c r="AB35" s="165">
        <v>0</v>
      </c>
      <c r="AC35" s="165">
        <v>0</v>
      </c>
      <c r="AD35" s="165">
        <v>0</v>
      </c>
      <c r="AE35" s="165">
        <v>0</v>
      </c>
      <c r="AF35" s="165">
        <v>0</v>
      </c>
      <c r="AG35" s="165">
        <v>0</v>
      </c>
      <c r="AH35" s="165">
        <v>0</v>
      </c>
      <c r="AI35" s="165">
        <v>0</v>
      </c>
      <c r="AJ35" s="165">
        <v>0</v>
      </c>
      <c r="AK35" s="165">
        <v>0</v>
      </c>
      <c r="AL35" s="165">
        <v>0</v>
      </c>
      <c r="AM35" s="165">
        <v>0</v>
      </c>
      <c r="AN35" s="165">
        <v>0</v>
      </c>
      <c r="AO35" s="165">
        <v>0</v>
      </c>
      <c r="AP35" s="165">
        <v>0</v>
      </c>
      <c r="AQ35" s="165">
        <v>0</v>
      </c>
      <c r="AR35" s="165">
        <v>0</v>
      </c>
      <c r="AS35" s="165">
        <v>0</v>
      </c>
    </row>
    <row r="36" spans="2:45" hidden="1" outlineLevel="2" x14ac:dyDescent="0.15">
      <c r="B36" s="107" t="s">
        <v>448</v>
      </c>
      <c r="I36" s="78" t="str">
        <f>Debt_Name</f>
        <v>Operating Grants</v>
      </c>
      <c r="J36" s="14">
        <f t="shared" ref="J36:AS36" si="15">-J35</f>
        <v>0</v>
      </c>
      <c r="K36" s="14">
        <f t="shared" si="15"/>
        <v>0</v>
      </c>
      <c r="L36" s="14">
        <f t="shared" si="15"/>
        <v>0</v>
      </c>
      <c r="M36" s="14">
        <f t="shared" si="15"/>
        <v>0</v>
      </c>
      <c r="N36" s="14">
        <f t="shared" si="15"/>
        <v>0</v>
      </c>
      <c r="O36" s="14">
        <f t="shared" si="15"/>
        <v>0</v>
      </c>
      <c r="P36" s="14">
        <f t="shared" si="15"/>
        <v>0</v>
      </c>
      <c r="Q36" s="14">
        <f t="shared" si="15"/>
        <v>0</v>
      </c>
      <c r="R36" s="14">
        <f t="shared" si="15"/>
        <v>0</v>
      </c>
      <c r="S36" s="14">
        <f t="shared" si="15"/>
        <v>0</v>
      </c>
      <c r="T36" s="14">
        <f t="shared" si="15"/>
        <v>0</v>
      </c>
      <c r="U36" s="14">
        <f t="shared" si="15"/>
        <v>0</v>
      </c>
      <c r="V36" s="14">
        <f t="shared" si="15"/>
        <v>0</v>
      </c>
      <c r="W36" s="14">
        <f t="shared" si="15"/>
        <v>0</v>
      </c>
      <c r="X36" s="14">
        <f t="shared" si="15"/>
        <v>0</v>
      </c>
      <c r="Y36" s="14">
        <f t="shared" si="15"/>
        <v>0</v>
      </c>
      <c r="Z36" s="14">
        <f t="shared" si="15"/>
        <v>0</v>
      </c>
      <c r="AA36" s="14">
        <f t="shared" si="15"/>
        <v>0</v>
      </c>
      <c r="AB36" s="14">
        <f t="shared" si="15"/>
        <v>0</v>
      </c>
      <c r="AC36" s="14">
        <f t="shared" si="15"/>
        <v>0</v>
      </c>
      <c r="AD36" s="14">
        <f t="shared" si="15"/>
        <v>0</v>
      </c>
      <c r="AE36" s="14">
        <f t="shared" si="15"/>
        <v>0</v>
      </c>
      <c r="AF36" s="14">
        <f t="shared" si="15"/>
        <v>0</v>
      </c>
      <c r="AG36" s="14">
        <f t="shared" si="15"/>
        <v>0</v>
      </c>
      <c r="AH36" s="14">
        <f t="shared" si="15"/>
        <v>0</v>
      </c>
      <c r="AI36" s="14">
        <f t="shared" si="15"/>
        <v>0</v>
      </c>
      <c r="AJ36" s="14">
        <f t="shared" si="15"/>
        <v>0</v>
      </c>
      <c r="AK36" s="14">
        <f t="shared" si="15"/>
        <v>0</v>
      </c>
      <c r="AL36" s="14">
        <f t="shared" si="15"/>
        <v>0</v>
      </c>
      <c r="AM36" s="14">
        <f t="shared" si="15"/>
        <v>0</v>
      </c>
      <c r="AN36" s="14">
        <f t="shared" si="15"/>
        <v>0</v>
      </c>
      <c r="AO36" s="14">
        <f t="shared" si="15"/>
        <v>0</v>
      </c>
      <c r="AP36" s="14">
        <f t="shared" si="15"/>
        <v>0</v>
      </c>
      <c r="AQ36" s="14">
        <f t="shared" si="15"/>
        <v>0</v>
      </c>
      <c r="AR36" s="14">
        <f t="shared" si="15"/>
        <v>0</v>
      </c>
      <c r="AS36" s="14">
        <f t="shared" si="15"/>
        <v>0</v>
      </c>
    </row>
    <row r="37" spans="2:45" outlineLevel="1" collapsed="1" x14ac:dyDescent="0.15">
      <c r="B37" s="16" t="s">
        <v>388</v>
      </c>
      <c r="I37" s="78" t="str">
        <f>Debt_Name</f>
        <v>Operating Grants</v>
      </c>
      <c r="J37" s="18">
        <f t="shared" ref="J37:AS37" si="16">J33+J34+J36</f>
        <v>0</v>
      </c>
      <c r="K37" s="18">
        <f t="shared" si="16"/>
        <v>0</v>
      </c>
      <c r="L37" s="18">
        <f t="shared" si="16"/>
        <v>0</v>
      </c>
      <c r="M37" s="18">
        <f t="shared" si="16"/>
        <v>0</v>
      </c>
      <c r="N37" s="18">
        <f t="shared" si="16"/>
        <v>0</v>
      </c>
      <c r="O37" s="18">
        <f t="shared" si="16"/>
        <v>0</v>
      </c>
      <c r="P37" s="18">
        <f t="shared" si="16"/>
        <v>0</v>
      </c>
      <c r="Q37" s="18">
        <f t="shared" si="16"/>
        <v>0</v>
      </c>
      <c r="R37" s="18">
        <f t="shared" si="16"/>
        <v>0</v>
      </c>
      <c r="S37" s="18">
        <f t="shared" si="16"/>
        <v>0</v>
      </c>
      <c r="T37" s="18">
        <f t="shared" si="16"/>
        <v>0</v>
      </c>
      <c r="U37" s="18">
        <f t="shared" si="16"/>
        <v>0</v>
      </c>
      <c r="V37" s="18">
        <f t="shared" si="16"/>
        <v>0</v>
      </c>
      <c r="W37" s="18">
        <f t="shared" si="16"/>
        <v>0</v>
      </c>
      <c r="X37" s="18">
        <f t="shared" si="16"/>
        <v>0</v>
      </c>
      <c r="Y37" s="18">
        <f t="shared" si="16"/>
        <v>0</v>
      </c>
      <c r="Z37" s="18">
        <f t="shared" si="16"/>
        <v>0</v>
      </c>
      <c r="AA37" s="18">
        <f t="shared" si="16"/>
        <v>0</v>
      </c>
      <c r="AB37" s="18">
        <f t="shared" si="16"/>
        <v>0</v>
      </c>
      <c r="AC37" s="18">
        <f t="shared" si="16"/>
        <v>0</v>
      </c>
      <c r="AD37" s="18">
        <f t="shared" si="16"/>
        <v>0</v>
      </c>
      <c r="AE37" s="18">
        <f t="shared" si="16"/>
        <v>0</v>
      </c>
      <c r="AF37" s="18">
        <f t="shared" si="16"/>
        <v>0</v>
      </c>
      <c r="AG37" s="18">
        <f t="shared" si="16"/>
        <v>0</v>
      </c>
      <c r="AH37" s="18">
        <f t="shared" si="16"/>
        <v>0</v>
      </c>
      <c r="AI37" s="18">
        <f t="shared" si="16"/>
        <v>0</v>
      </c>
      <c r="AJ37" s="18">
        <f t="shared" si="16"/>
        <v>0</v>
      </c>
      <c r="AK37" s="18">
        <f t="shared" si="16"/>
        <v>0</v>
      </c>
      <c r="AL37" s="18">
        <f t="shared" si="16"/>
        <v>0</v>
      </c>
      <c r="AM37" s="18">
        <f t="shared" si="16"/>
        <v>0</v>
      </c>
      <c r="AN37" s="18">
        <f t="shared" si="16"/>
        <v>0</v>
      </c>
      <c r="AO37" s="18">
        <f t="shared" si="16"/>
        <v>0</v>
      </c>
      <c r="AP37" s="18">
        <f t="shared" si="16"/>
        <v>0</v>
      </c>
      <c r="AQ37" s="18">
        <f t="shared" si="16"/>
        <v>0</v>
      </c>
      <c r="AR37" s="18">
        <f t="shared" si="16"/>
        <v>0</v>
      </c>
      <c r="AS37" s="18">
        <f t="shared" si="16"/>
        <v>0</v>
      </c>
    </row>
    <row r="38" spans="2:45" outlineLevel="1" x14ac:dyDescent="0.15"/>
    <row r="39" spans="2:45" outlineLevel="1" x14ac:dyDescent="0.15">
      <c r="B39" s="16" t="s">
        <v>101</v>
      </c>
    </row>
    <row r="40" spans="2:45" outlineLevel="1" x14ac:dyDescent="0.15">
      <c r="B40" s="107" t="s">
        <v>449</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c r="AM40" s="170">
        <v>0</v>
      </c>
      <c r="AN40" s="170">
        <v>0</v>
      </c>
      <c r="AO40" s="170">
        <v>0</v>
      </c>
      <c r="AP40" s="170">
        <v>0</v>
      </c>
      <c r="AQ40" s="170">
        <v>0</v>
      </c>
      <c r="AR40" s="170">
        <v>0</v>
      </c>
      <c r="AS40" s="170">
        <v>0</v>
      </c>
    </row>
    <row r="41" spans="2:45" outlineLevel="1" x14ac:dyDescent="0.15">
      <c r="B41" s="107" t="s">
        <v>450</v>
      </c>
      <c r="J41" s="26">
        <f t="shared" ref="J41:AS41" si="17">J40/Ts_Mths_In_Yr</f>
        <v>0</v>
      </c>
      <c r="K41" s="26">
        <f t="shared" si="17"/>
        <v>0</v>
      </c>
      <c r="L41" s="26">
        <f t="shared" si="17"/>
        <v>0</v>
      </c>
      <c r="M41" s="26">
        <f t="shared" si="17"/>
        <v>0</v>
      </c>
      <c r="N41" s="26">
        <f t="shared" si="17"/>
        <v>0</v>
      </c>
      <c r="O41" s="26">
        <f t="shared" si="17"/>
        <v>0</v>
      </c>
      <c r="P41" s="26">
        <f t="shared" si="17"/>
        <v>0</v>
      </c>
      <c r="Q41" s="26">
        <f t="shared" si="17"/>
        <v>0</v>
      </c>
      <c r="R41" s="26">
        <f t="shared" si="17"/>
        <v>0</v>
      </c>
      <c r="S41" s="26">
        <f t="shared" si="17"/>
        <v>0</v>
      </c>
      <c r="T41" s="26">
        <f t="shared" si="17"/>
        <v>0</v>
      </c>
      <c r="U41" s="26">
        <f t="shared" si="17"/>
        <v>0</v>
      </c>
      <c r="V41" s="26">
        <f t="shared" si="17"/>
        <v>0</v>
      </c>
      <c r="W41" s="26">
        <f t="shared" si="17"/>
        <v>0</v>
      </c>
      <c r="X41" s="26">
        <f t="shared" si="17"/>
        <v>0</v>
      </c>
      <c r="Y41" s="26">
        <f t="shared" si="17"/>
        <v>0</v>
      </c>
      <c r="Z41" s="26">
        <f t="shared" si="17"/>
        <v>0</v>
      </c>
      <c r="AA41" s="26">
        <f t="shared" si="17"/>
        <v>0</v>
      </c>
      <c r="AB41" s="26">
        <f t="shared" si="17"/>
        <v>0</v>
      </c>
      <c r="AC41" s="26">
        <f t="shared" si="17"/>
        <v>0</v>
      </c>
      <c r="AD41" s="26">
        <f t="shared" si="17"/>
        <v>0</v>
      </c>
      <c r="AE41" s="26">
        <f t="shared" si="17"/>
        <v>0</v>
      </c>
      <c r="AF41" s="26">
        <f t="shared" si="17"/>
        <v>0</v>
      </c>
      <c r="AG41" s="26">
        <f t="shared" si="17"/>
        <v>0</v>
      </c>
      <c r="AH41" s="26">
        <f t="shared" si="17"/>
        <v>0</v>
      </c>
      <c r="AI41" s="26">
        <f t="shared" si="17"/>
        <v>0</v>
      </c>
      <c r="AJ41" s="26">
        <f t="shared" si="17"/>
        <v>0</v>
      </c>
      <c r="AK41" s="26">
        <f t="shared" si="17"/>
        <v>0</v>
      </c>
      <c r="AL41" s="26">
        <f t="shared" si="17"/>
        <v>0</v>
      </c>
      <c r="AM41" s="26">
        <f t="shared" si="17"/>
        <v>0</v>
      </c>
      <c r="AN41" s="26">
        <f t="shared" si="17"/>
        <v>0</v>
      </c>
      <c r="AO41" s="26">
        <f t="shared" si="17"/>
        <v>0</v>
      </c>
      <c r="AP41" s="26">
        <f t="shared" si="17"/>
        <v>0</v>
      </c>
      <c r="AQ41" s="26">
        <f t="shared" si="17"/>
        <v>0</v>
      </c>
      <c r="AR41" s="26">
        <f t="shared" si="17"/>
        <v>0</v>
      </c>
      <c r="AS41" s="26">
        <f t="shared" si="17"/>
        <v>0</v>
      </c>
    </row>
    <row r="42" spans="2:45" ht="6" customHeight="1" outlineLevel="1" x14ac:dyDescent="0.15"/>
    <row r="43" spans="2:45" outlineLevel="1" x14ac:dyDescent="0.15">
      <c r="B43" s="107" t="s">
        <v>375</v>
      </c>
      <c r="I43" s="78" t="str">
        <f>Debt_Name</f>
        <v>Operating Grants</v>
      </c>
      <c r="J43" s="14">
        <f t="shared" ref="J43:AS43" si="18">IF(J$8=1,0,I46)</f>
        <v>0</v>
      </c>
      <c r="K43" s="14">
        <f t="shared" si="18"/>
        <v>0</v>
      </c>
      <c r="L43" s="14">
        <f t="shared" si="18"/>
        <v>0</v>
      </c>
      <c r="M43" s="14">
        <f t="shared" si="18"/>
        <v>0</v>
      </c>
      <c r="N43" s="14">
        <f t="shared" si="18"/>
        <v>0</v>
      </c>
      <c r="O43" s="14">
        <f t="shared" si="18"/>
        <v>0</v>
      </c>
      <c r="P43" s="14">
        <f t="shared" si="18"/>
        <v>0</v>
      </c>
      <c r="Q43" s="14">
        <f t="shared" si="18"/>
        <v>0</v>
      </c>
      <c r="R43" s="14">
        <f t="shared" si="18"/>
        <v>0</v>
      </c>
      <c r="S43" s="14">
        <f t="shared" si="18"/>
        <v>0</v>
      </c>
      <c r="T43" s="14">
        <f t="shared" si="18"/>
        <v>0</v>
      </c>
      <c r="U43" s="14">
        <f t="shared" si="18"/>
        <v>0</v>
      </c>
      <c r="V43" s="14">
        <f t="shared" si="18"/>
        <v>0</v>
      </c>
      <c r="W43" s="14">
        <f t="shared" si="18"/>
        <v>0</v>
      </c>
      <c r="X43" s="14">
        <f t="shared" si="18"/>
        <v>0</v>
      </c>
      <c r="Y43" s="14">
        <f t="shared" si="18"/>
        <v>0</v>
      </c>
      <c r="Z43" s="14">
        <f t="shared" si="18"/>
        <v>0</v>
      </c>
      <c r="AA43" s="14">
        <f t="shared" si="18"/>
        <v>0</v>
      </c>
      <c r="AB43" s="14">
        <f t="shared" si="18"/>
        <v>0</v>
      </c>
      <c r="AC43" s="14">
        <f t="shared" si="18"/>
        <v>0</v>
      </c>
      <c r="AD43" s="14">
        <f t="shared" si="18"/>
        <v>0</v>
      </c>
      <c r="AE43" s="14">
        <f t="shared" si="18"/>
        <v>0</v>
      </c>
      <c r="AF43" s="14">
        <f t="shared" si="18"/>
        <v>0</v>
      </c>
      <c r="AG43" s="14">
        <f t="shared" si="18"/>
        <v>0</v>
      </c>
      <c r="AH43" s="14">
        <f t="shared" si="18"/>
        <v>0</v>
      </c>
      <c r="AI43" s="14">
        <f t="shared" si="18"/>
        <v>0</v>
      </c>
      <c r="AJ43" s="14">
        <f t="shared" si="18"/>
        <v>0</v>
      </c>
      <c r="AK43" s="14">
        <f t="shared" si="18"/>
        <v>0</v>
      </c>
      <c r="AL43" s="14">
        <f t="shared" si="18"/>
        <v>0</v>
      </c>
      <c r="AM43" s="14">
        <f t="shared" si="18"/>
        <v>0</v>
      </c>
      <c r="AN43" s="14">
        <f t="shared" si="18"/>
        <v>0</v>
      </c>
      <c r="AO43" s="14">
        <f t="shared" si="18"/>
        <v>0</v>
      </c>
      <c r="AP43" s="14">
        <f t="shared" si="18"/>
        <v>0</v>
      </c>
      <c r="AQ43" s="14">
        <f t="shared" si="18"/>
        <v>0</v>
      </c>
      <c r="AR43" s="14">
        <f t="shared" si="18"/>
        <v>0</v>
      </c>
      <c r="AS43" s="14">
        <f t="shared" si="18"/>
        <v>0</v>
      </c>
    </row>
    <row r="44" spans="2:45" outlineLevel="1" x14ac:dyDescent="0.15">
      <c r="B44" s="107" t="s">
        <v>451</v>
      </c>
      <c r="I44" s="78" t="str">
        <f>Debt_Name</f>
        <v>Operating Grants</v>
      </c>
      <c r="J44" s="14">
        <f t="shared" ref="J44:AS44" si="19">J33*J41</f>
        <v>0</v>
      </c>
      <c r="K44" s="14">
        <f t="shared" si="19"/>
        <v>0</v>
      </c>
      <c r="L44" s="14">
        <f t="shared" si="19"/>
        <v>0</v>
      </c>
      <c r="M44" s="14">
        <f t="shared" si="19"/>
        <v>0</v>
      </c>
      <c r="N44" s="14">
        <f t="shared" si="19"/>
        <v>0</v>
      </c>
      <c r="O44" s="14">
        <f t="shared" si="19"/>
        <v>0</v>
      </c>
      <c r="P44" s="14">
        <f t="shared" si="19"/>
        <v>0</v>
      </c>
      <c r="Q44" s="14">
        <f t="shared" si="19"/>
        <v>0</v>
      </c>
      <c r="R44" s="14">
        <f t="shared" si="19"/>
        <v>0</v>
      </c>
      <c r="S44" s="14">
        <f t="shared" si="19"/>
        <v>0</v>
      </c>
      <c r="T44" s="14">
        <f t="shared" si="19"/>
        <v>0</v>
      </c>
      <c r="U44" s="14">
        <f t="shared" si="19"/>
        <v>0</v>
      </c>
      <c r="V44" s="14">
        <f t="shared" si="19"/>
        <v>0</v>
      </c>
      <c r="W44" s="14">
        <f t="shared" si="19"/>
        <v>0</v>
      </c>
      <c r="X44" s="14">
        <f t="shared" si="19"/>
        <v>0</v>
      </c>
      <c r="Y44" s="14">
        <f t="shared" si="19"/>
        <v>0</v>
      </c>
      <c r="Z44" s="14">
        <f t="shared" si="19"/>
        <v>0</v>
      </c>
      <c r="AA44" s="14">
        <f t="shared" si="19"/>
        <v>0</v>
      </c>
      <c r="AB44" s="14">
        <f t="shared" si="19"/>
        <v>0</v>
      </c>
      <c r="AC44" s="14">
        <f t="shared" si="19"/>
        <v>0</v>
      </c>
      <c r="AD44" s="14">
        <f t="shared" si="19"/>
        <v>0</v>
      </c>
      <c r="AE44" s="14">
        <f t="shared" si="19"/>
        <v>0</v>
      </c>
      <c r="AF44" s="14">
        <f t="shared" si="19"/>
        <v>0</v>
      </c>
      <c r="AG44" s="14">
        <f t="shared" si="19"/>
        <v>0</v>
      </c>
      <c r="AH44" s="14">
        <f t="shared" si="19"/>
        <v>0</v>
      </c>
      <c r="AI44" s="14">
        <f t="shared" si="19"/>
        <v>0</v>
      </c>
      <c r="AJ44" s="14">
        <f t="shared" si="19"/>
        <v>0</v>
      </c>
      <c r="AK44" s="14">
        <f t="shared" si="19"/>
        <v>0</v>
      </c>
      <c r="AL44" s="14">
        <f t="shared" si="19"/>
        <v>0</v>
      </c>
      <c r="AM44" s="14">
        <f t="shared" si="19"/>
        <v>0</v>
      </c>
      <c r="AN44" s="14">
        <f t="shared" si="19"/>
        <v>0</v>
      </c>
      <c r="AO44" s="14">
        <f t="shared" si="19"/>
        <v>0</v>
      </c>
      <c r="AP44" s="14">
        <f t="shared" si="19"/>
        <v>0</v>
      </c>
      <c r="AQ44" s="14">
        <f t="shared" si="19"/>
        <v>0</v>
      </c>
      <c r="AR44" s="14">
        <f t="shared" si="19"/>
        <v>0</v>
      </c>
      <c r="AS44" s="14">
        <f t="shared" si="19"/>
        <v>0</v>
      </c>
    </row>
    <row r="45" spans="2:45" outlineLevel="1" x14ac:dyDescent="0.15">
      <c r="B45" s="107" t="s">
        <v>129</v>
      </c>
      <c r="I45" s="78" t="str">
        <f>Debt_Name</f>
        <v>Operating Grants</v>
      </c>
      <c r="J45" s="14">
        <f t="shared" ref="J45:AS45" si="20">-J44</f>
        <v>0</v>
      </c>
      <c r="K45" s="14">
        <f t="shared" si="20"/>
        <v>0</v>
      </c>
      <c r="L45" s="14">
        <f t="shared" si="20"/>
        <v>0</v>
      </c>
      <c r="M45" s="14">
        <f t="shared" si="20"/>
        <v>0</v>
      </c>
      <c r="N45" s="14">
        <f t="shared" si="20"/>
        <v>0</v>
      </c>
      <c r="O45" s="14">
        <f t="shared" si="20"/>
        <v>0</v>
      </c>
      <c r="P45" s="14">
        <f t="shared" si="20"/>
        <v>0</v>
      </c>
      <c r="Q45" s="14">
        <f t="shared" si="20"/>
        <v>0</v>
      </c>
      <c r="R45" s="14">
        <f t="shared" si="20"/>
        <v>0</v>
      </c>
      <c r="S45" s="14">
        <f t="shared" si="20"/>
        <v>0</v>
      </c>
      <c r="T45" s="14">
        <f t="shared" si="20"/>
        <v>0</v>
      </c>
      <c r="U45" s="14">
        <f t="shared" si="20"/>
        <v>0</v>
      </c>
      <c r="V45" s="14">
        <f t="shared" si="20"/>
        <v>0</v>
      </c>
      <c r="W45" s="14">
        <f t="shared" si="20"/>
        <v>0</v>
      </c>
      <c r="X45" s="14">
        <f t="shared" si="20"/>
        <v>0</v>
      </c>
      <c r="Y45" s="14">
        <f t="shared" si="20"/>
        <v>0</v>
      </c>
      <c r="Z45" s="14">
        <f t="shared" si="20"/>
        <v>0</v>
      </c>
      <c r="AA45" s="14">
        <f t="shared" si="20"/>
        <v>0</v>
      </c>
      <c r="AB45" s="14">
        <f t="shared" si="20"/>
        <v>0</v>
      </c>
      <c r="AC45" s="14">
        <f t="shared" si="20"/>
        <v>0</v>
      </c>
      <c r="AD45" s="14">
        <f t="shared" si="20"/>
        <v>0</v>
      </c>
      <c r="AE45" s="14">
        <f t="shared" si="20"/>
        <v>0</v>
      </c>
      <c r="AF45" s="14">
        <f t="shared" si="20"/>
        <v>0</v>
      </c>
      <c r="AG45" s="14">
        <f t="shared" si="20"/>
        <v>0</v>
      </c>
      <c r="AH45" s="14">
        <f t="shared" si="20"/>
        <v>0</v>
      </c>
      <c r="AI45" s="14">
        <f t="shared" si="20"/>
        <v>0</v>
      </c>
      <c r="AJ45" s="14">
        <f t="shared" si="20"/>
        <v>0</v>
      </c>
      <c r="AK45" s="14">
        <f t="shared" si="20"/>
        <v>0</v>
      </c>
      <c r="AL45" s="14">
        <f t="shared" si="20"/>
        <v>0</v>
      </c>
      <c r="AM45" s="14">
        <f t="shared" si="20"/>
        <v>0</v>
      </c>
      <c r="AN45" s="14">
        <f t="shared" si="20"/>
        <v>0</v>
      </c>
      <c r="AO45" s="14">
        <f t="shared" si="20"/>
        <v>0</v>
      </c>
      <c r="AP45" s="14">
        <f t="shared" si="20"/>
        <v>0</v>
      </c>
      <c r="AQ45" s="14">
        <f t="shared" si="20"/>
        <v>0</v>
      </c>
      <c r="AR45" s="14">
        <f t="shared" si="20"/>
        <v>0</v>
      </c>
      <c r="AS45" s="14">
        <f t="shared" si="20"/>
        <v>0</v>
      </c>
    </row>
    <row r="46" spans="2:45" outlineLevel="1" x14ac:dyDescent="0.15">
      <c r="B46" s="16" t="s">
        <v>388</v>
      </c>
      <c r="I46" s="78" t="str">
        <f>Debt_Name</f>
        <v>Operating Grants</v>
      </c>
      <c r="J46" s="18">
        <f t="shared" ref="J46:AS46" si="21">SUM(J43:J45)</f>
        <v>0</v>
      </c>
      <c r="K46" s="18">
        <f t="shared" si="21"/>
        <v>0</v>
      </c>
      <c r="L46" s="18">
        <f t="shared" si="21"/>
        <v>0</v>
      </c>
      <c r="M46" s="18">
        <f t="shared" si="21"/>
        <v>0</v>
      </c>
      <c r="N46" s="18">
        <f t="shared" si="21"/>
        <v>0</v>
      </c>
      <c r="O46" s="18">
        <f t="shared" si="21"/>
        <v>0</v>
      </c>
      <c r="P46" s="18">
        <f t="shared" si="21"/>
        <v>0</v>
      </c>
      <c r="Q46" s="18">
        <f t="shared" si="21"/>
        <v>0</v>
      </c>
      <c r="R46" s="18">
        <f t="shared" si="21"/>
        <v>0</v>
      </c>
      <c r="S46" s="18">
        <f t="shared" si="21"/>
        <v>0</v>
      </c>
      <c r="T46" s="18">
        <f t="shared" si="21"/>
        <v>0</v>
      </c>
      <c r="U46" s="18">
        <f t="shared" si="21"/>
        <v>0</v>
      </c>
      <c r="V46" s="18">
        <f t="shared" si="21"/>
        <v>0</v>
      </c>
      <c r="W46" s="18">
        <f t="shared" si="21"/>
        <v>0</v>
      </c>
      <c r="X46" s="18">
        <f t="shared" si="21"/>
        <v>0</v>
      </c>
      <c r="Y46" s="18">
        <f t="shared" si="21"/>
        <v>0</v>
      </c>
      <c r="Z46" s="18">
        <f t="shared" si="21"/>
        <v>0</v>
      </c>
      <c r="AA46" s="18">
        <f t="shared" si="21"/>
        <v>0</v>
      </c>
      <c r="AB46" s="18">
        <f t="shared" si="21"/>
        <v>0</v>
      </c>
      <c r="AC46" s="18">
        <f t="shared" si="21"/>
        <v>0</v>
      </c>
      <c r="AD46" s="18">
        <f t="shared" si="21"/>
        <v>0</v>
      </c>
      <c r="AE46" s="18">
        <f t="shared" si="21"/>
        <v>0</v>
      </c>
      <c r="AF46" s="18">
        <f t="shared" si="21"/>
        <v>0</v>
      </c>
      <c r="AG46" s="18">
        <f t="shared" si="21"/>
        <v>0</v>
      </c>
      <c r="AH46" s="18">
        <f t="shared" si="21"/>
        <v>0</v>
      </c>
      <c r="AI46" s="18">
        <f t="shared" si="21"/>
        <v>0</v>
      </c>
      <c r="AJ46" s="18">
        <f t="shared" si="21"/>
        <v>0</v>
      </c>
      <c r="AK46" s="18">
        <f t="shared" si="21"/>
        <v>0</v>
      </c>
      <c r="AL46" s="18">
        <f t="shared" si="21"/>
        <v>0</v>
      </c>
      <c r="AM46" s="18">
        <f t="shared" si="21"/>
        <v>0</v>
      </c>
      <c r="AN46" s="18">
        <f t="shared" si="21"/>
        <v>0</v>
      </c>
      <c r="AO46" s="18">
        <f t="shared" si="21"/>
        <v>0</v>
      </c>
      <c r="AP46" s="18">
        <f t="shared" si="21"/>
        <v>0</v>
      </c>
      <c r="AQ46" s="18">
        <f t="shared" si="21"/>
        <v>0</v>
      </c>
      <c r="AR46" s="18">
        <f t="shared" si="21"/>
        <v>0</v>
      </c>
      <c r="AS46" s="18">
        <f t="shared" si="21"/>
        <v>0</v>
      </c>
    </row>
    <row r="47" spans="2:45" outlineLevel="1" x14ac:dyDescent="0.15"/>
    <row r="48" spans="2:45" hidden="1" outlineLevel="2" x14ac:dyDescent="0.15">
      <c r="C48" s="107" t="s">
        <v>192</v>
      </c>
      <c r="J48" s="17">
        <f t="shared" ref="J48:AS48" si="22">IF(ISERROR(SUM(J37,J46)),1,0)</f>
        <v>0</v>
      </c>
      <c r="K48" s="17">
        <f t="shared" si="22"/>
        <v>0</v>
      </c>
      <c r="L48" s="17">
        <f t="shared" si="22"/>
        <v>0</v>
      </c>
      <c r="M48" s="17">
        <f t="shared" si="22"/>
        <v>0</v>
      </c>
      <c r="N48" s="17">
        <f t="shared" si="22"/>
        <v>0</v>
      </c>
      <c r="O48" s="17">
        <f t="shared" si="22"/>
        <v>0</v>
      </c>
      <c r="P48" s="17">
        <f t="shared" si="22"/>
        <v>0</v>
      </c>
      <c r="Q48" s="17">
        <f t="shared" si="22"/>
        <v>0</v>
      </c>
      <c r="R48" s="17">
        <f t="shared" si="22"/>
        <v>0</v>
      </c>
      <c r="S48" s="17">
        <f t="shared" si="22"/>
        <v>0</v>
      </c>
      <c r="T48" s="17">
        <f t="shared" si="22"/>
        <v>0</v>
      </c>
      <c r="U48" s="17">
        <f t="shared" si="22"/>
        <v>0</v>
      </c>
      <c r="V48" s="17">
        <f t="shared" si="22"/>
        <v>0</v>
      </c>
      <c r="W48" s="17">
        <f t="shared" si="22"/>
        <v>0</v>
      </c>
      <c r="X48" s="17">
        <f t="shared" si="22"/>
        <v>0</v>
      </c>
      <c r="Y48" s="17">
        <f t="shared" si="22"/>
        <v>0</v>
      </c>
      <c r="Z48" s="17">
        <f t="shared" si="22"/>
        <v>0</v>
      </c>
      <c r="AA48" s="17">
        <f t="shared" si="22"/>
        <v>0</v>
      </c>
      <c r="AB48" s="17">
        <f t="shared" si="22"/>
        <v>0</v>
      </c>
      <c r="AC48" s="17">
        <f t="shared" si="22"/>
        <v>0</v>
      </c>
      <c r="AD48" s="17">
        <f t="shared" si="22"/>
        <v>0</v>
      </c>
      <c r="AE48" s="17">
        <f t="shared" si="22"/>
        <v>0</v>
      </c>
      <c r="AF48" s="17">
        <f t="shared" si="22"/>
        <v>0</v>
      </c>
      <c r="AG48" s="17">
        <f t="shared" si="22"/>
        <v>0</v>
      </c>
      <c r="AH48" s="17">
        <f t="shared" si="22"/>
        <v>0</v>
      </c>
      <c r="AI48" s="17">
        <f t="shared" si="22"/>
        <v>0</v>
      </c>
      <c r="AJ48" s="17">
        <f t="shared" si="22"/>
        <v>0</v>
      </c>
      <c r="AK48" s="17">
        <f t="shared" si="22"/>
        <v>0</v>
      </c>
      <c r="AL48" s="17">
        <f t="shared" si="22"/>
        <v>0</v>
      </c>
      <c r="AM48" s="17">
        <f t="shared" si="22"/>
        <v>0</v>
      </c>
      <c r="AN48" s="17">
        <f t="shared" si="22"/>
        <v>0</v>
      </c>
      <c r="AO48" s="17">
        <f t="shared" si="22"/>
        <v>0</v>
      </c>
      <c r="AP48" s="17">
        <f t="shared" si="22"/>
        <v>0</v>
      </c>
      <c r="AQ48" s="17">
        <f t="shared" si="22"/>
        <v>0</v>
      </c>
      <c r="AR48" s="17">
        <f t="shared" si="22"/>
        <v>0</v>
      </c>
      <c r="AS48" s="17">
        <f t="shared" si="22"/>
        <v>0</v>
      </c>
    </row>
    <row r="49" spans="2:45" hidden="1" outlineLevel="2" x14ac:dyDescent="0.15">
      <c r="C49" s="107" t="s">
        <v>452</v>
      </c>
      <c r="J49" s="17">
        <f t="shared" ref="J49:AS49" si="23">IF(J48&lt;&gt;0,0,IF(ROUND(J33+J34+J36-J37,5)&lt;&gt;0,1,0))</f>
        <v>0</v>
      </c>
      <c r="K49" s="17">
        <f t="shared" si="23"/>
        <v>0</v>
      </c>
      <c r="L49" s="17">
        <f t="shared" si="23"/>
        <v>0</v>
      </c>
      <c r="M49" s="17">
        <f t="shared" si="23"/>
        <v>0</v>
      </c>
      <c r="N49" s="17">
        <f t="shared" si="23"/>
        <v>0</v>
      </c>
      <c r="O49" s="17">
        <f t="shared" si="23"/>
        <v>0</v>
      </c>
      <c r="P49" s="17">
        <f t="shared" si="23"/>
        <v>0</v>
      </c>
      <c r="Q49" s="17">
        <f t="shared" si="23"/>
        <v>0</v>
      </c>
      <c r="R49" s="17">
        <f t="shared" si="23"/>
        <v>0</v>
      </c>
      <c r="S49" s="17">
        <f t="shared" si="23"/>
        <v>0</v>
      </c>
      <c r="T49" s="17">
        <f t="shared" si="23"/>
        <v>0</v>
      </c>
      <c r="U49" s="17">
        <f t="shared" si="23"/>
        <v>0</v>
      </c>
      <c r="V49" s="17">
        <f t="shared" si="23"/>
        <v>0</v>
      </c>
      <c r="W49" s="17">
        <f t="shared" si="23"/>
        <v>0</v>
      </c>
      <c r="X49" s="17">
        <f t="shared" si="23"/>
        <v>0</v>
      </c>
      <c r="Y49" s="17">
        <f t="shared" si="23"/>
        <v>0</v>
      </c>
      <c r="Z49" s="17">
        <f t="shared" si="23"/>
        <v>0</v>
      </c>
      <c r="AA49" s="17">
        <f t="shared" si="23"/>
        <v>0</v>
      </c>
      <c r="AB49" s="17">
        <f t="shared" si="23"/>
        <v>0</v>
      </c>
      <c r="AC49" s="17">
        <f t="shared" si="23"/>
        <v>0</v>
      </c>
      <c r="AD49" s="17">
        <f t="shared" si="23"/>
        <v>0</v>
      </c>
      <c r="AE49" s="17">
        <f t="shared" si="23"/>
        <v>0</v>
      </c>
      <c r="AF49" s="17">
        <f t="shared" si="23"/>
        <v>0</v>
      </c>
      <c r="AG49" s="17">
        <f t="shared" si="23"/>
        <v>0</v>
      </c>
      <c r="AH49" s="17">
        <f t="shared" si="23"/>
        <v>0</v>
      </c>
      <c r="AI49" s="17">
        <f t="shared" si="23"/>
        <v>0</v>
      </c>
      <c r="AJ49" s="17">
        <f t="shared" si="23"/>
        <v>0</v>
      </c>
      <c r="AK49" s="17">
        <f t="shared" si="23"/>
        <v>0</v>
      </c>
      <c r="AL49" s="17">
        <f t="shared" si="23"/>
        <v>0</v>
      </c>
      <c r="AM49" s="17">
        <f t="shared" si="23"/>
        <v>0</v>
      </c>
      <c r="AN49" s="17">
        <f t="shared" si="23"/>
        <v>0</v>
      </c>
      <c r="AO49" s="17">
        <f t="shared" si="23"/>
        <v>0</v>
      </c>
      <c r="AP49" s="17">
        <f t="shared" si="23"/>
        <v>0</v>
      </c>
      <c r="AQ49" s="17">
        <f t="shared" si="23"/>
        <v>0</v>
      </c>
      <c r="AR49" s="17">
        <f t="shared" si="23"/>
        <v>0</v>
      </c>
      <c r="AS49" s="17">
        <f t="shared" si="23"/>
        <v>0</v>
      </c>
    </row>
    <row r="50" spans="2:45" hidden="1" outlineLevel="2" x14ac:dyDescent="0.15">
      <c r="C50" s="107" t="s">
        <v>453</v>
      </c>
      <c r="J50" s="42">
        <f t="shared" ref="J50:AS50" si="24">IF(J48&lt;&gt;0,0,IF(ROUND(J43+J44+J45-J46,5)&lt;&gt;0,1,0))</f>
        <v>0</v>
      </c>
      <c r="K50" s="42">
        <f t="shared" si="24"/>
        <v>0</v>
      </c>
      <c r="L50" s="42">
        <f t="shared" si="24"/>
        <v>0</v>
      </c>
      <c r="M50" s="42">
        <f t="shared" si="24"/>
        <v>0</v>
      </c>
      <c r="N50" s="42">
        <f t="shared" si="24"/>
        <v>0</v>
      </c>
      <c r="O50" s="42">
        <f t="shared" si="24"/>
        <v>0</v>
      </c>
      <c r="P50" s="42">
        <f t="shared" si="24"/>
        <v>0</v>
      </c>
      <c r="Q50" s="42">
        <f t="shared" si="24"/>
        <v>0</v>
      </c>
      <c r="R50" s="42">
        <f t="shared" si="24"/>
        <v>0</v>
      </c>
      <c r="S50" s="42">
        <f t="shared" si="24"/>
        <v>0</v>
      </c>
      <c r="T50" s="42">
        <f t="shared" si="24"/>
        <v>0</v>
      </c>
      <c r="U50" s="42">
        <f t="shared" si="24"/>
        <v>0</v>
      </c>
      <c r="V50" s="42">
        <f t="shared" si="24"/>
        <v>0</v>
      </c>
      <c r="W50" s="42">
        <f t="shared" si="24"/>
        <v>0</v>
      </c>
      <c r="X50" s="42">
        <f t="shared" si="24"/>
        <v>0</v>
      </c>
      <c r="Y50" s="42">
        <f t="shared" si="24"/>
        <v>0</v>
      </c>
      <c r="Z50" s="42">
        <f t="shared" si="24"/>
        <v>0</v>
      </c>
      <c r="AA50" s="42">
        <f t="shared" si="24"/>
        <v>0</v>
      </c>
      <c r="AB50" s="42">
        <f t="shared" si="24"/>
        <v>0</v>
      </c>
      <c r="AC50" s="42">
        <f t="shared" si="24"/>
        <v>0</v>
      </c>
      <c r="AD50" s="42">
        <f t="shared" si="24"/>
        <v>0</v>
      </c>
      <c r="AE50" s="42">
        <f t="shared" si="24"/>
        <v>0</v>
      </c>
      <c r="AF50" s="42">
        <f t="shared" si="24"/>
        <v>0</v>
      </c>
      <c r="AG50" s="42">
        <f t="shared" si="24"/>
        <v>0</v>
      </c>
      <c r="AH50" s="42">
        <f t="shared" si="24"/>
        <v>0</v>
      </c>
      <c r="AI50" s="42">
        <f t="shared" si="24"/>
        <v>0</v>
      </c>
      <c r="AJ50" s="42">
        <f t="shared" si="24"/>
        <v>0</v>
      </c>
      <c r="AK50" s="42">
        <f t="shared" si="24"/>
        <v>0</v>
      </c>
      <c r="AL50" s="42">
        <f t="shared" si="24"/>
        <v>0</v>
      </c>
      <c r="AM50" s="42">
        <f t="shared" si="24"/>
        <v>0</v>
      </c>
      <c r="AN50" s="42">
        <f t="shared" si="24"/>
        <v>0</v>
      </c>
      <c r="AO50" s="42">
        <f t="shared" si="24"/>
        <v>0</v>
      </c>
      <c r="AP50" s="42">
        <f t="shared" si="24"/>
        <v>0</v>
      </c>
      <c r="AQ50" s="42">
        <f t="shared" si="24"/>
        <v>0</v>
      </c>
      <c r="AR50" s="42">
        <f t="shared" si="24"/>
        <v>0</v>
      </c>
      <c r="AS50" s="42">
        <f t="shared" si="24"/>
        <v>0</v>
      </c>
    </row>
    <row r="51" spans="2:45" outlineLevel="1" collapsed="1" x14ac:dyDescent="0.15">
      <c r="B51" s="107" t="s">
        <v>335</v>
      </c>
      <c r="I51" s="22">
        <f>IF(ISERROR(SUM(J51:AS51)),1,MIN(SUM(J51:AS51),1))</f>
        <v>0</v>
      </c>
      <c r="J51" s="17">
        <f t="shared" ref="J51:AS51" si="25">MIN(SUM(J48:J50),1)</f>
        <v>0</v>
      </c>
      <c r="K51" s="17">
        <f t="shared" si="25"/>
        <v>0</v>
      </c>
      <c r="L51" s="17">
        <f t="shared" si="25"/>
        <v>0</v>
      </c>
      <c r="M51" s="17">
        <f t="shared" si="25"/>
        <v>0</v>
      </c>
      <c r="N51" s="17">
        <f t="shared" si="25"/>
        <v>0</v>
      </c>
      <c r="O51" s="17">
        <f t="shared" si="25"/>
        <v>0</v>
      </c>
      <c r="P51" s="17">
        <f t="shared" si="25"/>
        <v>0</v>
      </c>
      <c r="Q51" s="17">
        <f t="shared" si="25"/>
        <v>0</v>
      </c>
      <c r="R51" s="17">
        <f t="shared" si="25"/>
        <v>0</v>
      </c>
      <c r="S51" s="17">
        <f t="shared" si="25"/>
        <v>0</v>
      </c>
      <c r="T51" s="17">
        <f t="shared" si="25"/>
        <v>0</v>
      </c>
      <c r="U51" s="17">
        <f t="shared" si="25"/>
        <v>0</v>
      </c>
      <c r="V51" s="17">
        <f t="shared" si="25"/>
        <v>0</v>
      </c>
      <c r="W51" s="17">
        <f t="shared" si="25"/>
        <v>0</v>
      </c>
      <c r="X51" s="17">
        <f t="shared" si="25"/>
        <v>0</v>
      </c>
      <c r="Y51" s="17">
        <f t="shared" si="25"/>
        <v>0</v>
      </c>
      <c r="Z51" s="17">
        <f t="shared" si="25"/>
        <v>0</v>
      </c>
      <c r="AA51" s="17">
        <f t="shared" si="25"/>
        <v>0</v>
      </c>
      <c r="AB51" s="17">
        <f t="shared" si="25"/>
        <v>0</v>
      </c>
      <c r="AC51" s="17">
        <f t="shared" si="25"/>
        <v>0</v>
      </c>
      <c r="AD51" s="17">
        <f t="shared" si="25"/>
        <v>0</v>
      </c>
      <c r="AE51" s="17">
        <f t="shared" si="25"/>
        <v>0</v>
      </c>
      <c r="AF51" s="17">
        <f t="shared" si="25"/>
        <v>0</v>
      </c>
      <c r="AG51" s="17">
        <f t="shared" si="25"/>
        <v>0</v>
      </c>
      <c r="AH51" s="17">
        <f t="shared" si="25"/>
        <v>0</v>
      </c>
      <c r="AI51" s="17">
        <f t="shared" si="25"/>
        <v>0</v>
      </c>
      <c r="AJ51" s="17">
        <f t="shared" si="25"/>
        <v>0</v>
      </c>
      <c r="AK51" s="17">
        <f t="shared" si="25"/>
        <v>0</v>
      </c>
      <c r="AL51" s="17">
        <f t="shared" si="25"/>
        <v>0</v>
      </c>
      <c r="AM51" s="17">
        <f t="shared" si="25"/>
        <v>0</v>
      </c>
      <c r="AN51" s="17">
        <f t="shared" si="25"/>
        <v>0</v>
      </c>
      <c r="AO51" s="17">
        <f t="shared" si="25"/>
        <v>0</v>
      </c>
      <c r="AP51" s="17">
        <f t="shared" si="25"/>
        <v>0</v>
      </c>
      <c r="AQ51" s="17">
        <f t="shared" si="25"/>
        <v>0</v>
      </c>
      <c r="AR51" s="17">
        <f t="shared" si="25"/>
        <v>0</v>
      </c>
      <c r="AS51" s="17">
        <f t="shared" si="25"/>
        <v>0</v>
      </c>
    </row>
    <row r="52" spans="2:45" ht="6" hidden="1" customHeight="1" outlineLevel="2" x14ac:dyDescent="0.15"/>
    <row r="53" spans="2:45" hidden="1" outlineLevel="2" x14ac:dyDescent="0.15">
      <c r="C53" s="107" t="s">
        <v>454</v>
      </c>
      <c r="J53" s="17">
        <f t="shared" ref="J53:AS53" si="26">IF(J51&lt;&gt;0,0,IF(ROUND(MIN(J37),5)&lt;0,1,0))</f>
        <v>0</v>
      </c>
      <c r="K53" s="17">
        <f t="shared" si="26"/>
        <v>0</v>
      </c>
      <c r="L53" s="17">
        <f t="shared" si="26"/>
        <v>0</v>
      </c>
      <c r="M53" s="17">
        <f t="shared" si="26"/>
        <v>0</v>
      </c>
      <c r="N53" s="17">
        <f t="shared" si="26"/>
        <v>0</v>
      </c>
      <c r="O53" s="17">
        <f t="shared" si="26"/>
        <v>0</v>
      </c>
      <c r="P53" s="17">
        <f t="shared" si="26"/>
        <v>0</v>
      </c>
      <c r="Q53" s="17">
        <f t="shared" si="26"/>
        <v>0</v>
      </c>
      <c r="R53" s="17">
        <f t="shared" si="26"/>
        <v>0</v>
      </c>
      <c r="S53" s="17">
        <f t="shared" si="26"/>
        <v>0</v>
      </c>
      <c r="T53" s="17">
        <f t="shared" si="26"/>
        <v>0</v>
      </c>
      <c r="U53" s="17">
        <f t="shared" si="26"/>
        <v>0</v>
      </c>
      <c r="V53" s="17">
        <f t="shared" si="26"/>
        <v>0</v>
      </c>
      <c r="W53" s="17">
        <f t="shared" si="26"/>
        <v>0</v>
      </c>
      <c r="X53" s="17">
        <f t="shared" si="26"/>
        <v>0</v>
      </c>
      <c r="Y53" s="17">
        <f t="shared" si="26"/>
        <v>0</v>
      </c>
      <c r="Z53" s="17">
        <f t="shared" si="26"/>
        <v>0</v>
      </c>
      <c r="AA53" s="17">
        <f t="shared" si="26"/>
        <v>0</v>
      </c>
      <c r="AB53" s="17">
        <f t="shared" si="26"/>
        <v>0</v>
      </c>
      <c r="AC53" s="17">
        <f t="shared" si="26"/>
        <v>0</v>
      </c>
      <c r="AD53" s="17">
        <f t="shared" si="26"/>
        <v>0</v>
      </c>
      <c r="AE53" s="17">
        <f t="shared" si="26"/>
        <v>0</v>
      </c>
      <c r="AF53" s="17">
        <f t="shared" si="26"/>
        <v>0</v>
      </c>
      <c r="AG53" s="17">
        <f t="shared" si="26"/>
        <v>0</v>
      </c>
      <c r="AH53" s="17">
        <f t="shared" si="26"/>
        <v>0</v>
      </c>
      <c r="AI53" s="17">
        <f t="shared" si="26"/>
        <v>0</v>
      </c>
      <c r="AJ53" s="17">
        <f t="shared" si="26"/>
        <v>0</v>
      </c>
      <c r="AK53" s="17">
        <f t="shared" si="26"/>
        <v>0</v>
      </c>
      <c r="AL53" s="17">
        <f t="shared" si="26"/>
        <v>0</v>
      </c>
      <c r="AM53" s="17">
        <f t="shared" si="26"/>
        <v>0</v>
      </c>
      <c r="AN53" s="17">
        <f t="shared" si="26"/>
        <v>0</v>
      </c>
      <c r="AO53" s="17">
        <f t="shared" si="26"/>
        <v>0</v>
      </c>
      <c r="AP53" s="17">
        <f t="shared" si="26"/>
        <v>0</v>
      </c>
      <c r="AQ53" s="17">
        <f t="shared" si="26"/>
        <v>0</v>
      </c>
      <c r="AR53" s="17">
        <f t="shared" si="26"/>
        <v>0</v>
      </c>
      <c r="AS53" s="17">
        <f t="shared" si="26"/>
        <v>0</v>
      </c>
    </row>
    <row r="54" spans="2:45" hidden="1" outlineLevel="2" x14ac:dyDescent="0.15">
      <c r="C54" s="107" t="s">
        <v>455</v>
      </c>
      <c r="J54" s="42">
        <f t="shared" ref="J54:AS54" si="27">IF(J51&lt;&gt;0,0,IF(ROUND(MIN(J46),5)&lt;0,1,0))</f>
        <v>0</v>
      </c>
      <c r="K54" s="42">
        <f t="shared" si="27"/>
        <v>0</v>
      </c>
      <c r="L54" s="42">
        <f t="shared" si="27"/>
        <v>0</v>
      </c>
      <c r="M54" s="42">
        <f t="shared" si="27"/>
        <v>0</v>
      </c>
      <c r="N54" s="42">
        <f t="shared" si="27"/>
        <v>0</v>
      </c>
      <c r="O54" s="42">
        <f t="shared" si="27"/>
        <v>0</v>
      </c>
      <c r="P54" s="42">
        <f t="shared" si="27"/>
        <v>0</v>
      </c>
      <c r="Q54" s="42">
        <f t="shared" si="27"/>
        <v>0</v>
      </c>
      <c r="R54" s="42">
        <f t="shared" si="27"/>
        <v>0</v>
      </c>
      <c r="S54" s="42">
        <f t="shared" si="27"/>
        <v>0</v>
      </c>
      <c r="T54" s="42">
        <f t="shared" si="27"/>
        <v>0</v>
      </c>
      <c r="U54" s="42">
        <f t="shared" si="27"/>
        <v>0</v>
      </c>
      <c r="V54" s="42">
        <f t="shared" si="27"/>
        <v>0</v>
      </c>
      <c r="W54" s="42">
        <f t="shared" si="27"/>
        <v>0</v>
      </c>
      <c r="X54" s="42">
        <f t="shared" si="27"/>
        <v>0</v>
      </c>
      <c r="Y54" s="42">
        <f t="shared" si="27"/>
        <v>0</v>
      </c>
      <c r="Z54" s="42">
        <f t="shared" si="27"/>
        <v>0</v>
      </c>
      <c r="AA54" s="42">
        <f t="shared" si="27"/>
        <v>0</v>
      </c>
      <c r="AB54" s="42">
        <f t="shared" si="27"/>
        <v>0</v>
      </c>
      <c r="AC54" s="42">
        <f t="shared" si="27"/>
        <v>0</v>
      </c>
      <c r="AD54" s="42">
        <f t="shared" si="27"/>
        <v>0</v>
      </c>
      <c r="AE54" s="42">
        <f t="shared" si="27"/>
        <v>0</v>
      </c>
      <c r="AF54" s="42">
        <f t="shared" si="27"/>
        <v>0</v>
      </c>
      <c r="AG54" s="42">
        <f t="shared" si="27"/>
        <v>0</v>
      </c>
      <c r="AH54" s="42">
        <f t="shared" si="27"/>
        <v>0</v>
      </c>
      <c r="AI54" s="42">
        <f t="shared" si="27"/>
        <v>0</v>
      </c>
      <c r="AJ54" s="42">
        <f t="shared" si="27"/>
        <v>0</v>
      </c>
      <c r="AK54" s="42">
        <f t="shared" si="27"/>
        <v>0</v>
      </c>
      <c r="AL54" s="42">
        <f t="shared" si="27"/>
        <v>0</v>
      </c>
      <c r="AM54" s="42">
        <f t="shared" si="27"/>
        <v>0</v>
      </c>
      <c r="AN54" s="42">
        <f t="shared" si="27"/>
        <v>0</v>
      </c>
      <c r="AO54" s="42">
        <f t="shared" si="27"/>
        <v>0</v>
      </c>
      <c r="AP54" s="42">
        <f t="shared" si="27"/>
        <v>0</v>
      </c>
      <c r="AQ54" s="42">
        <f t="shared" si="27"/>
        <v>0</v>
      </c>
      <c r="AR54" s="42">
        <f t="shared" si="27"/>
        <v>0</v>
      </c>
      <c r="AS54" s="42">
        <f t="shared" si="27"/>
        <v>0</v>
      </c>
    </row>
    <row r="55" spans="2:45" outlineLevel="1" collapsed="1" x14ac:dyDescent="0.15">
      <c r="B55" s="107" t="s">
        <v>392</v>
      </c>
      <c r="I55" s="22">
        <f>IF(ISERROR(SUM(J55:AS55)),1,MIN(SUM(J55:AS55),1))</f>
        <v>0</v>
      </c>
      <c r="J55" s="17">
        <f t="shared" ref="J55:AS55" si="28">MIN(SUM(J53:J54),1)</f>
        <v>0</v>
      </c>
      <c r="K55" s="17">
        <f t="shared" si="28"/>
        <v>0</v>
      </c>
      <c r="L55" s="17">
        <f t="shared" si="28"/>
        <v>0</v>
      </c>
      <c r="M55" s="17">
        <f t="shared" si="28"/>
        <v>0</v>
      </c>
      <c r="N55" s="17">
        <f t="shared" si="28"/>
        <v>0</v>
      </c>
      <c r="O55" s="17">
        <f t="shared" si="28"/>
        <v>0</v>
      </c>
      <c r="P55" s="17">
        <f t="shared" si="28"/>
        <v>0</v>
      </c>
      <c r="Q55" s="17">
        <f t="shared" si="28"/>
        <v>0</v>
      </c>
      <c r="R55" s="17">
        <f t="shared" si="28"/>
        <v>0</v>
      </c>
      <c r="S55" s="17">
        <f t="shared" si="28"/>
        <v>0</v>
      </c>
      <c r="T55" s="17">
        <f t="shared" si="28"/>
        <v>0</v>
      </c>
      <c r="U55" s="17">
        <f t="shared" si="28"/>
        <v>0</v>
      </c>
      <c r="V55" s="17">
        <f t="shared" si="28"/>
        <v>0</v>
      </c>
      <c r="W55" s="17">
        <f t="shared" si="28"/>
        <v>0</v>
      </c>
      <c r="X55" s="17">
        <f t="shared" si="28"/>
        <v>0</v>
      </c>
      <c r="Y55" s="17">
        <f t="shared" si="28"/>
        <v>0</v>
      </c>
      <c r="Z55" s="17">
        <f t="shared" si="28"/>
        <v>0</v>
      </c>
      <c r="AA55" s="17">
        <f t="shared" si="28"/>
        <v>0</v>
      </c>
      <c r="AB55" s="17">
        <f t="shared" si="28"/>
        <v>0</v>
      </c>
      <c r="AC55" s="17">
        <f t="shared" si="28"/>
        <v>0</v>
      </c>
      <c r="AD55" s="17">
        <f t="shared" si="28"/>
        <v>0</v>
      </c>
      <c r="AE55" s="17">
        <f t="shared" si="28"/>
        <v>0</v>
      </c>
      <c r="AF55" s="17">
        <f t="shared" si="28"/>
        <v>0</v>
      </c>
      <c r="AG55" s="17">
        <f t="shared" si="28"/>
        <v>0</v>
      </c>
      <c r="AH55" s="17">
        <f t="shared" si="28"/>
        <v>0</v>
      </c>
      <c r="AI55" s="17">
        <f t="shared" si="28"/>
        <v>0</v>
      </c>
      <c r="AJ55" s="17">
        <f t="shared" si="28"/>
        <v>0</v>
      </c>
      <c r="AK55" s="17">
        <f t="shared" si="28"/>
        <v>0</v>
      </c>
      <c r="AL55" s="17">
        <f t="shared" si="28"/>
        <v>0</v>
      </c>
      <c r="AM55" s="17">
        <f t="shared" si="28"/>
        <v>0</v>
      </c>
      <c r="AN55" s="17">
        <f t="shared" si="28"/>
        <v>0</v>
      </c>
      <c r="AO55" s="17">
        <f t="shared" si="28"/>
        <v>0</v>
      </c>
      <c r="AP55" s="17">
        <f t="shared" si="28"/>
        <v>0</v>
      </c>
      <c r="AQ55" s="17">
        <f t="shared" si="28"/>
        <v>0</v>
      </c>
      <c r="AR55" s="17">
        <f t="shared" si="28"/>
        <v>0</v>
      </c>
      <c r="AS55" s="17">
        <f t="shared" si="28"/>
        <v>0</v>
      </c>
    </row>
    <row r="56" spans="2:45" outlineLevel="1" x14ac:dyDescent="0.15"/>
    <row r="57" spans="2:45" outlineLevel="1" x14ac:dyDescent="0.15">
      <c r="B57" s="108" t="str">
        <f>OBS!B54</f>
        <v>CAPEX Grant</v>
      </c>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row>
    <row r="58" spans="2:45" outlineLevel="1" x14ac:dyDescent="0.15"/>
    <row r="59" spans="2:45" outlineLevel="1" x14ac:dyDescent="0.15">
      <c r="B59" s="107" t="s">
        <v>375</v>
      </c>
      <c r="I59" s="78" t="str">
        <f>Debt_2_Name</f>
        <v>CAPEX Grant</v>
      </c>
      <c r="J59" s="14">
        <f>IF(J$8=1,OBS!J54,I63)</f>
        <v>0</v>
      </c>
      <c r="K59" s="14">
        <f>IF(K$8=1,OBS!K54,J63)</f>
        <v>300000</v>
      </c>
      <c r="L59" s="14">
        <f>IF(L$8=1,OBS!L54,K63)</f>
        <v>300000</v>
      </c>
      <c r="M59" s="14">
        <f>IF(M$8=1,OBS!M54,L63)</f>
        <v>300000</v>
      </c>
      <c r="N59" s="14">
        <f>IF(N$8=1,OBS!N54,M63)</f>
        <v>300000</v>
      </c>
      <c r="O59" s="14">
        <f>IF(O$8=1,OBS!O54,N63)</f>
        <v>300000</v>
      </c>
      <c r="P59" s="14">
        <f>IF(P$8=1,OBS!P54,O63)</f>
        <v>300000</v>
      </c>
      <c r="Q59" s="14">
        <f>IF(Q$8=1,OBS!Q54,P63)</f>
        <v>300000</v>
      </c>
      <c r="R59" s="14">
        <f>IF(R$8=1,OBS!R54,Q63)</f>
        <v>300000</v>
      </c>
      <c r="S59" s="14">
        <f>IF(S$8=1,OBS!S54,R63)</f>
        <v>300000</v>
      </c>
      <c r="T59" s="14">
        <f>IF(T$8=1,OBS!T54,S63)</f>
        <v>300000</v>
      </c>
      <c r="U59" s="14">
        <f>IF(U$8=1,OBS!U54,T63)</f>
        <v>300000</v>
      </c>
      <c r="V59" s="14">
        <f>IF(V$8=1,OBS!V54,U63)</f>
        <v>300000</v>
      </c>
      <c r="W59" s="14">
        <f>IF(W$8=1,OBS!W54,V63)</f>
        <v>300000</v>
      </c>
      <c r="X59" s="14">
        <f>IF(X$8=1,OBS!X54,W63)</f>
        <v>300000</v>
      </c>
      <c r="Y59" s="14">
        <f>IF(Y$8=1,OBS!Y54,X63)</f>
        <v>300000</v>
      </c>
      <c r="Z59" s="14">
        <f>IF(Z$8=1,OBS!Z54,Y63)</f>
        <v>300000</v>
      </c>
      <c r="AA59" s="14">
        <f>IF(AA$8=1,OBS!AA54,Z63)</f>
        <v>300000</v>
      </c>
      <c r="AB59" s="14">
        <f>IF(AB$8=1,OBS!AB54,AA63)</f>
        <v>300000</v>
      </c>
      <c r="AC59" s="14">
        <f>IF(AC$8=1,OBS!AC54,AB63)</f>
        <v>300000</v>
      </c>
      <c r="AD59" s="14">
        <f>IF(AD$8=1,OBS!AD54,AC63)</f>
        <v>300000</v>
      </c>
      <c r="AE59" s="14">
        <f>IF(AE$8=1,OBS!AE54,AD63)</f>
        <v>300000</v>
      </c>
      <c r="AF59" s="14">
        <f>IF(AF$8=1,OBS!AF54,AE63)</f>
        <v>300000</v>
      </c>
      <c r="AG59" s="14">
        <f>IF(AG$8=1,OBS!AG54,AF63)</f>
        <v>300000</v>
      </c>
      <c r="AH59" s="14">
        <f>IF(AH$8=1,OBS!AH54,AG63)</f>
        <v>300000</v>
      </c>
      <c r="AI59" s="14">
        <f>IF(AI$8=1,OBS!AI54,AH63)</f>
        <v>300000</v>
      </c>
      <c r="AJ59" s="14">
        <f>IF(AJ$8=1,OBS!AJ54,AI63)</f>
        <v>300000</v>
      </c>
      <c r="AK59" s="14">
        <f>IF(AK$8=1,OBS!AK54,AJ63)</f>
        <v>300000</v>
      </c>
      <c r="AL59" s="14">
        <f>IF(AL$8=1,OBS!AL54,AK63)</f>
        <v>300000</v>
      </c>
      <c r="AM59" s="14">
        <f>IF(AM$8=1,OBS!AM54,AL63)</f>
        <v>300000</v>
      </c>
      <c r="AN59" s="14">
        <f>IF(AN$8=1,OBS!AN54,AM63)</f>
        <v>300000</v>
      </c>
      <c r="AO59" s="14">
        <f>IF(AO$8=1,OBS!AO54,AN63)</f>
        <v>300000</v>
      </c>
      <c r="AP59" s="14">
        <f>IF(AP$8=1,OBS!AP54,AO63)</f>
        <v>300000</v>
      </c>
      <c r="AQ59" s="14">
        <f>IF(AQ$8=1,OBS!AQ54,AP63)</f>
        <v>300000</v>
      </c>
      <c r="AR59" s="14">
        <f>IF(AR$8=1,OBS!AR54,AQ63)</f>
        <v>300000</v>
      </c>
      <c r="AS59" s="14">
        <f>IF(AS$8=1,OBS!AS54,AR63)</f>
        <v>300000</v>
      </c>
    </row>
    <row r="60" spans="2:45" outlineLevel="1" x14ac:dyDescent="0.15">
      <c r="B60" s="107" t="s">
        <v>446</v>
      </c>
      <c r="I60" s="78" t="str">
        <f>Debt_2_Name</f>
        <v>CAPEX Grant</v>
      </c>
      <c r="J60" s="166">
        <f>KPIs!U7*1000</f>
        <v>300000</v>
      </c>
      <c r="K60" s="166">
        <v>0</v>
      </c>
      <c r="L60" s="166">
        <v>0</v>
      </c>
      <c r="M60" s="166">
        <v>0</v>
      </c>
      <c r="N60" s="166">
        <v>0</v>
      </c>
      <c r="O60" s="166">
        <v>0</v>
      </c>
      <c r="P60" s="166">
        <v>0</v>
      </c>
      <c r="Q60" s="166">
        <v>0</v>
      </c>
      <c r="R60" s="166">
        <v>0</v>
      </c>
      <c r="S60" s="166">
        <v>0</v>
      </c>
      <c r="T60" s="166">
        <v>0</v>
      </c>
      <c r="U60" s="166">
        <v>0</v>
      </c>
      <c r="V60" s="166">
        <v>0</v>
      </c>
      <c r="W60" s="166">
        <v>0</v>
      </c>
      <c r="X60" s="166">
        <v>0</v>
      </c>
      <c r="Y60" s="166">
        <v>0</v>
      </c>
      <c r="Z60" s="166">
        <v>0</v>
      </c>
      <c r="AA60" s="166">
        <v>0</v>
      </c>
      <c r="AB60" s="166">
        <v>0</v>
      </c>
      <c r="AC60" s="166">
        <v>0</v>
      </c>
      <c r="AD60" s="166">
        <v>0</v>
      </c>
      <c r="AE60" s="166">
        <v>0</v>
      </c>
      <c r="AF60" s="166">
        <v>0</v>
      </c>
      <c r="AG60" s="166">
        <v>0</v>
      </c>
      <c r="AH60" s="166">
        <v>0</v>
      </c>
      <c r="AI60" s="166">
        <v>0</v>
      </c>
      <c r="AJ60" s="166">
        <v>0</v>
      </c>
      <c r="AK60" s="166">
        <v>0</v>
      </c>
      <c r="AL60" s="166">
        <v>0</v>
      </c>
      <c r="AM60" s="166">
        <v>0</v>
      </c>
      <c r="AN60" s="166">
        <v>0</v>
      </c>
      <c r="AO60" s="166">
        <v>0</v>
      </c>
      <c r="AP60" s="166">
        <v>0</v>
      </c>
      <c r="AQ60" s="166">
        <v>0</v>
      </c>
      <c r="AR60" s="166">
        <v>0</v>
      </c>
      <c r="AS60" s="166">
        <v>0</v>
      </c>
    </row>
    <row r="61" spans="2:45" outlineLevel="1" x14ac:dyDescent="0.15">
      <c r="B61" s="107" t="s">
        <v>447</v>
      </c>
      <c r="J61" s="165">
        <v>0</v>
      </c>
      <c r="K61" s="165">
        <v>0</v>
      </c>
      <c r="L61" s="165">
        <v>0</v>
      </c>
      <c r="M61" s="165">
        <v>0</v>
      </c>
      <c r="N61" s="165">
        <v>0</v>
      </c>
      <c r="O61" s="165">
        <v>0</v>
      </c>
      <c r="P61" s="165">
        <v>0</v>
      </c>
      <c r="Q61" s="165">
        <v>0</v>
      </c>
      <c r="R61" s="165">
        <v>0</v>
      </c>
      <c r="S61" s="165">
        <v>0</v>
      </c>
      <c r="T61" s="165">
        <v>0</v>
      </c>
      <c r="U61" s="165">
        <v>0</v>
      </c>
      <c r="V61" s="165">
        <v>0</v>
      </c>
      <c r="W61" s="165">
        <v>0</v>
      </c>
      <c r="X61" s="165">
        <v>0</v>
      </c>
      <c r="Y61" s="165">
        <v>0</v>
      </c>
      <c r="Z61" s="165">
        <v>0</v>
      </c>
      <c r="AA61" s="165">
        <v>0</v>
      </c>
      <c r="AB61" s="165">
        <v>0</v>
      </c>
      <c r="AC61" s="165">
        <v>0</v>
      </c>
      <c r="AD61" s="165">
        <v>0</v>
      </c>
      <c r="AE61" s="165">
        <v>0</v>
      </c>
      <c r="AF61" s="165">
        <v>0</v>
      </c>
      <c r="AG61" s="165">
        <v>0</v>
      </c>
      <c r="AH61" s="165">
        <v>0</v>
      </c>
      <c r="AI61" s="165">
        <v>0</v>
      </c>
      <c r="AJ61" s="165">
        <v>0</v>
      </c>
      <c r="AK61" s="165">
        <v>0</v>
      </c>
      <c r="AL61" s="165">
        <v>0</v>
      </c>
      <c r="AM61" s="165">
        <v>0</v>
      </c>
      <c r="AN61" s="165">
        <v>0</v>
      </c>
      <c r="AO61" s="165">
        <v>0</v>
      </c>
      <c r="AP61" s="165">
        <v>0</v>
      </c>
      <c r="AQ61" s="165">
        <v>0</v>
      </c>
      <c r="AR61" s="165">
        <v>0</v>
      </c>
      <c r="AS61" s="165">
        <v>0</v>
      </c>
    </row>
    <row r="62" spans="2:45" hidden="1" outlineLevel="2" x14ac:dyDescent="0.15">
      <c r="B62" s="107" t="s">
        <v>448</v>
      </c>
      <c r="I62" s="78" t="str">
        <f>Debt_2_Name</f>
        <v>CAPEX Grant</v>
      </c>
      <c r="J62" s="14">
        <f t="shared" ref="J62:AS62" si="29">-J61</f>
        <v>0</v>
      </c>
      <c r="K62" s="14">
        <f t="shared" si="29"/>
        <v>0</v>
      </c>
      <c r="L62" s="14">
        <f t="shared" si="29"/>
        <v>0</v>
      </c>
      <c r="M62" s="14">
        <f t="shared" si="29"/>
        <v>0</v>
      </c>
      <c r="N62" s="14">
        <f t="shared" si="29"/>
        <v>0</v>
      </c>
      <c r="O62" s="14">
        <f t="shared" si="29"/>
        <v>0</v>
      </c>
      <c r="P62" s="14">
        <f t="shared" si="29"/>
        <v>0</v>
      </c>
      <c r="Q62" s="14">
        <f t="shared" si="29"/>
        <v>0</v>
      </c>
      <c r="R62" s="14">
        <f t="shared" si="29"/>
        <v>0</v>
      </c>
      <c r="S62" s="14">
        <f t="shared" si="29"/>
        <v>0</v>
      </c>
      <c r="T62" s="14">
        <f t="shared" si="29"/>
        <v>0</v>
      </c>
      <c r="U62" s="14">
        <f t="shared" si="29"/>
        <v>0</v>
      </c>
      <c r="V62" s="14">
        <f t="shared" si="29"/>
        <v>0</v>
      </c>
      <c r="W62" s="14">
        <f t="shared" si="29"/>
        <v>0</v>
      </c>
      <c r="X62" s="14">
        <f t="shared" si="29"/>
        <v>0</v>
      </c>
      <c r="Y62" s="14">
        <f t="shared" si="29"/>
        <v>0</v>
      </c>
      <c r="Z62" s="14">
        <f t="shared" si="29"/>
        <v>0</v>
      </c>
      <c r="AA62" s="14">
        <f t="shared" si="29"/>
        <v>0</v>
      </c>
      <c r="AB62" s="14">
        <f t="shared" si="29"/>
        <v>0</v>
      </c>
      <c r="AC62" s="14">
        <f t="shared" si="29"/>
        <v>0</v>
      </c>
      <c r="AD62" s="14">
        <f t="shared" si="29"/>
        <v>0</v>
      </c>
      <c r="AE62" s="14">
        <f t="shared" si="29"/>
        <v>0</v>
      </c>
      <c r="AF62" s="14">
        <f t="shared" si="29"/>
        <v>0</v>
      </c>
      <c r="AG62" s="14">
        <f t="shared" si="29"/>
        <v>0</v>
      </c>
      <c r="AH62" s="14">
        <f t="shared" si="29"/>
        <v>0</v>
      </c>
      <c r="AI62" s="14">
        <f t="shared" si="29"/>
        <v>0</v>
      </c>
      <c r="AJ62" s="14">
        <f t="shared" si="29"/>
        <v>0</v>
      </c>
      <c r="AK62" s="14">
        <f t="shared" si="29"/>
        <v>0</v>
      </c>
      <c r="AL62" s="14">
        <f t="shared" si="29"/>
        <v>0</v>
      </c>
      <c r="AM62" s="14">
        <f t="shared" si="29"/>
        <v>0</v>
      </c>
      <c r="AN62" s="14">
        <f t="shared" si="29"/>
        <v>0</v>
      </c>
      <c r="AO62" s="14">
        <f t="shared" si="29"/>
        <v>0</v>
      </c>
      <c r="AP62" s="14">
        <f t="shared" si="29"/>
        <v>0</v>
      </c>
      <c r="AQ62" s="14">
        <f t="shared" si="29"/>
        <v>0</v>
      </c>
      <c r="AR62" s="14">
        <f t="shared" si="29"/>
        <v>0</v>
      </c>
      <c r="AS62" s="14">
        <f t="shared" si="29"/>
        <v>0</v>
      </c>
    </row>
    <row r="63" spans="2:45" outlineLevel="1" collapsed="1" x14ac:dyDescent="0.15">
      <c r="B63" s="16" t="s">
        <v>388</v>
      </c>
      <c r="I63" s="78" t="str">
        <f>Debt_2_Name</f>
        <v>CAPEX Grant</v>
      </c>
      <c r="J63" s="18">
        <f t="shared" ref="J63:AS63" si="30">J59+J60+J62</f>
        <v>300000</v>
      </c>
      <c r="K63" s="18">
        <f t="shared" si="30"/>
        <v>300000</v>
      </c>
      <c r="L63" s="18">
        <f t="shared" si="30"/>
        <v>300000</v>
      </c>
      <c r="M63" s="18">
        <f t="shared" si="30"/>
        <v>300000</v>
      </c>
      <c r="N63" s="18">
        <f t="shared" si="30"/>
        <v>300000</v>
      </c>
      <c r="O63" s="18">
        <f t="shared" si="30"/>
        <v>300000</v>
      </c>
      <c r="P63" s="18">
        <f t="shared" si="30"/>
        <v>300000</v>
      </c>
      <c r="Q63" s="18">
        <f t="shared" si="30"/>
        <v>300000</v>
      </c>
      <c r="R63" s="18">
        <f t="shared" si="30"/>
        <v>300000</v>
      </c>
      <c r="S63" s="18">
        <f t="shared" si="30"/>
        <v>300000</v>
      </c>
      <c r="T63" s="18">
        <f t="shared" si="30"/>
        <v>300000</v>
      </c>
      <c r="U63" s="18">
        <f t="shared" si="30"/>
        <v>300000</v>
      </c>
      <c r="V63" s="18">
        <f t="shared" si="30"/>
        <v>300000</v>
      </c>
      <c r="W63" s="18">
        <f t="shared" si="30"/>
        <v>300000</v>
      </c>
      <c r="X63" s="18">
        <f t="shared" si="30"/>
        <v>300000</v>
      </c>
      <c r="Y63" s="18">
        <f t="shared" si="30"/>
        <v>300000</v>
      </c>
      <c r="Z63" s="18">
        <f t="shared" si="30"/>
        <v>300000</v>
      </c>
      <c r="AA63" s="18">
        <f t="shared" si="30"/>
        <v>300000</v>
      </c>
      <c r="AB63" s="18">
        <f t="shared" si="30"/>
        <v>300000</v>
      </c>
      <c r="AC63" s="18">
        <f t="shared" si="30"/>
        <v>300000</v>
      </c>
      <c r="AD63" s="18">
        <f t="shared" si="30"/>
        <v>300000</v>
      </c>
      <c r="AE63" s="18">
        <f t="shared" si="30"/>
        <v>300000</v>
      </c>
      <c r="AF63" s="18">
        <f t="shared" si="30"/>
        <v>300000</v>
      </c>
      <c r="AG63" s="18">
        <f t="shared" si="30"/>
        <v>300000</v>
      </c>
      <c r="AH63" s="18">
        <f t="shared" si="30"/>
        <v>300000</v>
      </c>
      <c r="AI63" s="18">
        <f t="shared" si="30"/>
        <v>300000</v>
      </c>
      <c r="AJ63" s="18">
        <f t="shared" si="30"/>
        <v>300000</v>
      </c>
      <c r="AK63" s="18">
        <f t="shared" si="30"/>
        <v>300000</v>
      </c>
      <c r="AL63" s="18">
        <f t="shared" si="30"/>
        <v>300000</v>
      </c>
      <c r="AM63" s="18">
        <f t="shared" si="30"/>
        <v>300000</v>
      </c>
      <c r="AN63" s="18">
        <f t="shared" si="30"/>
        <v>300000</v>
      </c>
      <c r="AO63" s="18">
        <f t="shared" si="30"/>
        <v>300000</v>
      </c>
      <c r="AP63" s="18">
        <f t="shared" si="30"/>
        <v>300000</v>
      </c>
      <c r="AQ63" s="18">
        <f t="shared" si="30"/>
        <v>300000</v>
      </c>
      <c r="AR63" s="18">
        <f t="shared" si="30"/>
        <v>300000</v>
      </c>
      <c r="AS63" s="18">
        <f t="shared" si="30"/>
        <v>300000</v>
      </c>
    </row>
    <row r="64" spans="2:45" outlineLevel="1" x14ac:dyDescent="0.15"/>
    <row r="65" spans="2:45" outlineLevel="1" x14ac:dyDescent="0.15">
      <c r="B65" s="16" t="s">
        <v>101</v>
      </c>
    </row>
    <row r="66" spans="2:45" outlineLevel="1" x14ac:dyDescent="0.15">
      <c r="B66" s="107" t="s">
        <v>449</v>
      </c>
      <c r="J66" s="170">
        <v>0</v>
      </c>
      <c r="K66" s="170">
        <v>0</v>
      </c>
      <c r="L66" s="170">
        <v>0</v>
      </c>
      <c r="M66" s="170">
        <v>0</v>
      </c>
      <c r="N66" s="170">
        <v>0</v>
      </c>
      <c r="O66" s="170">
        <v>0</v>
      </c>
      <c r="P66" s="170">
        <v>0</v>
      </c>
      <c r="Q66" s="170">
        <v>0</v>
      </c>
      <c r="R66" s="170">
        <v>0</v>
      </c>
      <c r="S66" s="170">
        <v>0</v>
      </c>
      <c r="T66" s="170">
        <v>0</v>
      </c>
      <c r="U66" s="170">
        <v>0</v>
      </c>
      <c r="V66" s="170">
        <v>0</v>
      </c>
      <c r="W66" s="170">
        <v>0</v>
      </c>
      <c r="X66" s="170">
        <v>0</v>
      </c>
      <c r="Y66" s="170">
        <v>0</v>
      </c>
      <c r="Z66" s="170">
        <v>0</v>
      </c>
      <c r="AA66" s="170">
        <v>0</v>
      </c>
      <c r="AB66" s="170">
        <v>0</v>
      </c>
      <c r="AC66" s="170">
        <v>0</v>
      </c>
      <c r="AD66" s="170">
        <v>0</v>
      </c>
      <c r="AE66" s="170">
        <v>0</v>
      </c>
      <c r="AF66" s="170">
        <v>0</v>
      </c>
      <c r="AG66" s="170">
        <v>0</v>
      </c>
      <c r="AH66" s="170">
        <v>0</v>
      </c>
      <c r="AI66" s="170">
        <v>0</v>
      </c>
      <c r="AJ66" s="170">
        <v>0</v>
      </c>
      <c r="AK66" s="170">
        <v>0</v>
      </c>
      <c r="AL66" s="170">
        <v>0</v>
      </c>
      <c r="AM66" s="170">
        <v>0</v>
      </c>
      <c r="AN66" s="170">
        <v>0</v>
      </c>
      <c r="AO66" s="170">
        <v>0</v>
      </c>
      <c r="AP66" s="170">
        <v>0</v>
      </c>
      <c r="AQ66" s="170">
        <v>0</v>
      </c>
      <c r="AR66" s="170">
        <v>0</v>
      </c>
      <c r="AS66" s="170">
        <v>0</v>
      </c>
    </row>
    <row r="67" spans="2:45" outlineLevel="1" x14ac:dyDescent="0.15">
      <c r="B67" s="107" t="s">
        <v>450</v>
      </c>
      <c r="J67" s="26">
        <f t="shared" ref="J67:AS67" si="31">J66/Ts_Mths_In_Yr</f>
        <v>0</v>
      </c>
      <c r="K67" s="26">
        <f t="shared" si="31"/>
        <v>0</v>
      </c>
      <c r="L67" s="26">
        <f t="shared" si="31"/>
        <v>0</v>
      </c>
      <c r="M67" s="26">
        <f t="shared" si="31"/>
        <v>0</v>
      </c>
      <c r="N67" s="26">
        <f t="shared" si="31"/>
        <v>0</v>
      </c>
      <c r="O67" s="26">
        <f t="shared" si="31"/>
        <v>0</v>
      </c>
      <c r="P67" s="26">
        <f t="shared" si="31"/>
        <v>0</v>
      </c>
      <c r="Q67" s="26">
        <f t="shared" si="31"/>
        <v>0</v>
      </c>
      <c r="R67" s="26">
        <f t="shared" si="31"/>
        <v>0</v>
      </c>
      <c r="S67" s="26">
        <f t="shared" si="31"/>
        <v>0</v>
      </c>
      <c r="T67" s="26">
        <f t="shared" si="31"/>
        <v>0</v>
      </c>
      <c r="U67" s="26">
        <f t="shared" si="31"/>
        <v>0</v>
      </c>
      <c r="V67" s="26">
        <f t="shared" si="31"/>
        <v>0</v>
      </c>
      <c r="W67" s="26">
        <f t="shared" si="31"/>
        <v>0</v>
      </c>
      <c r="X67" s="26">
        <f t="shared" si="31"/>
        <v>0</v>
      </c>
      <c r="Y67" s="26">
        <f t="shared" si="31"/>
        <v>0</v>
      </c>
      <c r="Z67" s="26">
        <f t="shared" si="31"/>
        <v>0</v>
      </c>
      <c r="AA67" s="26">
        <f t="shared" si="31"/>
        <v>0</v>
      </c>
      <c r="AB67" s="26">
        <f t="shared" si="31"/>
        <v>0</v>
      </c>
      <c r="AC67" s="26">
        <f t="shared" si="31"/>
        <v>0</v>
      </c>
      <c r="AD67" s="26">
        <f t="shared" si="31"/>
        <v>0</v>
      </c>
      <c r="AE67" s="26">
        <f t="shared" si="31"/>
        <v>0</v>
      </c>
      <c r="AF67" s="26">
        <f t="shared" si="31"/>
        <v>0</v>
      </c>
      <c r="AG67" s="26">
        <f t="shared" si="31"/>
        <v>0</v>
      </c>
      <c r="AH67" s="26">
        <f t="shared" si="31"/>
        <v>0</v>
      </c>
      <c r="AI67" s="26">
        <f t="shared" si="31"/>
        <v>0</v>
      </c>
      <c r="AJ67" s="26">
        <f t="shared" si="31"/>
        <v>0</v>
      </c>
      <c r="AK67" s="26">
        <f t="shared" si="31"/>
        <v>0</v>
      </c>
      <c r="AL67" s="26">
        <f t="shared" si="31"/>
        <v>0</v>
      </c>
      <c r="AM67" s="26">
        <f t="shared" si="31"/>
        <v>0</v>
      </c>
      <c r="AN67" s="26">
        <f t="shared" si="31"/>
        <v>0</v>
      </c>
      <c r="AO67" s="26">
        <f t="shared" si="31"/>
        <v>0</v>
      </c>
      <c r="AP67" s="26">
        <f t="shared" si="31"/>
        <v>0</v>
      </c>
      <c r="AQ67" s="26">
        <f t="shared" si="31"/>
        <v>0</v>
      </c>
      <c r="AR67" s="26">
        <f t="shared" si="31"/>
        <v>0</v>
      </c>
      <c r="AS67" s="26">
        <f t="shared" si="31"/>
        <v>0</v>
      </c>
    </row>
    <row r="68" spans="2:45" ht="5.75" customHeight="1" outlineLevel="1" x14ac:dyDescent="0.15"/>
    <row r="69" spans="2:45" outlineLevel="1" x14ac:dyDescent="0.15">
      <c r="B69" s="107" t="s">
        <v>375</v>
      </c>
      <c r="I69" s="78" t="str">
        <f>Debt_2_Name</f>
        <v>CAPEX Grant</v>
      </c>
      <c r="J69" s="14">
        <f t="shared" ref="J69:AS69" si="32">IF(J$8=1,0,I72)</f>
        <v>0</v>
      </c>
      <c r="K69" s="14">
        <f t="shared" si="32"/>
        <v>0</v>
      </c>
      <c r="L69" s="14">
        <f t="shared" si="32"/>
        <v>0</v>
      </c>
      <c r="M69" s="14">
        <f t="shared" si="32"/>
        <v>0</v>
      </c>
      <c r="N69" s="14">
        <f t="shared" si="32"/>
        <v>0</v>
      </c>
      <c r="O69" s="14">
        <f t="shared" si="32"/>
        <v>0</v>
      </c>
      <c r="P69" s="14">
        <f t="shared" si="32"/>
        <v>0</v>
      </c>
      <c r="Q69" s="14">
        <f t="shared" si="32"/>
        <v>0</v>
      </c>
      <c r="R69" s="14">
        <f t="shared" si="32"/>
        <v>0</v>
      </c>
      <c r="S69" s="14">
        <f t="shared" si="32"/>
        <v>0</v>
      </c>
      <c r="T69" s="14">
        <f t="shared" si="32"/>
        <v>0</v>
      </c>
      <c r="U69" s="14">
        <f t="shared" si="32"/>
        <v>0</v>
      </c>
      <c r="V69" s="14">
        <f t="shared" si="32"/>
        <v>0</v>
      </c>
      <c r="W69" s="14">
        <f t="shared" si="32"/>
        <v>0</v>
      </c>
      <c r="X69" s="14">
        <f t="shared" si="32"/>
        <v>0</v>
      </c>
      <c r="Y69" s="14">
        <f t="shared" si="32"/>
        <v>0</v>
      </c>
      <c r="Z69" s="14">
        <f t="shared" si="32"/>
        <v>0</v>
      </c>
      <c r="AA69" s="14">
        <f t="shared" si="32"/>
        <v>0</v>
      </c>
      <c r="AB69" s="14">
        <f t="shared" si="32"/>
        <v>0</v>
      </c>
      <c r="AC69" s="14">
        <f t="shared" si="32"/>
        <v>0</v>
      </c>
      <c r="AD69" s="14">
        <f t="shared" si="32"/>
        <v>0</v>
      </c>
      <c r="AE69" s="14">
        <f t="shared" si="32"/>
        <v>0</v>
      </c>
      <c r="AF69" s="14">
        <f t="shared" si="32"/>
        <v>0</v>
      </c>
      <c r="AG69" s="14">
        <f t="shared" si="32"/>
        <v>0</v>
      </c>
      <c r="AH69" s="14">
        <f t="shared" si="32"/>
        <v>0</v>
      </c>
      <c r="AI69" s="14">
        <f t="shared" si="32"/>
        <v>0</v>
      </c>
      <c r="AJ69" s="14">
        <f t="shared" si="32"/>
        <v>0</v>
      </c>
      <c r="AK69" s="14">
        <f t="shared" si="32"/>
        <v>0</v>
      </c>
      <c r="AL69" s="14">
        <f t="shared" si="32"/>
        <v>0</v>
      </c>
      <c r="AM69" s="14">
        <f t="shared" si="32"/>
        <v>0</v>
      </c>
      <c r="AN69" s="14">
        <f t="shared" si="32"/>
        <v>0</v>
      </c>
      <c r="AO69" s="14">
        <f t="shared" si="32"/>
        <v>0</v>
      </c>
      <c r="AP69" s="14">
        <f t="shared" si="32"/>
        <v>0</v>
      </c>
      <c r="AQ69" s="14">
        <f t="shared" si="32"/>
        <v>0</v>
      </c>
      <c r="AR69" s="14">
        <f t="shared" si="32"/>
        <v>0</v>
      </c>
      <c r="AS69" s="14">
        <f t="shared" si="32"/>
        <v>0</v>
      </c>
    </row>
    <row r="70" spans="2:45" outlineLevel="1" x14ac:dyDescent="0.15">
      <c r="B70" s="107" t="s">
        <v>451</v>
      </c>
      <c r="I70" s="78" t="str">
        <f>Debt_2_Name</f>
        <v>CAPEX Grant</v>
      </c>
      <c r="J70" s="14">
        <f t="shared" ref="J70:AS70" si="33">J59*J67</f>
        <v>0</v>
      </c>
      <c r="K70" s="14">
        <f t="shared" si="33"/>
        <v>0</v>
      </c>
      <c r="L70" s="14">
        <f t="shared" si="33"/>
        <v>0</v>
      </c>
      <c r="M70" s="14">
        <f t="shared" si="33"/>
        <v>0</v>
      </c>
      <c r="N70" s="14">
        <f t="shared" si="33"/>
        <v>0</v>
      </c>
      <c r="O70" s="14">
        <f t="shared" si="33"/>
        <v>0</v>
      </c>
      <c r="P70" s="14">
        <f t="shared" si="33"/>
        <v>0</v>
      </c>
      <c r="Q70" s="14">
        <f t="shared" si="33"/>
        <v>0</v>
      </c>
      <c r="R70" s="14">
        <f t="shared" si="33"/>
        <v>0</v>
      </c>
      <c r="S70" s="14">
        <f t="shared" si="33"/>
        <v>0</v>
      </c>
      <c r="T70" s="14">
        <f t="shared" si="33"/>
        <v>0</v>
      </c>
      <c r="U70" s="14">
        <f t="shared" si="33"/>
        <v>0</v>
      </c>
      <c r="V70" s="14">
        <f t="shared" si="33"/>
        <v>0</v>
      </c>
      <c r="W70" s="14">
        <f t="shared" si="33"/>
        <v>0</v>
      </c>
      <c r="X70" s="14">
        <f t="shared" si="33"/>
        <v>0</v>
      </c>
      <c r="Y70" s="14">
        <f t="shared" si="33"/>
        <v>0</v>
      </c>
      <c r="Z70" s="14">
        <f t="shared" si="33"/>
        <v>0</v>
      </c>
      <c r="AA70" s="14">
        <f t="shared" si="33"/>
        <v>0</v>
      </c>
      <c r="AB70" s="14">
        <f t="shared" si="33"/>
        <v>0</v>
      </c>
      <c r="AC70" s="14">
        <f t="shared" si="33"/>
        <v>0</v>
      </c>
      <c r="AD70" s="14">
        <f t="shared" si="33"/>
        <v>0</v>
      </c>
      <c r="AE70" s="14">
        <f t="shared" si="33"/>
        <v>0</v>
      </c>
      <c r="AF70" s="14">
        <f t="shared" si="33"/>
        <v>0</v>
      </c>
      <c r="AG70" s="14">
        <f t="shared" si="33"/>
        <v>0</v>
      </c>
      <c r="AH70" s="14">
        <f t="shared" si="33"/>
        <v>0</v>
      </c>
      <c r="AI70" s="14">
        <f t="shared" si="33"/>
        <v>0</v>
      </c>
      <c r="AJ70" s="14">
        <f t="shared" si="33"/>
        <v>0</v>
      </c>
      <c r="AK70" s="14">
        <f t="shared" si="33"/>
        <v>0</v>
      </c>
      <c r="AL70" s="14">
        <f t="shared" si="33"/>
        <v>0</v>
      </c>
      <c r="AM70" s="14">
        <f t="shared" si="33"/>
        <v>0</v>
      </c>
      <c r="AN70" s="14">
        <f t="shared" si="33"/>
        <v>0</v>
      </c>
      <c r="AO70" s="14">
        <f t="shared" si="33"/>
        <v>0</v>
      </c>
      <c r="AP70" s="14">
        <f t="shared" si="33"/>
        <v>0</v>
      </c>
      <c r="AQ70" s="14">
        <f t="shared" si="33"/>
        <v>0</v>
      </c>
      <c r="AR70" s="14">
        <f t="shared" si="33"/>
        <v>0</v>
      </c>
      <c r="AS70" s="14">
        <f t="shared" si="33"/>
        <v>0</v>
      </c>
    </row>
    <row r="71" spans="2:45" outlineLevel="1" x14ac:dyDescent="0.15">
      <c r="B71" s="107" t="s">
        <v>129</v>
      </c>
      <c r="I71" s="78" t="str">
        <f>Debt_2_Name</f>
        <v>CAPEX Grant</v>
      </c>
      <c r="J71" s="14">
        <f t="shared" ref="J71:AS71" si="34">-J70</f>
        <v>0</v>
      </c>
      <c r="K71" s="14">
        <f t="shared" si="34"/>
        <v>0</v>
      </c>
      <c r="L71" s="14">
        <f t="shared" si="34"/>
        <v>0</v>
      </c>
      <c r="M71" s="14">
        <f t="shared" si="34"/>
        <v>0</v>
      </c>
      <c r="N71" s="14">
        <f t="shared" si="34"/>
        <v>0</v>
      </c>
      <c r="O71" s="14">
        <f t="shared" si="34"/>
        <v>0</v>
      </c>
      <c r="P71" s="14">
        <f t="shared" si="34"/>
        <v>0</v>
      </c>
      <c r="Q71" s="14">
        <f t="shared" si="34"/>
        <v>0</v>
      </c>
      <c r="R71" s="14">
        <f t="shared" si="34"/>
        <v>0</v>
      </c>
      <c r="S71" s="14">
        <f t="shared" si="34"/>
        <v>0</v>
      </c>
      <c r="T71" s="14">
        <f t="shared" si="34"/>
        <v>0</v>
      </c>
      <c r="U71" s="14">
        <f t="shared" si="34"/>
        <v>0</v>
      </c>
      <c r="V71" s="14">
        <f t="shared" si="34"/>
        <v>0</v>
      </c>
      <c r="W71" s="14">
        <f t="shared" si="34"/>
        <v>0</v>
      </c>
      <c r="X71" s="14">
        <f t="shared" si="34"/>
        <v>0</v>
      </c>
      <c r="Y71" s="14">
        <f t="shared" si="34"/>
        <v>0</v>
      </c>
      <c r="Z71" s="14">
        <f t="shared" si="34"/>
        <v>0</v>
      </c>
      <c r="AA71" s="14">
        <f t="shared" si="34"/>
        <v>0</v>
      </c>
      <c r="AB71" s="14">
        <f t="shared" si="34"/>
        <v>0</v>
      </c>
      <c r="AC71" s="14">
        <f t="shared" si="34"/>
        <v>0</v>
      </c>
      <c r="AD71" s="14">
        <f t="shared" si="34"/>
        <v>0</v>
      </c>
      <c r="AE71" s="14">
        <f t="shared" si="34"/>
        <v>0</v>
      </c>
      <c r="AF71" s="14">
        <f t="shared" si="34"/>
        <v>0</v>
      </c>
      <c r="AG71" s="14">
        <f t="shared" si="34"/>
        <v>0</v>
      </c>
      <c r="AH71" s="14">
        <f t="shared" si="34"/>
        <v>0</v>
      </c>
      <c r="AI71" s="14">
        <f t="shared" si="34"/>
        <v>0</v>
      </c>
      <c r="AJ71" s="14">
        <f t="shared" si="34"/>
        <v>0</v>
      </c>
      <c r="AK71" s="14">
        <f t="shared" si="34"/>
        <v>0</v>
      </c>
      <c r="AL71" s="14">
        <f t="shared" si="34"/>
        <v>0</v>
      </c>
      <c r="AM71" s="14">
        <f t="shared" si="34"/>
        <v>0</v>
      </c>
      <c r="AN71" s="14">
        <f t="shared" si="34"/>
        <v>0</v>
      </c>
      <c r="AO71" s="14">
        <f t="shared" si="34"/>
        <v>0</v>
      </c>
      <c r="AP71" s="14">
        <f t="shared" si="34"/>
        <v>0</v>
      </c>
      <c r="AQ71" s="14">
        <f t="shared" si="34"/>
        <v>0</v>
      </c>
      <c r="AR71" s="14">
        <f t="shared" si="34"/>
        <v>0</v>
      </c>
      <c r="AS71" s="14">
        <f t="shared" si="34"/>
        <v>0</v>
      </c>
    </row>
    <row r="72" spans="2:45" outlineLevel="1" x14ac:dyDescent="0.15">
      <c r="B72" s="16" t="s">
        <v>388</v>
      </c>
      <c r="I72" s="78" t="str">
        <f>Debt_2_Name</f>
        <v>CAPEX Grant</v>
      </c>
      <c r="J72" s="18">
        <f t="shared" ref="J72:AS72" si="35">SUM(J69:J71)</f>
        <v>0</v>
      </c>
      <c r="K72" s="18">
        <f t="shared" si="35"/>
        <v>0</v>
      </c>
      <c r="L72" s="18">
        <f t="shared" si="35"/>
        <v>0</v>
      </c>
      <c r="M72" s="18">
        <f t="shared" si="35"/>
        <v>0</v>
      </c>
      <c r="N72" s="18">
        <f t="shared" si="35"/>
        <v>0</v>
      </c>
      <c r="O72" s="18">
        <f t="shared" si="35"/>
        <v>0</v>
      </c>
      <c r="P72" s="18">
        <f t="shared" si="35"/>
        <v>0</v>
      </c>
      <c r="Q72" s="18">
        <f t="shared" si="35"/>
        <v>0</v>
      </c>
      <c r="R72" s="18">
        <f t="shared" si="35"/>
        <v>0</v>
      </c>
      <c r="S72" s="18">
        <f t="shared" si="35"/>
        <v>0</v>
      </c>
      <c r="T72" s="18">
        <f t="shared" si="35"/>
        <v>0</v>
      </c>
      <c r="U72" s="18">
        <f t="shared" si="35"/>
        <v>0</v>
      </c>
      <c r="V72" s="18">
        <f t="shared" si="35"/>
        <v>0</v>
      </c>
      <c r="W72" s="18">
        <f t="shared" si="35"/>
        <v>0</v>
      </c>
      <c r="X72" s="18">
        <f t="shared" si="35"/>
        <v>0</v>
      </c>
      <c r="Y72" s="18">
        <f t="shared" si="35"/>
        <v>0</v>
      </c>
      <c r="Z72" s="18">
        <f t="shared" si="35"/>
        <v>0</v>
      </c>
      <c r="AA72" s="18">
        <f t="shared" si="35"/>
        <v>0</v>
      </c>
      <c r="AB72" s="18">
        <f t="shared" si="35"/>
        <v>0</v>
      </c>
      <c r="AC72" s="18">
        <f t="shared" si="35"/>
        <v>0</v>
      </c>
      <c r="AD72" s="18">
        <f t="shared" si="35"/>
        <v>0</v>
      </c>
      <c r="AE72" s="18">
        <f t="shared" si="35"/>
        <v>0</v>
      </c>
      <c r="AF72" s="18">
        <f t="shared" si="35"/>
        <v>0</v>
      </c>
      <c r="AG72" s="18">
        <f t="shared" si="35"/>
        <v>0</v>
      </c>
      <c r="AH72" s="18">
        <f t="shared" si="35"/>
        <v>0</v>
      </c>
      <c r="AI72" s="18">
        <f t="shared" si="35"/>
        <v>0</v>
      </c>
      <c r="AJ72" s="18">
        <f t="shared" si="35"/>
        <v>0</v>
      </c>
      <c r="AK72" s="18">
        <f t="shared" si="35"/>
        <v>0</v>
      </c>
      <c r="AL72" s="18">
        <f t="shared" si="35"/>
        <v>0</v>
      </c>
      <c r="AM72" s="18">
        <f t="shared" si="35"/>
        <v>0</v>
      </c>
      <c r="AN72" s="18">
        <f t="shared" si="35"/>
        <v>0</v>
      </c>
      <c r="AO72" s="18">
        <f t="shared" si="35"/>
        <v>0</v>
      </c>
      <c r="AP72" s="18">
        <f t="shared" si="35"/>
        <v>0</v>
      </c>
      <c r="AQ72" s="18">
        <f t="shared" si="35"/>
        <v>0</v>
      </c>
      <c r="AR72" s="18">
        <f t="shared" si="35"/>
        <v>0</v>
      </c>
      <c r="AS72" s="18">
        <f t="shared" si="35"/>
        <v>0</v>
      </c>
    </row>
    <row r="73" spans="2:45" outlineLevel="1" x14ac:dyDescent="0.15"/>
    <row r="74" spans="2:45" hidden="1" outlineLevel="2" x14ac:dyDescent="0.15">
      <c r="C74" s="107" t="s">
        <v>192</v>
      </c>
      <c r="J74" s="17">
        <f t="shared" ref="J74:AS74" si="36">IF(ISERROR(SUM(J63,J72)),1,0)</f>
        <v>0</v>
      </c>
      <c r="K74" s="17">
        <f t="shared" si="36"/>
        <v>0</v>
      </c>
      <c r="L74" s="17">
        <f t="shared" si="36"/>
        <v>0</v>
      </c>
      <c r="M74" s="17">
        <f t="shared" si="36"/>
        <v>0</v>
      </c>
      <c r="N74" s="17">
        <f t="shared" si="36"/>
        <v>0</v>
      </c>
      <c r="O74" s="17">
        <f t="shared" si="36"/>
        <v>0</v>
      </c>
      <c r="P74" s="17">
        <f t="shared" si="36"/>
        <v>0</v>
      </c>
      <c r="Q74" s="17">
        <f t="shared" si="36"/>
        <v>0</v>
      </c>
      <c r="R74" s="17">
        <f t="shared" si="36"/>
        <v>0</v>
      </c>
      <c r="S74" s="17">
        <f t="shared" si="36"/>
        <v>0</v>
      </c>
      <c r="T74" s="17">
        <f t="shared" si="36"/>
        <v>0</v>
      </c>
      <c r="U74" s="17">
        <f t="shared" si="36"/>
        <v>0</v>
      </c>
      <c r="V74" s="17">
        <f t="shared" si="36"/>
        <v>0</v>
      </c>
      <c r="W74" s="17">
        <f t="shared" si="36"/>
        <v>0</v>
      </c>
      <c r="X74" s="17">
        <f t="shared" si="36"/>
        <v>0</v>
      </c>
      <c r="Y74" s="17">
        <f t="shared" si="36"/>
        <v>0</v>
      </c>
      <c r="Z74" s="17">
        <f t="shared" si="36"/>
        <v>0</v>
      </c>
      <c r="AA74" s="17">
        <f t="shared" si="36"/>
        <v>0</v>
      </c>
      <c r="AB74" s="17">
        <f t="shared" si="36"/>
        <v>0</v>
      </c>
      <c r="AC74" s="17">
        <f t="shared" si="36"/>
        <v>0</v>
      </c>
      <c r="AD74" s="17">
        <f t="shared" si="36"/>
        <v>0</v>
      </c>
      <c r="AE74" s="17">
        <f t="shared" si="36"/>
        <v>0</v>
      </c>
      <c r="AF74" s="17">
        <f t="shared" si="36"/>
        <v>0</v>
      </c>
      <c r="AG74" s="17">
        <f t="shared" si="36"/>
        <v>0</v>
      </c>
      <c r="AH74" s="17">
        <f t="shared" si="36"/>
        <v>0</v>
      </c>
      <c r="AI74" s="17">
        <f t="shared" si="36"/>
        <v>0</v>
      </c>
      <c r="AJ74" s="17">
        <f t="shared" si="36"/>
        <v>0</v>
      </c>
      <c r="AK74" s="17">
        <f t="shared" si="36"/>
        <v>0</v>
      </c>
      <c r="AL74" s="17">
        <f t="shared" si="36"/>
        <v>0</v>
      </c>
      <c r="AM74" s="17">
        <f t="shared" si="36"/>
        <v>0</v>
      </c>
      <c r="AN74" s="17">
        <f t="shared" si="36"/>
        <v>0</v>
      </c>
      <c r="AO74" s="17">
        <f t="shared" si="36"/>
        <v>0</v>
      </c>
      <c r="AP74" s="17">
        <f t="shared" si="36"/>
        <v>0</v>
      </c>
      <c r="AQ74" s="17">
        <f t="shared" si="36"/>
        <v>0</v>
      </c>
      <c r="AR74" s="17">
        <f t="shared" si="36"/>
        <v>0</v>
      </c>
      <c r="AS74" s="17">
        <f t="shared" si="36"/>
        <v>0</v>
      </c>
    </row>
    <row r="75" spans="2:45" hidden="1" outlineLevel="2" x14ac:dyDescent="0.15">
      <c r="C75" s="107" t="s">
        <v>452</v>
      </c>
      <c r="J75" s="17">
        <f t="shared" ref="J75:AS75" si="37">IF(J74&lt;&gt;0,0,IF(ROUND(J59+J60+J62-J63,5)&lt;&gt;0,1,0))</f>
        <v>0</v>
      </c>
      <c r="K75" s="17">
        <f t="shared" si="37"/>
        <v>0</v>
      </c>
      <c r="L75" s="17">
        <f t="shared" si="37"/>
        <v>0</v>
      </c>
      <c r="M75" s="17">
        <f t="shared" si="37"/>
        <v>0</v>
      </c>
      <c r="N75" s="17">
        <f t="shared" si="37"/>
        <v>0</v>
      </c>
      <c r="O75" s="17">
        <f t="shared" si="37"/>
        <v>0</v>
      </c>
      <c r="P75" s="17">
        <f t="shared" si="37"/>
        <v>0</v>
      </c>
      <c r="Q75" s="17">
        <f t="shared" si="37"/>
        <v>0</v>
      </c>
      <c r="R75" s="17">
        <f t="shared" si="37"/>
        <v>0</v>
      </c>
      <c r="S75" s="17">
        <f t="shared" si="37"/>
        <v>0</v>
      </c>
      <c r="T75" s="17">
        <f t="shared" si="37"/>
        <v>0</v>
      </c>
      <c r="U75" s="17">
        <f t="shared" si="37"/>
        <v>0</v>
      </c>
      <c r="V75" s="17">
        <f t="shared" si="37"/>
        <v>0</v>
      </c>
      <c r="W75" s="17">
        <f t="shared" si="37"/>
        <v>0</v>
      </c>
      <c r="X75" s="17">
        <f t="shared" si="37"/>
        <v>0</v>
      </c>
      <c r="Y75" s="17">
        <f t="shared" si="37"/>
        <v>0</v>
      </c>
      <c r="Z75" s="17">
        <f t="shared" si="37"/>
        <v>0</v>
      </c>
      <c r="AA75" s="17">
        <f t="shared" si="37"/>
        <v>0</v>
      </c>
      <c r="AB75" s="17">
        <f t="shared" si="37"/>
        <v>0</v>
      </c>
      <c r="AC75" s="17">
        <f t="shared" si="37"/>
        <v>0</v>
      </c>
      <c r="AD75" s="17">
        <f t="shared" si="37"/>
        <v>0</v>
      </c>
      <c r="AE75" s="17">
        <f t="shared" si="37"/>
        <v>0</v>
      </c>
      <c r="AF75" s="17">
        <f t="shared" si="37"/>
        <v>0</v>
      </c>
      <c r="AG75" s="17">
        <f t="shared" si="37"/>
        <v>0</v>
      </c>
      <c r="AH75" s="17">
        <f t="shared" si="37"/>
        <v>0</v>
      </c>
      <c r="AI75" s="17">
        <f t="shared" si="37"/>
        <v>0</v>
      </c>
      <c r="AJ75" s="17">
        <f t="shared" si="37"/>
        <v>0</v>
      </c>
      <c r="AK75" s="17">
        <f t="shared" si="37"/>
        <v>0</v>
      </c>
      <c r="AL75" s="17">
        <f t="shared" si="37"/>
        <v>0</v>
      </c>
      <c r="AM75" s="17">
        <f t="shared" si="37"/>
        <v>0</v>
      </c>
      <c r="AN75" s="17">
        <f t="shared" si="37"/>
        <v>0</v>
      </c>
      <c r="AO75" s="17">
        <f t="shared" si="37"/>
        <v>0</v>
      </c>
      <c r="AP75" s="17">
        <f t="shared" si="37"/>
        <v>0</v>
      </c>
      <c r="AQ75" s="17">
        <f t="shared" si="37"/>
        <v>0</v>
      </c>
      <c r="AR75" s="17">
        <f t="shared" si="37"/>
        <v>0</v>
      </c>
      <c r="AS75" s="17">
        <f t="shared" si="37"/>
        <v>0</v>
      </c>
    </row>
    <row r="76" spans="2:45" hidden="1" outlineLevel="2" x14ac:dyDescent="0.15">
      <c r="C76" s="107" t="s">
        <v>453</v>
      </c>
      <c r="J76" s="42">
        <f t="shared" ref="J76:AS76" si="38">IF(J74&lt;&gt;0,0,IF(ROUND(J69+J70+J71-J72,5)&lt;&gt;0,1,0))</f>
        <v>0</v>
      </c>
      <c r="K76" s="42">
        <f t="shared" si="38"/>
        <v>0</v>
      </c>
      <c r="L76" s="42">
        <f t="shared" si="38"/>
        <v>0</v>
      </c>
      <c r="M76" s="42">
        <f t="shared" si="38"/>
        <v>0</v>
      </c>
      <c r="N76" s="42">
        <f t="shared" si="38"/>
        <v>0</v>
      </c>
      <c r="O76" s="42">
        <f t="shared" si="38"/>
        <v>0</v>
      </c>
      <c r="P76" s="42">
        <f t="shared" si="38"/>
        <v>0</v>
      </c>
      <c r="Q76" s="42">
        <f t="shared" si="38"/>
        <v>0</v>
      </c>
      <c r="R76" s="42">
        <f t="shared" si="38"/>
        <v>0</v>
      </c>
      <c r="S76" s="42">
        <f t="shared" si="38"/>
        <v>0</v>
      </c>
      <c r="T76" s="42">
        <f t="shared" si="38"/>
        <v>0</v>
      </c>
      <c r="U76" s="42">
        <f t="shared" si="38"/>
        <v>0</v>
      </c>
      <c r="V76" s="42">
        <f t="shared" si="38"/>
        <v>0</v>
      </c>
      <c r="W76" s="42">
        <f t="shared" si="38"/>
        <v>0</v>
      </c>
      <c r="X76" s="42">
        <f t="shared" si="38"/>
        <v>0</v>
      </c>
      <c r="Y76" s="42">
        <f t="shared" si="38"/>
        <v>0</v>
      </c>
      <c r="Z76" s="42">
        <f t="shared" si="38"/>
        <v>0</v>
      </c>
      <c r="AA76" s="42">
        <f t="shared" si="38"/>
        <v>0</v>
      </c>
      <c r="AB76" s="42">
        <f t="shared" si="38"/>
        <v>0</v>
      </c>
      <c r="AC76" s="42">
        <f t="shared" si="38"/>
        <v>0</v>
      </c>
      <c r="AD76" s="42">
        <f t="shared" si="38"/>
        <v>0</v>
      </c>
      <c r="AE76" s="42">
        <f t="shared" si="38"/>
        <v>0</v>
      </c>
      <c r="AF76" s="42">
        <f t="shared" si="38"/>
        <v>0</v>
      </c>
      <c r="AG76" s="42">
        <f t="shared" si="38"/>
        <v>0</v>
      </c>
      <c r="AH76" s="42">
        <f t="shared" si="38"/>
        <v>0</v>
      </c>
      <c r="AI76" s="42">
        <f t="shared" si="38"/>
        <v>0</v>
      </c>
      <c r="AJ76" s="42">
        <f t="shared" si="38"/>
        <v>0</v>
      </c>
      <c r="AK76" s="42">
        <f t="shared" si="38"/>
        <v>0</v>
      </c>
      <c r="AL76" s="42">
        <f t="shared" si="38"/>
        <v>0</v>
      </c>
      <c r="AM76" s="42">
        <f t="shared" si="38"/>
        <v>0</v>
      </c>
      <c r="AN76" s="42">
        <f t="shared" si="38"/>
        <v>0</v>
      </c>
      <c r="AO76" s="42">
        <f t="shared" si="38"/>
        <v>0</v>
      </c>
      <c r="AP76" s="42">
        <f t="shared" si="38"/>
        <v>0</v>
      </c>
      <c r="AQ76" s="42">
        <f t="shared" si="38"/>
        <v>0</v>
      </c>
      <c r="AR76" s="42">
        <f t="shared" si="38"/>
        <v>0</v>
      </c>
      <c r="AS76" s="42">
        <f t="shared" si="38"/>
        <v>0</v>
      </c>
    </row>
    <row r="77" spans="2:45" outlineLevel="1" collapsed="1" x14ac:dyDescent="0.15">
      <c r="B77" s="107" t="s">
        <v>335</v>
      </c>
      <c r="I77" s="22">
        <f>IF(ISERROR(SUM(J77:AS77)),1,MIN(SUM(J77:AS77),1))</f>
        <v>0</v>
      </c>
      <c r="J77" s="17">
        <f t="shared" ref="J77:AS77" si="39">MIN(SUM(J74:J76),1)</f>
        <v>0</v>
      </c>
      <c r="K77" s="17">
        <f t="shared" si="39"/>
        <v>0</v>
      </c>
      <c r="L77" s="17">
        <f t="shared" si="39"/>
        <v>0</v>
      </c>
      <c r="M77" s="17">
        <f t="shared" si="39"/>
        <v>0</v>
      </c>
      <c r="N77" s="17">
        <f t="shared" si="39"/>
        <v>0</v>
      </c>
      <c r="O77" s="17">
        <f t="shared" si="39"/>
        <v>0</v>
      </c>
      <c r="P77" s="17">
        <f t="shared" si="39"/>
        <v>0</v>
      </c>
      <c r="Q77" s="17">
        <f t="shared" si="39"/>
        <v>0</v>
      </c>
      <c r="R77" s="17">
        <f t="shared" si="39"/>
        <v>0</v>
      </c>
      <c r="S77" s="17">
        <f t="shared" si="39"/>
        <v>0</v>
      </c>
      <c r="T77" s="17">
        <f t="shared" si="39"/>
        <v>0</v>
      </c>
      <c r="U77" s="17">
        <f t="shared" si="39"/>
        <v>0</v>
      </c>
      <c r="V77" s="17">
        <f t="shared" si="39"/>
        <v>0</v>
      </c>
      <c r="W77" s="17">
        <f t="shared" si="39"/>
        <v>0</v>
      </c>
      <c r="X77" s="17">
        <f t="shared" si="39"/>
        <v>0</v>
      </c>
      <c r="Y77" s="17">
        <f t="shared" si="39"/>
        <v>0</v>
      </c>
      <c r="Z77" s="17">
        <f t="shared" si="39"/>
        <v>0</v>
      </c>
      <c r="AA77" s="17">
        <f t="shared" si="39"/>
        <v>0</v>
      </c>
      <c r="AB77" s="17">
        <f t="shared" si="39"/>
        <v>0</v>
      </c>
      <c r="AC77" s="17">
        <f t="shared" si="39"/>
        <v>0</v>
      </c>
      <c r="AD77" s="17">
        <f t="shared" si="39"/>
        <v>0</v>
      </c>
      <c r="AE77" s="17">
        <f t="shared" si="39"/>
        <v>0</v>
      </c>
      <c r="AF77" s="17">
        <f t="shared" si="39"/>
        <v>0</v>
      </c>
      <c r="AG77" s="17">
        <f t="shared" si="39"/>
        <v>0</v>
      </c>
      <c r="AH77" s="17">
        <f t="shared" si="39"/>
        <v>0</v>
      </c>
      <c r="AI77" s="17">
        <f t="shared" si="39"/>
        <v>0</v>
      </c>
      <c r="AJ77" s="17">
        <f t="shared" si="39"/>
        <v>0</v>
      </c>
      <c r="AK77" s="17">
        <f t="shared" si="39"/>
        <v>0</v>
      </c>
      <c r="AL77" s="17">
        <f t="shared" si="39"/>
        <v>0</v>
      </c>
      <c r="AM77" s="17">
        <f t="shared" si="39"/>
        <v>0</v>
      </c>
      <c r="AN77" s="17">
        <f t="shared" si="39"/>
        <v>0</v>
      </c>
      <c r="AO77" s="17">
        <f t="shared" si="39"/>
        <v>0</v>
      </c>
      <c r="AP77" s="17">
        <f t="shared" si="39"/>
        <v>0</v>
      </c>
      <c r="AQ77" s="17">
        <f t="shared" si="39"/>
        <v>0</v>
      </c>
      <c r="AR77" s="17">
        <f t="shared" si="39"/>
        <v>0</v>
      </c>
      <c r="AS77" s="17">
        <f t="shared" si="39"/>
        <v>0</v>
      </c>
    </row>
    <row r="78" spans="2:45" ht="5.75" hidden="1" customHeight="1" outlineLevel="2" x14ac:dyDescent="0.15"/>
    <row r="79" spans="2:45" hidden="1" outlineLevel="2" x14ac:dyDescent="0.15">
      <c r="C79" s="107" t="s">
        <v>454</v>
      </c>
      <c r="J79" s="17">
        <f t="shared" ref="J79:AS79" si="40">IF(J77&lt;&gt;0,0,IF(ROUND(MIN(J63),5)&lt;0,1,0))</f>
        <v>0</v>
      </c>
      <c r="K79" s="17">
        <f t="shared" si="40"/>
        <v>0</v>
      </c>
      <c r="L79" s="17">
        <f t="shared" si="40"/>
        <v>0</v>
      </c>
      <c r="M79" s="17">
        <f t="shared" si="40"/>
        <v>0</v>
      </c>
      <c r="N79" s="17">
        <f t="shared" si="40"/>
        <v>0</v>
      </c>
      <c r="O79" s="17">
        <f t="shared" si="40"/>
        <v>0</v>
      </c>
      <c r="P79" s="17">
        <f t="shared" si="40"/>
        <v>0</v>
      </c>
      <c r="Q79" s="17">
        <f t="shared" si="40"/>
        <v>0</v>
      </c>
      <c r="R79" s="17">
        <f t="shared" si="40"/>
        <v>0</v>
      </c>
      <c r="S79" s="17">
        <f t="shared" si="40"/>
        <v>0</v>
      </c>
      <c r="T79" s="17">
        <f t="shared" si="40"/>
        <v>0</v>
      </c>
      <c r="U79" s="17">
        <f t="shared" si="40"/>
        <v>0</v>
      </c>
      <c r="V79" s="17">
        <f t="shared" si="40"/>
        <v>0</v>
      </c>
      <c r="W79" s="17">
        <f t="shared" si="40"/>
        <v>0</v>
      </c>
      <c r="X79" s="17">
        <f t="shared" si="40"/>
        <v>0</v>
      </c>
      <c r="Y79" s="17">
        <f t="shared" si="40"/>
        <v>0</v>
      </c>
      <c r="Z79" s="17">
        <f t="shared" si="40"/>
        <v>0</v>
      </c>
      <c r="AA79" s="17">
        <f t="shared" si="40"/>
        <v>0</v>
      </c>
      <c r="AB79" s="17">
        <f t="shared" si="40"/>
        <v>0</v>
      </c>
      <c r="AC79" s="17">
        <f t="shared" si="40"/>
        <v>0</v>
      </c>
      <c r="AD79" s="17">
        <f t="shared" si="40"/>
        <v>0</v>
      </c>
      <c r="AE79" s="17">
        <f t="shared" si="40"/>
        <v>0</v>
      </c>
      <c r="AF79" s="17">
        <f t="shared" si="40"/>
        <v>0</v>
      </c>
      <c r="AG79" s="17">
        <f t="shared" si="40"/>
        <v>0</v>
      </c>
      <c r="AH79" s="17">
        <f t="shared" si="40"/>
        <v>0</v>
      </c>
      <c r="AI79" s="17">
        <f t="shared" si="40"/>
        <v>0</v>
      </c>
      <c r="AJ79" s="17">
        <f t="shared" si="40"/>
        <v>0</v>
      </c>
      <c r="AK79" s="17">
        <f t="shared" si="40"/>
        <v>0</v>
      </c>
      <c r="AL79" s="17">
        <f t="shared" si="40"/>
        <v>0</v>
      </c>
      <c r="AM79" s="17">
        <f t="shared" si="40"/>
        <v>0</v>
      </c>
      <c r="AN79" s="17">
        <f t="shared" si="40"/>
        <v>0</v>
      </c>
      <c r="AO79" s="17">
        <f t="shared" si="40"/>
        <v>0</v>
      </c>
      <c r="AP79" s="17">
        <f t="shared" si="40"/>
        <v>0</v>
      </c>
      <c r="AQ79" s="17">
        <f t="shared" si="40"/>
        <v>0</v>
      </c>
      <c r="AR79" s="17">
        <f t="shared" si="40"/>
        <v>0</v>
      </c>
      <c r="AS79" s="17">
        <f t="shared" si="40"/>
        <v>0</v>
      </c>
    </row>
    <row r="80" spans="2:45" hidden="1" outlineLevel="2" x14ac:dyDescent="0.15">
      <c r="C80" s="107" t="s">
        <v>455</v>
      </c>
      <c r="J80" s="42">
        <f t="shared" ref="J80:AS80" si="41">IF(J77&lt;&gt;0,0,IF(ROUND(MIN(J72),5)&lt;0,1,0))</f>
        <v>0</v>
      </c>
      <c r="K80" s="42">
        <f t="shared" si="41"/>
        <v>0</v>
      </c>
      <c r="L80" s="42">
        <f t="shared" si="41"/>
        <v>0</v>
      </c>
      <c r="M80" s="42">
        <f t="shared" si="41"/>
        <v>0</v>
      </c>
      <c r="N80" s="42">
        <f t="shared" si="41"/>
        <v>0</v>
      </c>
      <c r="O80" s="42">
        <f t="shared" si="41"/>
        <v>0</v>
      </c>
      <c r="P80" s="42">
        <f t="shared" si="41"/>
        <v>0</v>
      </c>
      <c r="Q80" s="42">
        <f t="shared" si="41"/>
        <v>0</v>
      </c>
      <c r="R80" s="42">
        <f t="shared" si="41"/>
        <v>0</v>
      </c>
      <c r="S80" s="42">
        <f t="shared" si="41"/>
        <v>0</v>
      </c>
      <c r="T80" s="42">
        <f t="shared" si="41"/>
        <v>0</v>
      </c>
      <c r="U80" s="42">
        <f t="shared" si="41"/>
        <v>0</v>
      </c>
      <c r="V80" s="42">
        <f t="shared" si="41"/>
        <v>0</v>
      </c>
      <c r="W80" s="42">
        <f t="shared" si="41"/>
        <v>0</v>
      </c>
      <c r="X80" s="42">
        <f t="shared" si="41"/>
        <v>0</v>
      </c>
      <c r="Y80" s="42">
        <f t="shared" si="41"/>
        <v>0</v>
      </c>
      <c r="Z80" s="42">
        <f t="shared" si="41"/>
        <v>0</v>
      </c>
      <c r="AA80" s="42">
        <f t="shared" si="41"/>
        <v>0</v>
      </c>
      <c r="AB80" s="42">
        <f t="shared" si="41"/>
        <v>0</v>
      </c>
      <c r="AC80" s="42">
        <f t="shared" si="41"/>
        <v>0</v>
      </c>
      <c r="AD80" s="42">
        <f t="shared" si="41"/>
        <v>0</v>
      </c>
      <c r="AE80" s="42">
        <f t="shared" si="41"/>
        <v>0</v>
      </c>
      <c r="AF80" s="42">
        <f t="shared" si="41"/>
        <v>0</v>
      </c>
      <c r="AG80" s="42">
        <f t="shared" si="41"/>
        <v>0</v>
      </c>
      <c r="AH80" s="42">
        <f t="shared" si="41"/>
        <v>0</v>
      </c>
      <c r="AI80" s="42">
        <f t="shared" si="41"/>
        <v>0</v>
      </c>
      <c r="AJ80" s="42">
        <f t="shared" si="41"/>
        <v>0</v>
      </c>
      <c r="AK80" s="42">
        <f t="shared" si="41"/>
        <v>0</v>
      </c>
      <c r="AL80" s="42">
        <f t="shared" si="41"/>
        <v>0</v>
      </c>
      <c r="AM80" s="42">
        <f t="shared" si="41"/>
        <v>0</v>
      </c>
      <c r="AN80" s="42">
        <f t="shared" si="41"/>
        <v>0</v>
      </c>
      <c r="AO80" s="42">
        <f t="shared" si="41"/>
        <v>0</v>
      </c>
      <c r="AP80" s="42">
        <f t="shared" si="41"/>
        <v>0</v>
      </c>
      <c r="AQ80" s="42">
        <f t="shared" si="41"/>
        <v>0</v>
      </c>
      <c r="AR80" s="42">
        <f t="shared" si="41"/>
        <v>0</v>
      </c>
      <c r="AS80" s="42">
        <f t="shared" si="41"/>
        <v>0</v>
      </c>
    </row>
    <row r="81" spans="2:45" outlineLevel="1" collapsed="1" x14ac:dyDescent="0.15">
      <c r="B81" s="107" t="s">
        <v>392</v>
      </c>
      <c r="I81" s="22">
        <f>IF(ISERROR(SUM(J81:AS81)),1,MIN(SUM(J81:AS81),1))</f>
        <v>0</v>
      </c>
      <c r="J81" s="17">
        <f t="shared" ref="J81:AS81" si="42">MIN(SUM(J79:J80),1)</f>
        <v>0</v>
      </c>
      <c r="K81" s="17">
        <f t="shared" si="42"/>
        <v>0</v>
      </c>
      <c r="L81" s="17">
        <f t="shared" si="42"/>
        <v>0</v>
      </c>
      <c r="M81" s="17">
        <f t="shared" si="42"/>
        <v>0</v>
      </c>
      <c r="N81" s="17">
        <f t="shared" si="42"/>
        <v>0</v>
      </c>
      <c r="O81" s="17">
        <f t="shared" si="42"/>
        <v>0</v>
      </c>
      <c r="P81" s="17">
        <f t="shared" si="42"/>
        <v>0</v>
      </c>
      <c r="Q81" s="17">
        <f t="shared" si="42"/>
        <v>0</v>
      </c>
      <c r="R81" s="17">
        <f t="shared" si="42"/>
        <v>0</v>
      </c>
      <c r="S81" s="17">
        <f t="shared" si="42"/>
        <v>0</v>
      </c>
      <c r="T81" s="17">
        <f t="shared" si="42"/>
        <v>0</v>
      </c>
      <c r="U81" s="17">
        <f t="shared" si="42"/>
        <v>0</v>
      </c>
      <c r="V81" s="17">
        <f t="shared" si="42"/>
        <v>0</v>
      </c>
      <c r="W81" s="17">
        <f t="shared" si="42"/>
        <v>0</v>
      </c>
      <c r="X81" s="17">
        <f t="shared" si="42"/>
        <v>0</v>
      </c>
      <c r="Y81" s="17">
        <f t="shared" si="42"/>
        <v>0</v>
      </c>
      <c r="Z81" s="17">
        <f t="shared" si="42"/>
        <v>0</v>
      </c>
      <c r="AA81" s="17">
        <f t="shared" si="42"/>
        <v>0</v>
      </c>
      <c r="AB81" s="17">
        <f t="shared" si="42"/>
        <v>0</v>
      </c>
      <c r="AC81" s="17">
        <f t="shared" si="42"/>
        <v>0</v>
      </c>
      <c r="AD81" s="17">
        <f t="shared" si="42"/>
        <v>0</v>
      </c>
      <c r="AE81" s="17">
        <f t="shared" si="42"/>
        <v>0</v>
      </c>
      <c r="AF81" s="17">
        <f t="shared" si="42"/>
        <v>0</v>
      </c>
      <c r="AG81" s="17">
        <f t="shared" si="42"/>
        <v>0</v>
      </c>
      <c r="AH81" s="17">
        <f t="shared" si="42"/>
        <v>0</v>
      </c>
      <c r="AI81" s="17">
        <f t="shared" si="42"/>
        <v>0</v>
      </c>
      <c r="AJ81" s="17">
        <f t="shared" si="42"/>
        <v>0</v>
      </c>
      <c r="AK81" s="17">
        <f t="shared" si="42"/>
        <v>0</v>
      </c>
      <c r="AL81" s="17">
        <f t="shared" si="42"/>
        <v>0</v>
      </c>
      <c r="AM81" s="17">
        <f t="shared" si="42"/>
        <v>0</v>
      </c>
      <c r="AN81" s="17">
        <f t="shared" si="42"/>
        <v>0</v>
      </c>
      <c r="AO81" s="17">
        <f t="shared" si="42"/>
        <v>0</v>
      </c>
      <c r="AP81" s="17">
        <f t="shared" si="42"/>
        <v>0</v>
      </c>
      <c r="AQ81" s="17">
        <f t="shared" si="42"/>
        <v>0</v>
      </c>
      <c r="AR81" s="17">
        <f t="shared" si="42"/>
        <v>0</v>
      </c>
      <c r="AS81" s="17">
        <f t="shared" si="42"/>
        <v>0</v>
      </c>
    </row>
    <row r="83" spans="2:45" x14ac:dyDescent="0.15">
      <c r="B83" s="1" t="s">
        <v>111</v>
      </c>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row>
    <row r="84" spans="2:45" outlineLevel="1" x14ac:dyDescent="0.15"/>
    <row r="85" spans="2:45" outlineLevel="1" x14ac:dyDescent="0.15">
      <c r="B85" s="108" t="s">
        <v>456</v>
      </c>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row>
    <row r="86" spans="2:45" outlineLevel="1" x14ac:dyDescent="0.15"/>
    <row r="87" spans="2:45" outlineLevel="1" x14ac:dyDescent="0.15">
      <c r="B87" s="16" t="s">
        <v>457</v>
      </c>
    </row>
    <row r="88" spans="2:45" outlineLevel="1" x14ac:dyDescent="0.15">
      <c r="B88" s="107" t="s">
        <v>375</v>
      </c>
      <c r="J88" s="14">
        <f t="shared" ref="J88:AS88" si="43">J153</f>
        <v>0</v>
      </c>
      <c r="K88" s="14">
        <f t="shared" si="43"/>
        <v>0</v>
      </c>
      <c r="L88" s="14">
        <f t="shared" si="43"/>
        <v>0</v>
      </c>
      <c r="M88" s="14">
        <f t="shared" si="43"/>
        <v>0</v>
      </c>
      <c r="N88" s="14">
        <f t="shared" si="43"/>
        <v>0</v>
      </c>
      <c r="O88" s="14">
        <f t="shared" si="43"/>
        <v>0</v>
      </c>
      <c r="P88" s="14">
        <f t="shared" si="43"/>
        <v>0</v>
      </c>
      <c r="Q88" s="14">
        <f t="shared" si="43"/>
        <v>0</v>
      </c>
      <c r="R88" s="14">
        <f t="shared" si="43"/>
        <v>0</v>
      </c>
      <c r="S88" s="14">
        <f t="shared" si="43"/>
        <v>0</v>
      </c>
      <c r="T88" s="14">
        <f t="shared" si="43"/>
        <v>0</v>
      </c>
      <c r="U88" s="14">
        <f t="shared" si="43"/>
        <v>0</v>
      </c>
      <c r="V88" s="14">
        <f t="shared" si="43"/>
        <v>0</v>
      </c>
      <c r="W88" s="14">
        <f t="shared" si="43"/>
        <v>0</v>
      </c>
      <c r="X88" s="14">
        <f t="shared" si="43"/>
        <v>0</v>
      </c>
      <c r="Y88" s="14">
        <f t="shared" si="43"/>
        <v>0</v>
      </c>
      <c r="Z88" s="14">
        <f t="shared" si="43"/>
        <v>0</v>
      </c>
      <c r="AA88" s="14">
        <f t="shared" si="43"/>
        <v>0</v>
      </c>
      <c r="AB88" s="14">
        <f t="shared" si="43"/>
        <v>0</v>
      </c>
      <c r="AC88" s="14">
        <f t="shared" si="43"/>
        <v>0</v>
      </c>
      <c r="AD88" s="14">
        <f t="shared" si="43"/>
        <v>0</v>
      </c>
      <c r="AE88" s="14">
        <f t="shared" si="43"/>
        <v>0</v>
      </c>
      <c r="AF88" s="14">
        <f t="shared" si="43"/>
        <v>0</v>
      </c>
      <c r="AG88" s="14">
        <f t="shared" si="43"/>
        <v>0</v>
      </c>
      <c r="AH88" s="14">
        <f t="shared" si="43"/>
        <v>0</v>
      </c>
      <c r="AI88" s="14">
        <f t="shared" si="43"/>
        <v>0</v>
      </c>
      <c r="AJ88" s="14">
        <f t="shared" si="43"/>
        <v>0</v>
      </c>
      <c r="AK88" s="14">
        <f t="shared" si="43"/>
        <v>0</v>
      </c>
      <c r="AL88" s="14">
        <f t="shared" si="43"/>
        <v>0</v>
      </c>
      <c r="AM88" s="14">
        <f t="shared" si="43"/>
        <v>0</v>
      </c>
      <c r="AN88" s="14">
        <f t="shared" si="43"/>
        <v>0</v>
      </c>
      <c r="AO88" s="14">
        <f t="shared" si="43"/>
        <v>0</v>
      </c>
      <c r="AP88" s="14">
        <f t="shared" si="43"/>
        <v>0</v>
      </c>
      <c r="AQ88" s="14">
        <f t="shared" si="43"/>
        <v>0</v>
      </c>
      <c r="AR88" s="14">
        <f t="shared" si="43"/>
        <v>0</v>
      </c>
      <c r="AS88" s="14">
        <f t="shared" si="43"/>
        <v>0</v>
      </c>
    </row>
    <row r="89" spans="2:45" outlineLevel="1" x14ac:dyDescent="0.15">
      <c r="B89" s="107" t="s">
        <v>458</v>
      </c>
      <c r="J89" s="189">
        <v>0</v>
      </c>
      <c r="K89" s="189">
        <v>0</v>
      </c>
      <c r="L89" s="189">
        <v>0</v>
      </c>
      <c r="M89" s="189">
        <v>0</v>
      </c>
      <c r="N89" s="189">
        <v>0</v>
      </c>
      <c r="O89" s="189">
        <v>0</v>
      </c>
      <c r="P89" s="189">
        <v>0</v>
      </c>
      <c r="Q89" s="189">
        <v>0</v>
      </c>
      <c r="R89" s="189">
        <v>0</v>
      </c>
      <c r="S89" s="189">
        <v>0</v>
      </c>
      <c r="T89" s="189">
        <v>0</v>
      </c>
      <c r="U89" s="189">
        <v>0</v>
      </c>
      <c r="V89" s="189">
        <v>0</v>
      </c>
      <c r="W89" s="189">
        <v>0</v>
      </c>
      <c r="X89" s="189">
        <v>0</v>
      </c>
      <c r="Y89" s="189">
        <v>0</v>
      </c>
      <c r="Z89" s="189">
        <v>0</v>
      </c>
      <c r="AA89" s="189">
        <v>0</v>
      </c>
      <c r="AB89" s="189">
        <v>0</v>
      </c>
      <c r="AC89" s="189">
        <v>0</v>
      </c>
      <c r="AD89" s="189">
        <v>0</v>
      </c>
      <c r="AE89" s="189">
        <v>0</v>
      </c>
      <c r="AF89" s="189">
        <v>0</v>
      </c>
      <c r="AG89" s="189">
        <v>0</v>
      </c>
      <c r="AH89" s="189">
        <v>0</v>
      </c>
      <c r="AI89" s="189">
        <v>0</v>
      </c>
      <c r="AJ89" s="189">
        <v>0</v>
      </c>
      <c r="AK89" s="189">
        <v>0</v>
      </c>
      <c r="AL89" s="189">
        <v>0</v>
      </c>
      <c r="AM89" s="189">
        <v>0</v>
      </c>
      <c r="AN89" s="189">
        <v>0</v>
      </c>
      <c r="AO89" s="189">
        <v>0</v>
      </c>
      <c r="AP89" s="189">
        <v>0</v>
      </c>
      <c r="AQ89" s="189">
        <v>0</v>
      </c>
      <c r="AR89" s="189">
        <v>0</v>
      </c>
      <c r="AS89" s="189">
        <v>0</v>
      </c>
    </row>
    <row r="90" spans="2:45" outlineLevel="1" x14ac:dyDescent="0.15">
      <c r="B90" s="107" t="s">
        <v>459</v>
      </c>
      <c r="J90" s="188">
        <v>0</v>
      </c>
      <c r="K90" s="188">
        <v>0</v>
      </c>
      <c r="L90" s="188">
        <v>0</v>
      </c>
      <c r="M90" s="188">
        <v>0</v>
      </c>
      <c r="N90" s="188">
        <v>0</v>
      </c>
      <c r="O90" s="188">
        <v>0</v>
      </c>
      <c r="P90" s="188">
        <v>0</v>
      </c>
      <c r="Q90" s="188">
        <v>0</v>
      </c>
      <c r="R90" s="188">
        <v>0</v>
      </c>
      <c r="S90" s="188">
        <v>0</v>
      </c>
      <c r="T90" s="188">
        <v>0</v>
      </c>
      <c r="U90" s="188">
        <v>0</v>
      </c>
      <c r="V90" s="188">
        <v>0</v>
      </c>
      <c r="W90" s="188">
        <v>0</v>
      </c>
      <c r="X90" s="188">
        <v>0</v>
      </c>
      <c r="Y90" s="188">
        <v>0</v>
      </c>
      <c r="Z90" s="188">
        <v>0</v>
      </c>
      <c r="AA90" s="188">
        <v>0</v>
      </c>
      <c r="AB90" s="188">
        <v>0</v>
      </c>
      <c r="AC90" s="188">
        <v>0</v>
      </c>
      <c r="AD90" s="188">
        <v>0</v>
      </c>
      <c r="AE90" s="188">
        <v>0</v>
      </c>
      <c r="AF90" s="188">
        <v>0</v>
      </c>
      <c r="AG90" s="188">
        <v>0</v>
      </c>
      <c r="AH90" s="188">
        <v>0</v>
      </c>
      <c r="AI90" s="188">
        <v>0</v>
      </c>
      <c r="AJ90" s="188">
        <v>0</v>
      </c>
      <c r="AK90" s="188">
        <v>0</v>
      </c>
      <c r="AL90" s="188">
        <v>0</v>
      </c>
      <c r="AM90" s="188">
        <v>0</v>
      </c>
      <c r="AN90" s="188">
        <v>0</v>
      </c>
      <c r="AO90" s="188">
        <v>0</v>
      </c>
      <c r="AP90" s="188">
        <v>0</v>
      </c>
      <c r="AQ90" s="188">
        <v>0</v>
      </c>
      <c r="AR90" s="188">
        <v>0</v>
      </c>
      <c r="AS90" s="188">
        <v>0</v>
      </c>
    </row>
    <row r="91" spans="2:45" outlineLevel="1" x14ac:dyDescent="0.15">
      <c r="B91" s="16" t="s">
        <v>388</v>
      </c>
      <c r="J91" s="15">
        <f t="shared" ref="J91:AS91" si="44">J156</f>
        <v>0</v>
      </c>
      <c r="K91" s="15">
        <f t="shared" si="44"/>
        <v>0</v>
      </c>
      <c r="L91" s="15">
        <f t="shared" si="44"/>
        <v>0</v>
      </c>
      <c r="M91" s="15">
        <f t="shared" si="44"/>
        <v>0</v>
      </c>
      <c r="N91" s="15">
        <f t="shared" si="44"/>
        <v>0</v>
      </c>
      <c r="O91" s="15">
        <f t="shared" si="44"/>
        <v>0</v>
      </c>
      <c r="P91" s="15">
        <f t="shared" si="44"/>
        <v>0</v>
      </c>
      <c r="Q91" s="15">
        <f t="shared" si="44"/>
        <v>0</v>
      </c>
      <c r="R91" s="15">
        <f t="shared" si="44"/>
        <v>0</v>
      </c>
      <c r="S91" s="15">
        <f t="shared" si="44"/>
        <v>0</v>
      </c>
      <c r="T91" s="15">
        <f t="shared" si="44"/>
        <v>0</v>
      </c>
      <c r="U91" s="15">
        <f t="shared" si="44"/>
        <v>0</v>
      </c>
      <c r="V91" s="15">
        <f t="shared" si="44"/>
        <v>0</v>
      </c>
      <c r="W91" s="15">
        <f t="shared" si="44"/>
        <v>0</v>
      </c>
      <c r="X91" s="15">
        <f t="shared" si="44"/>
        <v>0</v>
      </c>
      <c r="Y91" s="15">
        <f t="shared" si="44"/>
        <v>0</v>
      </c>
      <c r="Z91" s="15">
        <f t="shared" si="44"/>
        <v>0</v>
      </c>
      <c r="AA91" s="15">
        <f t="shared" si="44"/>
        <v>0</v>
      </c>
      <c r="AB91" s="15">
        <f t="shared" si="44"/>
        <v>0</v>
      </c>
      <c r="AC91" s="15">
        <f t="shared" si="44"/>
        <v>0</v>
      </c>
      <c r="AD91" s="15">
        <f t="shared" si="44"/>
        <v>0</v>
      </c>
      <c r="AE91" s="15">
        <f t="shared" si="44"/>
        <v>0</v>
      </c>
      <c r="AF91" s="15">
        <f t="shared" si="44"/>
        <v>0</v>
      </c>
      <c r="AG91" s="15">
        <f t="shared" si="44"/>
        <v>0</v>
      </c>
      <c r="AH91" s="15">
        <f t="shared" si="44"/>
        <v>0</v>
      </c>
      <c r="AI91" s="15">
        <f t="shared" si="44"/>
        <v>0</v>
      </c>
      <c r="AJ91" s="15">
        <f t="shared" si="44"/>
        <v>0</v>
      </c>
      <c r="AK91" s="15">
        <f t="shared" si="44"/>
        <v>0</v>
      </c>
      <c r="AL91" s="15">
        <f t="shared" si="44"/>
        <v>0</v>
      </c>
      <c r="AM91" s="15">
        <f t="shared" si="44"/>
        <v>0</v>
      </c>
      <c r="AN91" s="15">
        <f t="shared" si="44"/>
        <v>0</v>
      </c>
      <c r="AO91" s="15">
        <f t="shared" si="44"/>
        <v>0</v>
      </c>
      <c r="AP91" s="15">
        <f t="shared" si="44"/>
        <v>0</v>
      </c>
      <c r="AQ91" s="15">
        <f t="shared" si="44"/>
        <v>0</v>
      </c>
      <c r="AR91" s="15">
        <f t="shared" si="44"/>
        <v>0</v>
      </c>
      <c r="AS91" s="15">
        <f t="shared" si="44"/>
        <v>0</v>
      </c>
    </row>
    <row r="92" spans="2:45" outlineLevel="1" x14ac:dyDescent="0.15"/>
    <row r="93" spans="2:45" outlineLevel="1" x14ac:dyDescent="0.15">
      <c r="B93" s="16" t="s">
        <v>460</v>
      </c>
    </row>
    <row r="94" spans="2:45" outlineLevel="1" x14ac:dyDescent="0.15">
      <c r="B94" s="107" t="s">
        <v>461</v>
      </c>
      <c r="I94" s="166">
        <v>1</v>
      </c>
    </row>
    <row r="95" spans="2:45" ht="6" customHeight="1" outlineLevel="1" x14ac:dyDescent="0.15"/>
    <row r="96" spans="2:45" outlineLevel="1" x14ac:dyDescent="0.15">
      <c r="B96" s="107" t="str">
        <f>B$9</f>
        <v>Financial Year</v>
      </c>
      <c r="J96" s="28">
        <f t="shared" ref="J96:AS96" si="45">J$9</f>
        <v>2024</v>
      </c>
      <c r="K96" s="28">
        <f t="shared" si="45"/>
        <v>2024</v>
      </c>
      <c r="L96" s="28">
        <f t="shared" si="45"/>
        <v>2024</v>
      </c>
      <c r="M96" s="28">
        <f t="shared" si="45"/>
        <v>2024</v>
      </c>
      <c r="N96" s="28">
        <f t="shared" si="45"/>
        <v>2024</v>
      </c>
      <c r="O96" s="28">
        <f t="shared" si="45"/>
        <v>2024</v>
      </c>
      <c r="P96" s="28">
        <f t="shared" si="45"/>
        <v>2024</v>
      </c>
      <c r="Q96" s="28">
        <f t="shared" si="45"/>
        <v>2024</v>
      </c>
      <c r="R96" s="28">
        <f t="shared" si="45"/>
        <v>2024</v>
      </c>
      <c r="S96" s="28">
        <f t="shared" si="45"/>
        <v>2024</v>
      </c>
      <c r="T96" s="28">
        <f t="shared" si="45"/>
        <v>2024</v>
      </c>
      <c r="U96" s="28">
        <f t="shared" si="45"/>
        <v>2024</v>
      </c>
      <c r="V96" s="28">
        <f t="shared" si="45"/>
        <v>2025</v>
      </c>
      <c r="W96" s="28">
        <f t="shared" si="45"/>
        <v>2025</v>
      </c>
      <c r="X96" s="28">
        <f t="shared" si="45"/>
        <v>2025</v>
      </c>
      <c r="Y96" s="28">
        <f t="shared" si="45"/>
        <v>2025</v>
      </c>
      <c r="Z96" s="28">
        <f t="shared" si="45"/>
        <v>2025</v>
      </c>
      <c r="AA96" s="28">
        <f t="shared" si="45"/>
        <v>2025</v>
      </c>
      <c r="AB96" s="28">
        <f t="shared" si="45"/>
        <v>2025</v>
      </c>
      <c r="AC96" s="28">
        <f t="shared" si="45"/>
        <v>2025</v>
      </c>
      <c r="AD96" s="28">
        <f t="shared" si="45"/>
        <v>2025</v>
      </c>
      <c r="AE96" s="28">
        <f t="shared" si="45"/>
        <v>2025</v>
      </c>
      <c r="AF96" s="28">
        <f t="shared" si="45"/>
        <v>2025</v>
      </c>
      <c r="AG96" s="28">
        <f t="shared" si="45"/>
        <v>2025</v>
      </c>
      <c r="AH96" s="28">
        <f t="shared" si="45"/>
        <v>2026</v>
      </c>
      <c r="AI96" s="28">
        <f t="shared" si="45"/>
        <v>2026</v>
      </c>
      <c r="AJ96" s="28">
        <f t="shared" si="45"/>
        <v>2026</v>
      </c>
      <c r="AK96" s="28">
        <f t="shared" si="45"/>
        <v>2026</v>
      </c>
      <c r="AL96" s="28">
        <f t="shared" si="45"/>
        <v>2026</v>
      </c>
      <c r="AM96" s="28">
        <f t="shared" si="45"/>
        <v>2026</v>
      </c>
      <c r="AN96" s="28">
        <f t="shared" si="45"/>
        <v>2026</v>
      </c>
      <c r="AO96" s="28">
        <f t="shared" si="45"/>
        <v>2026</v>
      </c>
      <c r="AP96" s="28">
        <f t="shared" si="45"/>
        <v>2026</v>
      </c>
      <c r="AQ96" s="28">
        <f t="shared" si="45"/>
        <v>2026</v>
      </c>
      <c r="AR96" s="28">
        <f t="shared" si="45"/>
        <v>2026</v>
      </c>
      <c r="AS96" s="28">
        <f t="shared" si="45"/>
        <v>2026</v>
      </c>
    </row>
    <row r="97" spans="2:45" hidden="1" outlineLevel="2" x14ac:dyDescent="0.15">
      <c r="B97" s="107" t="s">
        <v>462</v>
      </c>
      <c r="J97" s="17">
        <f t="shared" ref="J97:AS97" si="46">J$10</f>
        <v>1</v>
      </c>
      <c r="K97" s="17">
        <f t="shared" si="46"/>
        <v>2</v>
      </c>
      <c r="L97" s="17">
        <f t="shared" si="46"/>
        <v>3</v>
      </c>
      <c r="M97" s="17">
        <f t="shared" si="46"/>
        <v>4</v>
      </c>
      <c r="N97" s="17">
        <f t="shared" si="46"/>
        <v>5</v>
      </c>
      <c r="O97" s="17">
        <f t="shared" si="46"/>
        <v>6</v>
      </c>
      <c r="P97" s="17">
        <f t="shared" si="46"/>
        <v>7</v>
      </c>
      <c r="Q97" s="17">
        <f t="shared" si="46"/>
        <v>8</v>
      </c>
      <c r="R97" s="17">
        <f t="shared" si="46"/>
        <v>9</v>
      </c>
      <c r="S97" s="17">
        <f t="shared" si="46"/>
        <v>10</v>
      </c>
      <c r="T97" s="17">
        <f t="shared" si="46"/>
        <v>11</v>
      </c>
      <c r="U97" s="17">
        <f t="shared" si="46"/>
        <v>12</v>
      </c>
      <c r="V97" s="17">
        <f t="shared" si="46"/>
        <v>1</v>
      </c>
      <c r="W97" s="17">
        <f t="shared" si="46"/>
        <v>2</v>
      </c>
      <c r="X97" s="17">
        <f t="shared" si="46"/>
        <v>3</v>
      </c>
      <c r="Y97" s="17">
        <f t="shared" si="46"/>
        <v>4</v>
      </c>
      <c r="Z97" s="17">
        <f t="shared" si="46"/>
        <v>5</v>
      </c>
      <c r="AA97" s="17">
        <f t="shared" si="46"/>
        <v>6</v>
      </c>
      <c r="AB97" s="17">
        <f t="shared" si="46"/>
        <v>7</v>
      </c>
      <c r="AC97" s="17">
        <f t="shared" si="46"/>
        <v>8</v>
      </c>
      <c r="AD97" s="17">
        <f t="shared" si="46"/>
        <v>9</v>
      </c>
      <c r="AE97" s="17">
        <f t="shared" si="46"/>
        <v>10</v>
      </c>
      <c r="AF97" s="17">
        <f t="shared" si="46"/>
        <v>11</v>
      </c>
      <c r="AG97" s="17">
        <f t="shared" si="46"/>
        <v>12</v>
      </c>
      <c r="AH97" s="17">
        <f t="shared" si="46"/>
        <v>1</v>
      </c>
      <c r="AI97" s="17">
        <f t="shared" si="46"/>
        <v>2</v>
      </c>
      <c r="AJ97" s="17">
        <f t="shared" si="46"/>
        <v>3</v>
      </c>
      <c r="AK97" s="17">
        <f t="shared" si="46"/>
        <v>4</v>
      </c>
      <c r="AL97" s="17">
        <f t="shared" si="46"/>
        <v>5</v>
      </c>
      <c r="AM97" s="17">
        <f t="shared" si="46"/>
        <v>6</v>
      </c>
      <c r="AN97" s="17">
        <f t="shared" si="46"/>
        <v>7</v>
      </c>
      <c r="AO97" s="17">
        <f t="shared" si="46"/>
        <v>8</v>
      </c>
      <c r="AP97" s="17">
        <f t="shared" si="46"/>
        <v>9</v>
      </c>
      <c r="AQ97" s="17">
        <f t="shared" si="46"/>
        <v>10</v>
      </c>
      <c r="AR97" s="17">
        <f t="shared" si="46"/>
        <v>11</v>
      </c>
      <c r="AS97" s="17">
        <f t="shared" si="46"/>
        <v>12</v>
      </c>
    </row>
    <row r="98" spans="2:45" outlineLevel="1" collapsed="1" x14ac:dyDescent="0.15">
      <c r="B98" s="107" t="s">
        <v>463</v>
      </c>
      <c r="J98" s="171" t="s">
        <v>464</v>
      </c>
      <c r="K98" s="171" t="s">
        <v>464</v>
      </c>
      <c r="L98" s="171" t="s">
        <v>464</v>
      </c>
      <c r="M98" s="171" t="s">
        <v>464</v>
      </c>
      <c r="N98" s="171" t="s">
        <v>464</v>
      </c>
      <c r="O98" s="171" t="s">
        <v>464</v>
      </c>
      <c r="P98" s="171" t="s">
        <v>464</v>
      </c>
      <c r="Q98" s="171" t="s">
        <v>464</v>
      </c>
      <c r="R98" s="171" t="s">
        <v>464</v>
      </c>
      <c r="S98" s="171" t="s">
        <v>464</v>
      </c>
      <c r="T98" s="171" t="s">
        <v>464</v>
      </c>
      <c r="U98" s="171" t="s">
        <v>464</v>
      </c>
      <c r="V98" s="171" t="s">
        <v>464</v>
      </c>
      <c r="W98" s="171" t="s">
        <v>464</v>
      </c>
      <c r="X98" s="171" t="s">
        <v>464</v>
      </c>
      <c r="Y98" s="171" t="s">
        <v>464</v>
      </c>
      <c r="Z98" s="171" t="s">
        <v>464</v>
      </c>
      <c r="AA98" s="171" t="s">
        <v>464</v>
      </c>
      <c r="AB98" s="171" t="s">
        <v>464</v>
      </c>
      <c r="AC98" s="171" t="s">
        <v>464</v>
      </c>
      <c r="AD98" s="171" t="s">
        <v>464</v>
      </c>
      <c r="AE98" s="171" t="s">
        <v>464</v>
      </c>
      <c r="AF98" s="171" t="s">
        <v>464</v>
      </c>
      <c r="AG98" s="171" t="s">
        <v>464</v>
      </c>
      <c r="AH98" s="171" t="s">
        <v>464</v>
      </c>
      <c r="AI98" s="171" t="s">
        <v>464</v>
      </c>
      <c r="AJ98" s="171" t="s">
        <v>464</v>
      </c>
      <c r="AK98" s="171" t="s">
        <v>464</v>
      </c>
      <c r="AL98" s="171" t="s">
        <v>464</v>
      </c>
      <c r="AM98" s="171" t="s">
        <v>464</v>
      </c>
      <c r="AN98" s="171" t="s">
        <v>464</v>
      </c>
      <c r="AO98" s="171" t="s">
        <v>464</v>
      </c>
      <c r="AP98" s="171" t="s">
        <v>464</v>
      </c>
      <c r="AQ98" s="171" t="s">
        <v>464</v>
      </c>
      <c r="AR98" s="171" t="s">
        <v>464</v>
      </c>
      <c r="AS98" s="171" t="s">
        <v>464</v>
      </c>
    </row>
    <row r="99" spans="2:45" ht="6" customHeight="1" outlineLevel="1" x14ac:dyDescent="0.15"/>
    <row r="100" spans="2:45" outlineLevel="1" x14ac:dyDescent="0.15">
      <c r="B100" s="107" t="s">
        <v>465</v>
      </c>
      <c r="J100" s="29" t="str">
        <f t="shared" ref="J100:AS100" si="47">J122</f>
        <v>Yes</v>
      </c>
      <c r="K100" s="29" t="str">
        <f t="shared" si="47"/>
        <v>Yes</v>
      </c>
      <c r="L100" s="29" t="str">
        <f t="shared" si="47"/>
        <v>Yes</v>
      </c>
      <c r="M100" s="29" t="str">
        <f t="shared" si="47"/>
        <v>Yes</v>
      </c>
      <c r="N100" s="29" t="str">
        <f t="shared" si="47"/>
        <v>Yes</v>
      </c>
      <c r="O100" s="29" t="str">
        <f t="shared" si="47"/>
        <v>Yes</v>
      </c>
      <c r="P100" s="29" t="str">
        <f t="shared" si="47"/>
        <v>Yes</v>
      </c>
      <c r="Q100" s="29" t="str">
        <f t="shared" si="47"/>
        <v>Yes</v>
      </c>
      <c r="R100" s="29" t="str">
        <f t="shared" si="47"/>
        <v>Yes</v>
      </c>
      <c r="S100" s="29" t="str">
        <f t="shared" si="47"/>
        <v>Yes</v>
      </c>
      <c r="T100" s="29" t="str">
        <f t="shared" si="47"/>
        <v>Yes</v>
      </c>
      <c r="U100" s="29" t="str">
        <f t="shared" si="47"/>
        <v>Yes</v>
      </c>
      <c r="V100" s="29" t="str">
        <f t="shared" si="47"/>
        <v>Yes</v>
      </c>
      <c r="W100" s="29" t="str">
        <f t="shared" si="47"/>
        <v>Yes</v>
      </c>
      <c r="X100" s="29" t="str">
        <f t="shared" si="47"/>
        <v>Yes</v>
      </c>
      <c r="Y100" s="29" t="str">
        <f t="shared" si="47"/>
        <v>Yes</v>
      </c>
      <c r="Z100" s="29" t="str">
        <f t="shared" si="47"/>
        <v>Yes</v>
      </c>
      <c r="AA100" s="29" t="str">
        <f t="shared" si="47"/>
        <v>Yes</v>
      </c>
      <c r="AB100" s="29" t="str">
        <f t="shared" si="47"/>
        <v>Yes</v>
      </c>
      <c r="AC100" s="29" t="str">
        <f t="shared" si="47"/>
        <v>Yes</v>
      </c>
      <c r="AD100" s="29" t="str">
        <f t="shared" si="47"/>
        <v>Yes</v>
      </c>
      <c r="AE100" s="29" t="str">
        <f t="shared" si="47"/>
        <v>Yes</v>
      </c>
      <c r="AF100" s="29" t="str">
        <f t="shared" si="47"/>
        <v>Yes</v>
      </c>
      <c r="AG100" s="29" t="str">
        <f t="shared" si="47"/>
        <v>Yes</v>
      </c>
      <c r="AH100" s="29" t="str">
        <f t="shared" si="47"/>
        <v>Yes</v>
      </c>
      <c r="AI100" s="29" t="str">
        <f t="shared" si="47"/>
        <v>Yes</v>
      </c>
      <c r="AJ100" s="29" t="str">
        <f t="shared" si="47"/>
        <v>Yes</v>
      </c>
      <c r="AK100" s="29" t="str">
        <f t="shared" si="47"/>
        <v>Yes</v>
      </c>
      <c r="AL100" s="29" t="str">
        <f t="shared" si="47"/>
        <v>Yes</v>
      </c>
      <c r="AM100" s="29" t="str">
        <f t="shared" si="47"/>
        <v>Yes</v>
      </c>
      <c r="AN100" s="29" t="str">
        <f t="shared" si="47"/>
        <v>Yes</v>
      </c>
      <c r="AO100" s="29" t="str">
        <f t="shared" si="47"/>
        <v>Yes</v>
      </c>
      <c r="AP100" s="29" t="str">
        <f t="shared" si="47"/>
        <v>Yes</v>
      </c>
      <c r="AQ100" s="29" t="str">
        <f t="shared" si="47"/>
        <v>Yes</v>
      </c>
      <c r="AR100" s="29" t="str">
        <f t="shared" si="47"/>
        <v>Yes</v>
      </c>
      <c r="AS100" s="29" t="str">
        <f t="shared" si="47"/>
        <v>Yes</v>
      </c>
    </row>
    <row r="101" spans="2:45" outlineLevel="1" x14ac:dyDescent="0.15">
      <c r="B101" s="107" t="s">
        <v>466</v>
      </c>
      <c r="J101" s="171" t="s">
        <v>467</v>
      </c>
      <c r="K101" s="171" t="s">
        <v>467</v>
      </c>
      <c r="L101" s="171" t="s">
        <v>467</v>
      </c>
      <c r="M101" s="171" t="s">
        <v>467</v>
      </c>
      <c r="N101" s="171" t="s">
        <v>467</v>
      </c>
      <c r="O101" s="171" t="s">
        <v>467</v>
      </c>
      <c r="P101" s="171" t="s">
        <v>467</v>
      </c>
      <c r="Q101" s="171" t="s">
        <v>467</v>
      </c>
      <c r="R101" s="171" t="s">
        <v>467</v>
      </c>
      <c r="S101" s="171" t="s">
        <v>467</v>
      </c>
      <c r="T101" s="171" t="s">
        <v>467</v>
      </c>
      <c r="U101" s="171" t="s">
        <v>467</v>
      </c>
      <c r="V101" s="171" t="s">
        <v>467</v>
      </c>
      <c r="W101" s="171" t="s">
        <v>467</v>
      </c>
      <c r="X101" s="171" t="s">
        <v>467</v>
      </c>
      <c r="Y101" s="171" t="s">
        <v>467</v>
      </c>
      <c r="Z101" s="171" t="s">
        <v>467</v>
      </c>
      <c r="AA101" s="171" t="s">
        <v>467</v>
      </c>
      <c r="AB101" s="171" t="s">
        <v>467</v>
      </c>
      <c r="AC101" s="171" t="s">
        <v>467</v>
      </c>
      <c r="AD101" s="171" t="s">
        <v>467</v>
      </c>
      <c r="AE101" s="171" t="s">
        <v>467</v>
      </c>
      <c r="AF101" s="171" t="s">
        <v>467</v>
      </c>
      <c r="AG101" s="171" t="s">
        <v>467</v>
      </c>
      <c r="AH101" s="171" t="s">
        <v>467</v>
      </c>
      <c r="AI101" s="171" t="s">
        <v>467</v>
      </c>
      <c r="AJ101" s="171" t="s">
        <v>467</v>
      </c>
      <c r="AK101" s="171" t="s">
        <v>467</v>
      </c>
      <c r="AL101" s="171" t="s">
        <v>467</v>
      </c>
      <c r="AM101" s="171" t="s">
        <v>467</v>
      </c>
      <c r="AN101" s="171" t="s">
        <v>467</v>
      </c>
      <c r="AO101" s="171" t="s">
        <v>467</v>
      </c>
      <c r="AP101" s="171" t="s">
        <v>467</v>
      </c>
      <c r="AQ101" s="171" t="s">
        <v>467</v>
      </c>
      <c r="AR101" s="171" t="s">
        <v>467</v>
      </c>
      <c r="AS101" s="171" t="s">
        <v>467</v>
      </c>
    </row>
    <row r="102" spans="2:45" outlineLevel="1" x14ac:dyDescent="0.15">
      <c r="B102" s="107" t="s">
        <v>468</v>
      </c>
      <c r="J102" s="172">
        <v>0</v>
      </c>
      <c r="K102" s="172">
        <v>0</v>
      </c>
      <c r="L102" s="172">
        <v>0</v>
      </c>
      <c r="M102" s="172">
        <v>0</v>
      </c>
      <c r="N102" s="172">
        <v>0</v>
      </c>
      <c r="O102" s="172">
        <v>0</v>
      </c>
      <c r="P102" s="172">
        <v>0</v>
      </c>
      <c r="Q102" s="172">
        <v>0</v>
      </c>
      <c r="R102" s="172">
        <v>0</v>
      </c>
      <c r="S102" s="172">
        <v>0</v>
      </c>
      <c r="T102" s="172">
        <v>0</v>
      </c>
      <c r="U102" s="172">
        <v>0</v>
      </c>
      <c r="V102" s="172">
        <v>0</v>
      </c>
      <c r="W102" s="172">
        <v>0</v>
      </c>
      <c r="X102" s="172">
        <v>0</v>
      </c>
      <c r="Y102" s="172">
        <v>0</v>
      </c>
      <c r="Z102" s="172">
        <v>0</v>
      </c>
      <c r="AA102" s="172">
        <v>0</v>
      </c>
      <c r="AB102" s="172">
        <v>0</v>
      </c>
      <c r="AC102" s="172">
        <v>0</v>
      </c>
      <c r="AD102" s="172">
        <v>0</v>
      </c>
      <c r="AE102" s="172">
        <v>0</v>
      </c>
      <c r="AF102" s="172">
        <v>0</v>
      </c>
      <c r="AG102" s="172">
        <v>0</v>
      </c>
      <c r="AH102" s="172">
        <v>0</v>
      </c>
      <c r="AI102" s="172">
        <v>0</v>
      </c>
      <c r="AJ102" s="172">
        <v>0</v>
      </c>
      <c r="AK102" s="172">
        <v>0</v>
      </c>
      <c r="AL102" s="172">
        <v>0</v>
      </c>
      <c r="AM102" s="172">
        <v>0</v>
      </c>
      <c r="AN102" s="172">
        <v>0</v>
      </c>
      <c r="AO102" s="172">
        <v>0</v>
      </c>
      <c r="AP102" s="172">
        <v>0</v>
      </c>
      <c r="AQ102" s="172">
        <v>0</v>
      </c>
      <c r="AR102" s="172">
        <v>0</v>
      </c>
      <c r="AS102" s="172">
        <v>0</v>
      </c>
    </row>
    <row r="103" spans="2:45" outlineLevel="1" x14ac:dyDescent="0.15">
      <c r="B103" s="107" t="s">
        <v>469</v>
      </c>
      <c r="J103" s="165">
        <v>0</v>
      </c>
      <c r="K103" s="165">
        <v>0</v>
      </c>
      <c r="L103" s="165">
        <v>0</v>
      </c>
      <c r="M103" s="165">
        <v>0</v>
      </c>
      <c r="N103" s="165">
        <v>0</v>
      </c>
      <c r="O103" s="165">
        <v>0</v>
      </c>
      <c r="P103" s="165">
        <v>0</v>
      </c>
      <c r="Q103" s="165">
        <v>0</v>
      </c>
      <c r="R103" s="165">
        <v>0</v>
      </c>
      <c r="S103" s="165">
        <v>0</v>
      </c>
      <c r="T103" s="165">
        <v>0</v>
      </c>
      <c r="U103" s="165">
        <v>0</v>
      </c>
      <c r="V103" s="165">
        <v>0</v>
      </c>
      <c r="W103" s="165">
        <v>0</v>
      </c>
      <c r="X103" s="165">
        <v>0</v>
      </c>
      <c r="Y103" s="165">
        <v>0</v>
      </c>
      <c r="Z103" s="165">
        <v>0</v>
      </c>
      <c r="AA103" s="165">
        <v>0</v>
      </c>
      <c r="AB103" s="165">
        <v>0</v>
      </c>
      <c r="AC103" s="165">
        <v>0</v>
      </c>
      <c r="AD103" s="165">
        <v>0</v>
      </c>
      <c r="AE103" s="165">
        <v>0</v>
      </c>
      <c r="AF103" s="165">
        <v>0</v>
      </c>
      <c r="AG103" s="165">
        <v>0</v>
      </c>
      <c r="AH103" s="165">
        <v>0</v>
      </c>
      <c r="AI103" s="165">
        <v>0</v>
      </c>
      <c r="AJ103" s="165">
        <v>0</v>
      </c>
      <c r="AK103" s="165">
        <v>0</v>
      </c>
      <c r="AL103" s="165">
        <v>0</v>
      </c>
      <c r="AM103" s="165">
        <v>0</v>
      </c>
      <c r="AN103" s="165">
        <v>0</v>
      </c>
      <c r="AO103" s="165">
        <v>0</v>
      </c>
      <c r="AP103" s="165">
        <v>0</v>
      </c>
      <c r="AQ103" s="165">
        <v>0</v>
      </c>
      <c r="AR103" s="165">
        <v>0</v>
      </c>
      <c r="AS103" s="165">
        <v>0</v>
      </c>
    </row>
    <row r="104" spans="2:45" outlineLevel="1" x14ac:dyDescent="0.15">
      <c r="B104" s="107" t="s">
        <v>470</v>
      </c>
      <c r="J104" s="166">
        <v>1</v>
      </c>
      <c r="K104" s="166">
        <v>1</v>
      </c>
      <c r="L104" s="166">
        <v>1</v>
      </c>
      <c r="M104" s="166">
        <v>1</v>
      </c>
      <c r="N104" s="166">
        <v>1</v>
      </c>
      <c r="O104" s="166">
        <v>1</v>
      </c>
      <c r="P104" s="166">
        <v>1</v>
      </c>
      <c r="Q104" s="166">
        <v>1</v>
      </c>
      <c r="R104" s="166">
        <v>1</v>
      </c>
      <c r="S104" s="166">
        <v>1</v>
      </c>
      <c r="T104" s="166">
        <v>1</v>
      </c>
      <c r="U104" s="166">
        <v>1</v>
      </c>
      <c r="V104" s="166">
        <v>1</v>
      </c>
      <c r="W104" s="166">
        <v>1</v>
      </c>
      <c r="X104" s="166">
        <v>1</v>
      </c>
      <c r="Y104" s="166">
        <v>1</v>
      </c>
      <c r="Z104" s="166">
        <v>1</v>
      </c>
      <c r="AA104" s="166">
        <v>1</v>
      </c>
      <c r="AB104" s="166">
        <v>1</v>
      </c>
      <c r="AC104" s="166">
        <v>1</v>
      </c>
      <c r="AD104" s="166">
        <v>1</v>
      </c>
      <c r="AE104" s="166">
        <v>1</v>
      </c>
      <c r="AF104" s="166">
        <v>1</v>
      </c>
      <c r="AG104" s="166">
        <v>1</v>
      </c>
      <c r="AH104" s="166">
        <v>1</v>
      </c>
      <c r="AI104" s="166">
        <v>1</v>
      </c>
      <c r="AJ104" s="166">
        <v>1</v>
      </c>
      <c r="AK104" s="166">
        <v>1</v>
      </c>
      <c r="AL104" s="166">
        <v>1</v>
      </c>
      <c r="AM104" s="166">
        <v>1</v>
      </c>
      <c r="AN104" s="166">
        <v>1</v>
      </c>
      <c r="AO104" s="166">
        <v>1</v>
      </c>
      <c r="AP104" s="166">
        <v>1</v>
      </c>
      <c r="AQ104" s="166">
        <v>1</v>
      </c>
      <c r="AR104" s="166">
        <v>1</v>
      </c>
      <c r="AS104" s="166">
        <v>1</v>
      </c>
    </row>
    <row r="105" spans="2:45" ht="6" customHeight="1" outlineLevel="1" x14ac:dyDescent="0.15"/>
    <row r="106" spans="2:45" outlineLevel="1" x14ac:dyDescent="0.15">
      <c r="B106" s="4" t="b">
        <v>1</v>
      </c>
      <c r="C106" s="107" t="s">
        <v>471</v>
      </c>
    </row>
    <row r="107" spans="2:45" hidden="1" outlineLevel="2" x14ac:dyDescent="0.15"/>
    <row r="108" spans="2:45" hidden="1" outlineLevel="2" x14ac:dyDescent="0.15">
      <c r="B108" s="16" t="s">
        <v>472</v>
      </c>
    </row>
    <row r="109" spans="2:45" hidden="1" outlineLevel="2" x14ac:dyDescent="0.15">
      <c r="B109" s="107" t="s">
        <v>473</v>
      </c>
      <c r="J109" s="14">
        <f>Financials!J157</f>
        <v>7403</v>
      </c>
      <c r="K109" s="14">
        <f ca="1">Financials!K157</f>
        <v>290.52815025089512</v>
      </c>
      <c r="L109" s="14">
        <f ca="1">Financials!L157</f>
        <v>-7592.1959496335512</v>
      </c>
      <c r="M109" s="14">
        <f ca="1">Financials!M157</f>
        <v>-15321.661209389824</v>
      </c>
      <c r="N109" s="14">
        <f ca="1">Financials!N157</f>
        <v>-22014.199503167602</v>
      </c>
      <c r="O109" s="14">
        <f ca="1">Financials!O157</f>
        <v>-32378.982977237854</v>
      </c>
      <c r="P109" s="14">
        <f ca="1">Financials!P157</f>
        <v>-40533.519575961873</v>
      </c>
      <c r="Q109" s="14">
        <f ca="1">Financials!Q157</f>
        <v>-48953.767948939654</v>
      </c>
      <c r="R109" s="14">
        <f ca="1">Financials!R157</f>
        <v>-57406.661374364747</v>
      </c>
      <c r="S109" s="14">
        <f ca="1">Financials!S157</f>
        <v>-67051.362793635853</v>
      </c>
      <c r="T109" s="14">
        <f ca="1">Financials!T157</f>
        <v>-76023.103190794282</v>
      </c>
      <c r="U109" s="14">
        <f ca="1">Financials!U157</f>
        <v>-84811.903555238721</v>
      </c>
      <c r="V109" s="14">
        <f ca="1">Financials!V157</f>
        <v>-94259.572887562739</v>
      </c>
      <c r="W109" s="14">
        <f ca="1">Financials!W157</f>
        <v>-104178.08387669535</v>
      </c>
      <c r="X109" s="14">
        <f ca="1">Financials!X157</f>
        <v>-111093.8968754598</v>
      </c>
      <c r="Y109" s="14">
        <f ca="1">Financials!Y157</f>
        <v>-117705.24020024833</v>
      </c>
      <c r="Z109" s="14">
        <f ca="1">Financials!Z157</f>
        <v>-123408.84484802611</v>
      </c>
      <c r="AA109" s="14">
        <f ca="1">Financials!AA157</f>
        <v>-133809.78564818669</v>
      </c>
      <c r="AB109" s="14">
        <f ca="1">Financials!AB157</f>
        <v>-141388.12755694942</v>
      </c>
      <c r="AC109" s="14">
        <f ca="1">Financials!AC157</f>
        <v>-148110.7465667272</v>
      </c>
      <c r="AD109" s="14">
        <f ca="1">Financials!AD157</f>
        <v>-154822.61371571358</v>
      </c>
      <c r="AE109" s="14">
        <f ca="1">Financials!AE157</f>
        <v>-163125.67944282468</v>
      </c>
      <c r="AF109" s="14">
        <f ca="1">Financials!AF157</f>
        <v>-170701.39828966052</v>
      </c>
      <c r="AG109" s="14">
        <f ca="1">Financials!AG157</f>
        <v>-177814.29611490495</v>
      </c>
      <c r="AH109" s="14">
        <f ca="1">Financials!AH157</f>
        <v>-185931.82053636445</v>
      </c>
      <c r="AI109" s="14">
        <f ca="1">Financials!AI157</f>
        <v>-194547.57952807771</v>
      </c>
      <c r="AJ109" s="14">
        <f ca="1">Financials!AJ157</f>
        <v>-198999.78749492214</v>
      </c>
      <c r="AK109" s="14">
        <f ca="1">Financials!AK157</f>
        <v>-203340.77960525907</v>
      </c>
      <c r="AL109" s="14">
        <f ca="1">Financials!AL157</f>
        <v>-207440.50738303686</v>
      </c>
      <c r="AM109" s="14">
        <f ca="1">Financials!AM157</f>
        <v>-216602.4865691071</v>
      </c>
      <c r="AN109" s="14">
        <f ca="1">Financials!AN157</f>
        <v>-222592.16569626983</v>
      </c>
      <c r="AO109" s="14">
        <f ca="1">Financials!AO157</f>
        <v>-227867.9625140476</v>
      </c>
      <c r="AP109" s="14">
        <f ca="1">Financials!AP157</f>
        <v>-232770.47321650494</v>
      </c>
      <c r="AQ109" s="14">
        <f ca="1">Financials!AQ157</f>
        <v>-239912.19325145605</v>
      </c>
      <c r="AR109" s="14">
        <f ca="1">Financials!AR157</f>
        <v>-246368.95111333704</v>
      </c>
      <c r="AS109" s="14">
        <f ca="1">Financials!AS157</f>
        <v>-251883.29317698147</v>
      </c>
    </row>
    <row r="110" spans="2:45" hidden="1" outlineLevel="2" x14ac:dyDescent="0.15">
      <c r="B110" s="107" t="s">
        <v>474</v>
      </c>
      <c r="J110" s="14">
        <f ca="1">Financials!J78</f>
        <v>-7112.4718497491049</v>
      </c>
      <c r="K110" s="14">
        <f ca="1">Financials!K78</f>
        <v>-7882.7240998844463</v>
      </c>
      <c r="L110" s="14">
        <f ca="1">Financials!L78</f>
        <v>-7729.4652597562726</v>
      </c>
      <c r="M110" s="14">
        <f ca="1">Financials!M78</f>
        <v>-6692.5382937777777</v>
      </c>
      <c r="N110" s="14">
        <f ca="1">Financials!N78</f>
        <v>-10364.783474070253</v>
      </c>
      <c r="O110" s="14">
        <f ca="1">Financials!O78</f>
        <v>-8154.5365987240157</v>
      </c>
      <c r="P110" s="14">
        <f ca="1">Financials!P78</f>
        <v>-8420.2483729777778</v>
      </c>
      <c r="Q110" s="14">
        <f ca="1">Financials!Q78</f>
        <v>-8452.8934254250908</v>
      </c>
      <c r="R110" s="14">
        <f ca="1">Financials!R78</f>
        <v>-9644.7014192711104</v>
      </c>
      <c r="S110" s="14">
        <f ca="1">Financials!S78</f>
        <v>-8971.7403971584245</v>
      </c>
      <c r="T110" s="14">
        <f ca="1">Financials!T78</f>
        <v>-8788.8003644444452</v>
      </c>
      <c r="U110" s="14">
        <f ca="1">Financials!U78</f>
        <v>-9447.6693323240142</v>
      </c>
      <c r="V110" s="14">
        <f ca="1">Financials!V78</f>
        <v>-9918.5109891326174</v>
      </c>
      <c r="W110" s="14">
        <f ca="1">Financials!W78</f>
        <v>-6915.8129987644452</v>
      </c>
      <c r="X110" s="14">
        <f ca="1">Financials!X78</f>
        <v>-6611.3433247885323</v>
      </c>
      <c r="Y110" s="14">
        <f ca="1">Financials!Y78</f>
        <v>-5703.6046477777791</v>
      </c>
      <c r="Z110" s="14">
        <f ca="1">Financials!Z78</f>
        <v>-10400.940800160573</v>
      </c>
      <c r="AA110" s="14">
        <f ca="1">Financials!AA78</f>
        <v>-7578.3419087627253</v>
      </c>
      <c r="AB110" s="14">
        <f ca="1">Financials!AB78</f>
        <v>-6722.619009777778</v>
      </c>
      <c r="AC110" s="14">
        <f ca="1">Financials!AC78</f>
        <v>-6711.8671489863809</v>
      </c>
      <c r="AD110" s="14">
        <f ca="1">Financials!AD78</f>
        <v>-8303.0657271111122</v>
      </c>
      <c r="AE110" s="14">
        <f ca="1">Financials!AE78</f>
        <v>-7575.7188468358427</v>
      </c>
      <c r="AF110" s="14">
        <f ca="1">Financials!AF78</f>
        <v>-7112.8978252444449</v>
      </c>
      <c r="AG110" s="14">
        <f ca="1">Financials!AG78</f>
        <v>-8117.5244214594995</v>
      </c>
      <c r="AH110" s="14">
        <f ca="1">Financials!AH78</f>
        <v>-8615.7589917132627</v>
      </c>
      <c r="AI110" s="14">
        <f ca="1">Financials!AI78</f>
        <v>-4452.207966844443</v>
      </c>
      <c r="AJ110" s="14">
        <f ca="1">Financials!AJ78</f>
        <v>-4340.992110336917</v>
      </c>
      <c r="AK110" s="14">
        <f ca="1">Financials!AK78</f>
        <v>-4099.727777777779</v>
      </c>
      <c r="AL110" s="14">
        <f ca="1">Financials!AL78</f>
        <v>-9161.9791860702535</v>
      </c>
      <c r="AM110" s="14">
        <f ca="1">Financials!AM78</f>
        <v>-5989.6791271627235</v>
      </c>
      <c r="AN110" s="14">
        <f ca="1">Financials!AN78</f>
        <v>-5275.7968177777784</v>
      </c>
      <c r="AO110" s="14">
        <f ca="1">Financials!AO78</f>
        <v>-4902.5107024573463</v>
      </c>
      <c r="AP110" s="14">
        <f ca="1">Financials!AP78</f>
        <v>-7141.7200349511104</v>
      </c>
      <c r="AQ110" s="14">
        <f ca="1">Financials!AQ78</f>
        <v>-6456.7578618810039</v>
      </c>
      <c r="AR110" s="14">
        <f ca="1">Financials!AR78</f>
        <v>-5514.3420636444425</v>
      </c>
      <c r="AS110" s="14">
        <f ca="1">Financials!AS78</f>
        <v>-6962.8895105949832</v>
      </c>
    </row>
    <row r="111" spans="2:45" hidden="1" outlineLevel="2" x14ac:dyDescent="0.15">
      <c r="B111" s="107" t="s">
        <v>475</v>
      </c>
      <c r="J111" s="14">
        <f>Financials!J84</f>
        <v>11206</v>
      </c>
      <c r="K111" s="14">
        <f ca="1">Financials!K84</f>
        <v>56366.869850494637</v>
      </c>
      <c r="L111" s="14">
        <f ca="1">Financials!L84</f>
        <v>44565.745398407664</v>
      </c>
      <c r="M111" s="14">
        <f ca="1">Financials!M84</f>
        <v>93791.017492155705</v>
      </c>
      <c r="N111" s="14">
        <f ca="1">Financials!N84</f>
        <v>99434.209346422373</v>
      </c>
      <c r="O111" s="14">
        <f ca="1">Financials!O84</f>
        <v>77892.898421634411</v>
      </c>
      <c r="P111" s="14">
        <f ca="1">Financials!P84</f>
        <v>86016.935079136339</v>
      </c>
      <c r="Q111" s="14">
        <f ca="1">Financials!Q84</f>
        <v>90029.52162581333</v>
      </c>
      <c r="R111" s="14">
        <f ca="1">Financials!R84</f>
        <v>69976.570193967302</v>
      </c>
      <c r="S111" s="14">
        <f ca="1">Financials!S84</f>
        <v>76726.490789144591</v>
      </c>
      <c r="T111" s="14">
        <f ca="1">Financials!T84</f>
        <v>79679.59382603319</v>
      </c>
      <c r="U111" s="14">
        <f ca="1">Financials!U84</f>
        <v>59829.112587495554</v>
      </c>
      <c r="V111" s="14">
        <f ca="1">Financials!V84</f>
        <v>66932.032226762138</v>
      </c>
      <c r="W111" s="14">
        <f ca="1">Financials!W84</f>
        <v>68782.986123983646</v>
      </c>
      <c r="X111" s="14">
        <f ca="1">Financials!X84</f>
        <v>50936.458049791559</v>
      </c>
      <c r="Y111" s="14">
        <f ca="1">Financials!Y84</f>
        <v>60985.385742811166</v>
      </c>
      <c r="Z111" s="14">
        <f ca="1">Financials!Z84</f>
        <v>67534.682810026221</v>
      </c>
      <c r="AA111" s="14">
        <f ca="1">Financials!AA84</f>
        <v>45599.886950905355</v>
      </c>
      <c r="AB111" s="14">
        <f ca="1">Financials!AB84</f>
        <v>54709.440588498903</v>
      </c>
      <c r="AC111" s="14">
        <f ca="1">Financials!AC84</f>
        <v>60582.755592301051</v>
      </c>
      <c r="AD111" s="14">
        <f ca="1">Financials!AD84</f>
        <v>42430.339608888578</v>
      </c>
      <c r="AE111" s="14">
        <f ca="1">Financials!AE84</f>
        <v>50545.550148553099</v>
      </c>
      <c r="AF111" s="14">
        <f ca="1">Financials!AF84</f>
        <v>55150.308436000843</v>
      </c>
      <c r="AG111" s="14">
        <f ca="1">Financials!AG84</f>
        <v>36669.491088300201</v>
      </c>
      <c r="AH111" s="14">
        <f ca="1">Financials!AH84</f>
        <v>45162.729399252457</v>
      </c>
      <c r="AI111" s="14">
        <f ca="1">Financials!AI84</f>
        <v>48349.556505764289</v>
      </c>
      <c r="AJ111" s="14">
        <f ca="1">Financials!AJ84</f>
        <v>32660.58119464085</v>
      </c>
      <c r="AK111" s="14">
        <f ca="1">Financials!AK84</f>
        <v>44822.294238204726</v>
      </c>
      <c r="AL111" s="14">
        <f ca="1">Financials!AL84</f>
        <v>53015.100646806874</v>
      </c>
      <c r="AM111" s="14">
        <f ca="1">Financials!AM84</f>
        <v>32120.85810328343</v>
      </c>
      <c r="AN111" s="14">
        <f ca="1">Financials!AN84</f>
        <v>42736.430529151818</v>
      </c>
      <c r="AO111" s="14">
        <f ca="1">Financials!AO84</f>
        <v>50142.804681753965</v>
      </c>
      <c r="AP111" s="14">
        <f ca="1">Financials!AP84</f>
        <v>33324.732340449875</v>
      </c>
      <c r="AQ111" s="14">
        <f ca="1">Financials!AQ84</f>
        <v>42517.262348519042</v>
      </c>
      <c r="AR111" s="14">
        <f ca="1">Financials!AR84</f>
        <v>48200.992636860552</v>
      </c>
      <c r="AS111" s="14">
        <f ca="1">Financials!AS84</f>
        <v>31045.245095313883</v>
      </c>
    </row>
    <row r="112" spans="2:45" hidden="1" outlineLevel="2" x14ac:dyDescent="0.15">
      <c r="B112" s="107" t="s">
        <v>476</v>
      </c>
      <c r="J112" s="14">
        <f ca="1">Financials!J286</f>
        <v>45160.869850494637</v>
      </c>
      <c r="K112" s="14">
        <f ca="1">Financials!K286</f>
        <v>-11801.124452086973</v>
      </c>
      <c r="L112" s="14">
        <f ca="1">Financials!L286</f>
        <v>49225.272093748041</v>
      </c>
      <c r="M112" s="14">
        <f ca="1">Financials!M286</f>
        <v>5643.1918542666654</v>
      </c>
      <c r="N112" s="14">
        <f ca="1">Financials!N286</f>
        <v>-21541.310924787958</v>
      </c>
      <c r="O112" s="14">
        <f ca="1">Financials!O286</f>
        <v>8124.0366575019361</v>
      </c>
      <c r="P112" s="14">
        <f ca="1">Financials!P286</f>
        <v>4012.5865466769901</v>
      </c>
      <c r="Q112" s="14">
        <f ca="1">Financials!Q286</f>
        <v>-20052.951431846024</v>
      </c>
      <c r="R112" s="14">
        <f ca="1">Financials!R286</f>
        <v>6749.9205951772892</v>
      </c>
      <c r="S112" s="14">
        <f ca="1">Financials!S286</f>
        <v>2953.1030368886022</v>
      </c>
      <c r="T112" s="14">
        <f ca="1">Financials!T286</f>
        <v>-19850.481238537635</v>
      </c>
      <c r="U112" s="14">
        <f ca="1">Financials!U286</f>
        <v>7102.9196392665808</v>
      </c>
      <c r="V112" s="14">
        <f ca="1">Financials!V286</f>
        <v>1850.9538972215059</v>
      </c>
      <c r="W112" s="14">
        <f ca="1">Financials!W286</f>
        <v>-17846.528074192091</v>
      </c>
      <c r="X112" s="14">
        <f ca="1">Financials!X286</f>
        <v>10048.92769301961</v>
      </c>
      <c r="Y112" s="14">
        <f ca="1">Financials!Y286</f>
        <v>6549.2970672150523</v>
      </c>
      <c r="Z112" s="14">
        <f ca="1">Financials!Z286</f>
        <v>-21934.795859120866</v>
      </c>
      <c r="AA112" s="14">
        <f ca="1">Financials!AA286</f>
        <v>9109.553637593548</v>
      </c>
      <c r="AB112" s="14">
        <f ca="1">Financials!AB286</f>
        <v>5873.3150038021504</v>
      </c>
      <c r="AC112" s="14">
        <f ca="1">Financials!AC286</f>
        <v>-18152.415983412469</v>
      </c>
      <c r="AD112" s="14">
        <f ca="1">Financials!AD286</f>
        <v>8115.2105396645175</v>
      </c>
      <c r="AE112" s="14">
        <f ca="1">Financials!AE286</f>
        <v>4604.758287447743</v>
      </c>
      <c r="AF112" s="14">
        <f ca="1">Financials!AF286</f>
        <v>-18480.817347700642</v>
      </c>
      <c r="AG112" s="14">
        <f ca="1">Financials!AG286</f>
        <v>8493.2383109522543</v>
      </c>
      <c r="AH112" s="14">
        <f ca="1">Financials!AH286</f>
        <v>3186.8271065118288</v>
      </c>
      <c r="AI112" s="14">
        <f ca="1">Financials!AI286</f>
        <v>-15688.97531112344</v>
      </c>
      <c r="AJ112" s="14">
        <f ca="1">Financials!AJ286</f>
        <v>12161.713043563876</v>
      </c>
      <c r="AK112" s="14">
        <f ca="1">Financials!AK286</f>
        <v>8192.8064086021495</v>
      </c>
      <c r="AL112" s="14">
        <f ca="1">Financials!AL286</f>
        <v>-20894.242543523444</v>
      </c>
      <c r="AM112" s="14">
        <f ca="1">Financials!AM286</f>
        <v>10615.572425868388</v>
      </c>
      <c r="AN112" s="14">
        <f ca="1">Financials!AN286</f>
        <v>7406.3741526021504</v>
      </c>
      <c r="AO112" s="14">
        <f ca="1">Financials!AO286</f>
        <v>-16818.072341304087</v>
      </c>
      <c r="AP112" s="14">
        <f ca="1">Financials!AP286</f>
        <v>9192.5300080691632</v>
      </c>
      <c r="AQ112" s="14">
        <f ca="1">Financials!AQ286</f>
        <v>5683.7302883415068</v>
      </c>
      <c r="AR112" s="14">
        <f ca="1">Financials!AR286</f>
        <v>-17155.747541546669</v>
      </c>
      <c r="AS112" s="14">
        <f ca="1">Financials!AS286</f>
        <v>9648.8869740185801</v>
      </c>
    </row>
    <row r="113" spans="2:45" outlineLevel="1" collapsed="1" x14ac:dyDescent="0.15"/>
    <row r="114" spans="2:45" outlineLevel="1" x14ac:dyDescent="0.15">
      <c r="B114" s="108" t="s">
        <v>477</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row>
    <row r="115" spans="2:45" outlineLevel="1" x14ac:dyDescent="0.15"/>
    <row r="116" spans="2:45" outlineLevel="1" x14ac:dyDescent="0.15">
      <c r="B116" s="16" t="s">
        <v>478</v>
      </c>
    </row>
    <row r="117" spans="2:45" outlineLevel="1" x14ac:dyDescent="0.15">
      <c r="B117" s="107" t="str">
        <f>B$9</f>
        <v>Financial Year</v>
      </c>
      <c r="J117" s="28">
        <f t="shared" ref="J117:AS117" si="48">J$9</f>
        <v>2024</v>
      </c>
      <c r="K117" s="28">
        <f t="shared" si="48"/>
        <v>2024</v>
      </c>
      <c r="L117" s="28">
        <f t="shared" si="48"/>
        <v>2024</v>
      </c>
      <c r="M117" s="28">
        <f t="shared" si="48"/>
        <v>2024</v>
      </c>
      <c r="N117" s="28">
        <f t="shared" si="48"/>
        <v>2024</v>
      </c>
      <c r="O117" s="28">
        <f t="shared" si="48"/>
        <v>2024</v>
      </c>
      <c r="P117" s="28">
        <f t="shared" si="48"/>
        <v>2024</v>
      </c>
      <c r="Q117" s="28">
        <f t="shared" si="48"/>
        <v>2024</v>
      </c>
      <c r="R117" s="28">
        <f t="shared" si="48"/>
        <v>2024</v>
      </c>
      <c r="S117" s="28">
        <f t="shared" si="48"/>
        <v>2024</v>
      </c>
      <c r="T117" s="28">
        <f t="shared" si="48"/>
        <v>2024</v>
      </c>
      <c r="U117" s="28">
        <f t="shared" si="48"/>
        <v>2024</v>
      </c>
      <c r="V117" s="28">
        <f t="shared" si="48"/>
        <v>2025</v>
      </c>
      <c r="W117" s="28">
        <f t="shared" si="48"/>
        <v>2025</v>
      </c>
      <c r="X117" s="28">
        <f t="shared" si="48"/>
        <v>2025</v>
      </c>
      <c r="Y117" s="28">
        <f t="shared" si="48"/>
        <v>2025</v>
      </c>
      <c r="Z117" s="28">
        <f t="shared" si="48"/>
        <v>2025</v>
      </c>
      <c r="AA117" s="28">
        <f t="shared" si="48"/>
        <v>2025</v>
      </c>
      <c r="AB117" s="28">
        <f t="shared" si="48"/>
        <v>2025</v>
      </c>
      <c r="AC117" s="28">
        <f t="shared" si="48"/>
        <v>2025</v>
      </c>
      <c r="AD117" s="28">
        <f t="shared" si="48"/>
        <v>2025</v>
      </c>
      <c r="AE117" s="28">
        <f t="shared" si="48"/>
        <v>2025</v>
      </c>
      <c r="AF117" s="28">
        <f t="shared" si="48"/>
        <v>2025</v>
      </c>
      <c r="AG117" s="28">
        <f t="shared" si="48"/>
        <v>2025</v>
      </c>
      <c r="AH117" s="28">
        <f t="shared" si="48"/>
        <v>2026</v>
      </c>
      <c r="AI117" s="28">
        <f t="shared" si="48"/>
        <v>2026</v>
      </c>
      <c r="AJ117" s="28">
        <f t="shared" si="48"/>
        <v>2026</v>
      </c>
      <c r="AK117" s="28">
        <f t="shared" si="48"/>
        <v>2026</v>
      </c>
      <c r="AL117" s="28">
        <f t="shared" si="48"/>
        <v>2026</v>
      </c>
      <c r="AM117" s="28">
        <f t="shared" si="48"/>
        <v>2026</v>
      </c>
      <c r="AN117" s="28">
        <f t="shared" si="48"/>
        <v>2026</v>
      </c>
      <c r="AO117" s="28">
        <f t="shared" si="48"/>
        <v>2026</v>
      </c>
      <c r="AP117" s="28">
        <f t="shared" si="48"/>
        <v>2026</v>
      </c>
      <c r="AQ117" s="28">
        <f t="shared" si="48"/>
        <v>2026</v>
      </c>
      <c r="AR117" s="28">
        <f t="shared" si="48"/>
        <v>2026</v>
      </c>
      <c r="AS117" s="28">
        <f t="shared" si="48"/>
        <v>2026</v>
      </c>
    </row>
    <row r="118" spans="2:45" hidden="1" outlineLevel="2" x14ac:dyDescent="0.15">
      <c r="B118" s="107" t="s">
        <v>462</v>
      </c>
      <c r="J118" s="17">
        <f t="shared" ref="J118:AS118" si="49">J$10</f>
        <v>1</v>
      </c>
      <c r="K118" s="17">
        <f t="shared" si="49"/>
        <v>2</v>
      </c>
      <c r="L118" s="17">
        <f t="shared" si="49"/>
        <v>3</v>
      </c>
      <c r="M118" s="17">
        <f t="shared" si="49"/>
        <v>4</v>
      </c>
      <c r="N118" s="17">
        <f t="shared" si="49"/>
        <v>5</v>
      </c>
      <c r="O118" s="17">
        <f t="shared" si="49"/>
        <v>6</v>
      </c>
      <c r="P118" s="17">
        <f t="shared" si="49"/>
        <v>7</v>
      </c>
      <c r="Q118" s="17">
        <f t="shared" si="49"/>
        <v>8</v>
      </c>
      <c r="R118" s="17">
        <f t="shared" si="49"/>
        <v>9</v>
      </c>
      <c r="S118" s="17">
        <f t="shared" si="49"/>
        <v>10</v>
      </c>
      <c r="T118" s="17">
        <f t="shared" si="49"/>
        <v>11</v>
      </c>
      <c r="U118" s="17">
        <f t="shared" si="49"/>
        <v>12</v>
      </c>
      <c r="V118" s="17">
        <f t="shared" si="49"/>
        <v>1</v>
      </c>
      <c r="W118" s="17">
        <f t="shared" si="49"/>
        <v>2</v>
      </c>
      <c r="X118" s="17">
        <f t="shared" si="49"/>
        <v>3</v>
      </c>
      <c r="Y118" s="17">
        <f t="shared" si="49"/>
        <v>4</v>
      </c>
      <c r="Z118" s="17">
        <f t="shared" si="49"/>
        <v>5</v>
      </c>
      <c r="AA118" s="17">
        <f t="shared" si="49"/>
        <v>6</v>
      </c>
      <c r="AB118" s="17">
        <f t="shared" si="49"/>
        <v>7</v>
      </c>
      <c r="AC118" s="17">
        <f t="shared" si="49"/>
        <v>8</v>
      </c>
      <c r="AD118" s="17">
        <f t="shared" si="49"/>
        <v>9</v>
      </c>
      <c r="AE118" s="17">
        <f t="shared" si="49"/>
        <v>10</v>
      </c>
      <c r="AF118" s="17">
        <f t="shared" si="49"/>
        <v>11</v>
      </c>
      <c r="AG118" s="17">
        <f t="shared" si="49"/>
        <v>12</v>
      </c>
      <c r="AH118" s="17">
        <f t="shared" si="49"/>
        <v>1</v>
      </c>
      <c r="AI118" s="17">
        <f t="shared" si="49"/>
        <v>2</v>
      </c>
      <c r="AJ118" s="17">
        <f t="shared" si="49"/>
        <v>3</v>
      </c>
      <c r="AK118" s="17">
        <f t="shared" si="49"/>
        <v>4</v>
      </c>
      <c r="AL118" s="17">
        <f t="shared" si="49"/>
        <v>5</v>
      </c>
      <c r="AM118" s="17">
        <f t="shared" si="49"/>
        <v>6</v>
      </c>
      <c r="AN118" s="17">
        <f t="shared" si="49"/>
        <v>7</v>
      </c>
      <c r="AO118" s="17">
        <f t="shared" si="49"/>
        <v>8</v>
      </c>
      <c r="AP118" s="17">
        <f t="shared" si="49"/>
        <v>9</v>
      </c>
      <c r="AQ118" s="17">
        <f t="shared" si="49"/>
        <v>10</v>
      </c>
      <c r="AR118" s="17">
        <f t="shared" si="49"/>
        <v>11</v>
      </c>
      <c r="AS118" s="17">
        <f t="shared" si="49"/>
        <v>12</v>
      </c>
    </row>
    <row r="119" spans="2:45" outlineLevel="1" collapsed="1" x14ac:dyDescent="0.15">
      <c r="B119" s="107" t="str">
        <f>B98</f>
        <v>Dividend Declaration Frequency (Year-Specific)</v>
      </c>
      <c r="J119" s="29" t="str">
        <f>INDEX($J98:J98,1,MATCH(J117,$J117:J117,0))</f>
        <v>Monthly</v>
      </c>
      <c r="K119" s="29" t="str">
        <f>INDEX($J98:K98,1,MATCH(K117,$J117:K117,0))</f>
        <v>Monthly</v>
      </c>
      <c r="L119" s="29" t="str">
        <f>INDEX($J98:L98,1,MATCH(L117,$J117:L117,0))</f>
        <v>Monthly</v>
      </c>
      <c r="M119" s="29" t="str">
        <f>INDEX($J98:M98,1,MATCH(M117,$J117:M117,0))</f>
        <v>Monthly</v>
      </c>
      <c r="N119" s="29" t="str">
        <f>INDEX($J98:N98,1,MATCH(N117,$J117:N117,0))</f>
        <v>Monthly</v>
      </c>
      <c r="O119" s="29" t="str">
        <f>INDEX($J98:O98,1,MATCH(O117,$J117:O117,0))</f>
        <v>Monthly</v>
      </c>
      <c r="P119" s="29" t="str">
        <f>INDEX($J98:P98,1,MATCH(P117,$J117:P117,0))</f>
        <v>Monthly</v>
      </c>
      <c r="Q119" s="29" t="str">
        <f>INDEX($J98:Q98,1,MATCH(Q117,$J117:Q117,0))</f>
        <v>Monthly</v>
      </c>
      <c r="R119" s="29" t="str">
        <f>INDEX($J98:R98,1,MATCH(R117,$J117:R117,0))</f>
        <v>Monthly</v>
      </c>
      <c r="S119" s="29" t="str">
        <f>INDEX($J98:S98,1,MATCH(S117,$J117:S117,0))</f>
        <v>Monthly</v>
      </c>
      <c r="T119" s="29" t="str">
        <f>INDEX($J98:T98,1,MATCH(T117,$J117:T117,0))</f>
        <v>Monthly</v>
      </c>
      <c r="U119" s="29" t="str">
        <f>INDEX($J98:U98,1,MATCH(U117,$J117:U117,0))</f>
        <v>Monthly</v>
      </c>
      <c r="V119" s="29" t="str">
        <f>INDEX($J98:V98,1,MATCH(V117,$J117:V117,0))</f>
        <v>Monthly</v>
      </c>
      <c r="W119" s="29" t="str">
        <f>INDEX($J98:W98,1,MATCH(W117,$J117:W117,0))</f>
        <v>Monthly</v>
      </c>
      <c r="X119" s="29" t="str">
        <f>INDEX($J98:X98,1,MATCH(X117,$J117:X117,0))</f>
        <v>Monthly</v>
      </c>
      <c r="Y119" s="29" t="str">
        <f>INDEX($J98:Y98,1,MATCH(Y117,$J117:Y117,0))</f>
        <v>Monthly</v>
      </c>
      <c r="Z119" s="29" t="str">
        <f>INDEX($J98:Z98,1,MATCH(Z117,$J117:Z117,0))</f>
        <v>Monthly</v>
      </c>
      <c r="AA119" s="29" t="str">
        <f>INDEX($J98:AA98,1,MATCH(AA117,$J117:AA117,0))</f>
        <v>Monthly</v>
      </c>
      <c r="AB119" s="29" t="str">
        <f>INDEX($J98:AB98,1,MATCH(AB117,$J117:AB117,0))</f>
        <v>Monthly</v>
      </c>
      <c r="AC119" s="29" t="str">
        <f>INDEX($J98:AC98,1,MATCH(AC117,$J117:AC117,0))</f>
        <v>Monthly</v>
      </c>
      <c r="AD119" s="29" t="str">
        <f>INDEX($J98:AD98,1,MATCH(AD117,$J117:AD117,0))</f>
        <v>Monthly</v>
      </c>
      <c r="AE119" s="29" t="str">
        <f>INDEX($J98:AE98,1,MATCH(AE117,$J117:AE117,0))</f>
        <v>Monthly</v>
      </c>
      <c r="AF119" s="29" t="str">
        <f>INDEX($J98:AF98,1,MATCH(AF117,$J117:AF117,0))</f>
        <v>Monthly</v>
      </c>
      <c r="AG119" s="29" t="str">
        <f>INDEX($J98:AG98,1,MATCH(AG117,$J117:AG117,0))</f>
        <v>Monthly</v>
      </c>
      <c r="AH119" s="29" t="str">
        <f>INDEX($J98:AH98,1,MATCH(AH117,$J117:AH117,0))</f>
        <v>Monthly</v>
      </c>
      <c r="AI119" s="29" t="str">
        <f>INDEX($J98:AI98,1,MATCH(AI117,$J117:AI117,0))</f>
        <v>Monthly</v>
      </c>
      <c r="AJ119" s="29" t="str">
        <f>INDEX($J98:AJ98,1,MATCH(AJ117,$J117:AJ117,0))</f>
        <v>Monthly</v>
      </c>
      <c r="AK119" s="29" t="str">
        <f>INDEX($J98:AK98,1,MATCH(AK117,$J117:AK117,0))</f>
        <v>Monthly</v>
      </c>
      <c r="AL119" s="29" t="str">
        <f>INDEX($J98:AL98,1,MATCH(AL117,$J117:AL117,0))</f>
        <v>Monthly</v>
      </c>
      <c r="AM119" s="29" t="str">
        <f>INDEX($J98:AM98,1,MATCH(AM117,$J117:AM117,0))</f>
        <v>Monthly</v>
      </c>
      <c r="AN119" s="29" t="str">
        <f>INDEX($J98:AN98,1,MATCH(AN117,$J117:AN117,0))</f>
        <v>Monthly</v>
      </c>
      <c r="AO119" s="29" t="str">
        <f>INDEX($J98:AO98,1,MATCH(AO117,$J117:AO117,0))</f>
        <v>Monthly</v>
      </c>
      <c r="AP119" s="29" t="str">
        <f>INDEX($J98:AP98,1,MATCH(AP117,$J117:AP117,0))</f>
        <v>Monthly</v>
      </c>
      <c r="AQ119" s="29" t="str">
        <f>INDEX($J98:AQ98,1,MATCH(AQ117,$J117:AQ117,0))</f>
        <v>Monthly</v>
      </c>
      <c r="AR119" s="29" t="str">
        <f>INDEX($J98:AR98,1,MATCH(AR117,$J117:AR117,0))</f>
        <v>Monthly</v>
      </c>
      <c r="AS119" s="29" t="str">
        <f>INDEX($J98:AS98,1,MATCH(AS117,$J117:AS117,0))</f>
        <v>Monthly</v>
      </c>
    </row>
    <row r="120" spans="2:45" ht="6" customHeight="1" outlineLevel="1" x14ac:dyDescent="0.15"/>
    <row r="121" spans="2:45" outlineLevel="1" x14ac:dyDescent="0.15">
      <c r="B121" s="16" t="s">
        <v>479</v>
      </c>
    </row>
    <row r="122" spans="2:45" outlineLevel="1" x14ac:dyDescent="0.15">
      <c r="B122" s="107" t="str">
        <f>B100</f>
        <v>Dividend Declaration Period?</v>
      </c>
      <c r="J122" s="29" t="str">
        <f t="shared" ref="J122:AS122" si="50">IF(J119=Eq_Ord_Div_Dec_Freq_Mthly,Eq_Ord_Yes,IF(J119=Eq_Ord_Div_Dec_Freq_Qtrly,IF(MOD(J118,Ts_Mths_In_Qtr)=0,Eq_Ord_Yes,Eq_Ord_No),IF(J119=Eq_Ord_Div_Dec_Freq_Semi_Ann,IF(MOD(J118,Ts_Mths_In_Half)=0,Eq_Ord_Yes,Eq_Ord_No),IF(J119=Eq_Ord_Div_Dec_Freq_Ann,IF(MOD(J118,Ts_Mths_In_Yr)=0,Eq_Ord_Yes,Eq_Ord_No),Eq_Ord_No))))</f>
        <v>Yes</v>
      </c>
      <c r="K122" s="29" t="str">
        <f t="shared" si="50"/>
        <v>Yes</v>
      </c>
      <c r="L122" s="29" t="str">
        <f t="shared" si="50"/>
        <v>Yes</v>
      </c>
      <c r="M122" s="29" t="str">
        <f t="shared" si="50"/>
        <v>Yes</v>
      </c>
      <c r="N122" s="29" t="str">
        <f t="shared" si="50"/>
        <v>Yes</v>
      </c>
      <c r="O122" s="29" t="str">
        <f t="shared" si="50"/>
        <v>Yes</v>
      </c>
      <c r="P122" s="29" t="str">
        <f t="shared" si="50"/>
        <v>Yes</v>
      </c>
      <c r="Q122" s="29" t="str">
        <f t="shared" si="50"/>
        <v>Yes</v>
      </c>
      <c r="R122" s="29" t="str">
        <f t="shared" si="50"/>
        <v>Yes</v>
      </c>
      <c r="S122" s="29" t="str">
        <f t="shared" si="50"/>
        <v>Yes</v>
      </c>
      <c r="T122" s="29" t="str">
        <f t="shared" si="50"/>
        <v>Yes</v>
      </c>
      <c r="U122" s="29" t="str">
        <f t="shared" si="50"/>
        <v>Yes</v>
      </c>
      <c r="V122" s="29" t="str">
        <f t="shared" si="50"/>
        <v>Yes</v>
      </c>
      <c r="W122" s="29" t="str">
        <f t="shared" si="50"/>
        <v>Yes</v>
      </c>
      <c r="X122" s="29" t="str">
        <f t="shared" si="50"/>
        <v>Yes</v>
      </c>
      <c r="Y122" s="29" t="str">
        <f t="shared" si="50"/>
        <v>Yes</v>
      </c>
      <c r="Z122" s="29" t="str">
        <f t="shared" si="50"/>
        <v>Yes</v>
      </c>
      <c r="AA122" s="29" t="str">
        <f t="shared" si="50"/>
        <v>Yes</v>
      </c>
      <c r="AB122" s="29" t="str">
        <f t="shared" si="50"/>
        <v>Yes</v>
      </c>
      <c r="AC122" s="29" t="str">
        <f t="shared" si="50"/>
        <v>Yes</v>
      </c>
      <c r="AD122" s="29" t="str">
        <f t="shared" si="50"/>
        <v>Yes</v>
      </c>
      <c r="AE122" s="29" t="str">
        <f t="shared" si="50"/>
        <v>Yes</v>
      </c>
      <c r="AF122" s="29" t="str">
        <f t="shared" si="50"/>
        <v>Yes</v>
      </c>
      <c r="AG122" s="29" t="str">
        <f t="shared" si="50"/>
        <v>Yes</v>
      </c>
      <c r="AH122" s="29" t="str">
        <f t="shared" si="50"/>
        <v>Yes</v>
      </c>
      <c r="AI122" s="29" t="str">
        <f t="shared" si="50"/>
        <v>Yes</v>
      </c>
      <c r="AJ122" s="29" t="str">
        <f t="shared" si="50"/>
        <v>Yes</v>
      </c>
      <c r="AK122" s="29" t="str">
        <f t="shared" si="50"/>
        <v>Yes</v>
      </c>
      <c r="AL122" s="29" t="str">
        <f t="shared" si="50"/>
        <v>Yes</v>
      </c>
      <c r="AM122" s="29" t="str">
        <f t="shared" si="50"/>
        <v>Yes</v>
      </c>
      <c r="AN122" s="29" t="str">
        <f t="shared" si="50"/>
        <v>Yes</v>
      </c>
      <c r="AO122" s="29" t="str">
        <f t="shared" si="50"/>
        <v>Yes</v>
      </c>
      <c r="AP122" s="29" t="str">
        <f t="shared" si="50"/>
        <v>Yes</v>
      </c>
      <c r="AQ122" s="29" t="str">
        <f t="shared" si="50"/>
        <v>Yes</v>
      </c>
      <c r="AR122" s="29" t="str">
        <f t="shared" si="50"/>
        <v>Yes</v>
      </c>
      <c r="AS122" s="29" t="str">
        <f t="shared" si="50"/>
        <v>Yes</v>
      </c>
    </row>
    <row r="123" spans="2:45" outlineLevel="1" x14ac:dyDescent="0.15">
      <c r="B123" s="107" t="str">
        <f>B109</f>
        <v>Opening Retained Profits</v>
      </c>
      <c r="J123" s="14">
        <f t="shared" ref="J123:AS123" si="51">J109</f>
        <v>7403</v>
      </c>
      <c r="K123" s="14">
        <f t="shared" ca="1" si="51"/>
        <v>290.52815025089512</v>
      </c>
      <c r="L123" s="14">
        <f t="shared" ca="1" si="51"/>
        <v>-7592.1959496335512</v>
      </c>
      <c r="M123" s="14">
        <f t="shared" ca="1" si="51"/>
        <v>-15321.661209389824</v>
      </c>
      <c r="N123" s="14">
        <f t="shared" ca="1" si="51"/>
        <v>-22014.199503167602</v>
      </c>
      <c r="O123" s="14">
        <f t="shared" ca="1" si="51"/>
        <v>-32378.982977237854</v>
      </c>
      <c r="P123" s="14">
        <f t="shared" ca="1" si="51"/>
        <v>-40533.519575961873</v>
      </c>
      <c r="Q123" s="14">
        <f t="shared" ca="1" si="51"/>
        <v>-48953.767948939654</v>
      </c>
      <c r="R123" s="14">
        <f t="shared" ca="1" si="51"/>
        <v>-57406.661374364747</v>
      </c>
      <c r="S123" s="14">
        <f t="shared" ca="1" si="51"/>
        <v>-67051.362793635853</v>
      </c>
      <c r="T123" s="14">
        <f t="shared" ca="1" si="51"/>
        <v>-76023.103190794282</v>
      </c>
      <c r="U123" s="14">
        <f t="shared" ca="1" si="51"/>
        <v>-84811.903555238721</v>
      </c>
      <c r="V123" s="14">
        <f t="shared" ca="1" si="51"/>
        <v>-94259.572887562739</v>
      </c>
      <c r="W123" s="14">
        <f t="shared" ca="1" si="51"/>
        <v>-104178.08387669535</v>
      </c>
      <c r="X123" s="14">
        <f t="shared" ca="1" si="51"/>
        <v>-111093.8968754598</v>
      </c>
      <c r="Y123" s="14">
        <f t="shared" ca="1" si="51"/>
        <v>-117705.24020024833</v>
      </c>
      <c r="Z123" s="14">
        <f t="shared" ca="1" si="51"/>
        <v>-123408.84484802611</v>
      </c>
      <c r="AA123" s="14">
        <f t="shared" ca="1" si="51"/>
        <v>-133809.78564818669</v>
      </c>
      <c r="AB123" s="14">
        <f t="shared" ca="1" si="51"/>
        <v>-141388.12755694942</v>
      </c>
      <c r="AC123" s="14">
        <f t="shared" ca="1" si="51"/>
        <v>-148110.7465667272</v>
      </c>
      <c r="AD123" s="14">
        <f t="shared" ca="1" si="51"/>
        <v>-154822.61371571358</v>
      </c>
      <c r="AE123" s="14">
        <f t="shared" ca="1" si="51"/>
        <v>-163125.67944282468</v>
      </c>
      <c r="AF123" s="14">
        <f t="shared" ca="1" si="51"/>
        <v>-170701.39828966052</v>
      </c>
      <c r="AG123" s="14">
        <f t="shared" ca="1" si="51"/>
        <v>-177814.29611490495</v>
      </c>
      <c r="AH123" s="14">
        <f t="shared" ca="1" si="51"/>
        <v>-185931.82053636445</v>
      </c>
      <c r="AI123" s="14">
        <f t="shared" ca="1" si="51"/>
        <v>-194547.57952807771</v>
      </c>
      <c r="AJ123" s="14">
        <f t="shared" ca="1" si="51"/>
        <v>-198999.78749492214</v>
      </c>
      <c r="AK123" s="14">
        <f t="shared" ca="1" si="51"/>
        <v>-203340.77960525907</v>
      </c>
      <c r="AL123" s="14">
        <f t="shared" ca="1" si="51"/>
        <v>-207440.50738303686</v>
      </c>
      <c r="AM123" s="14">
        <f t="shared" ca="1" si="51"/>
        <v>-216602.4865691071</v>
      </c>
      <c r="AN123" s="14">
        <f t="shared" ca="1" si="51"/>
        <v>-222592.16569626983</v>
      </c>
      <c r="AO123" s="14">
        <f t="shared" ca="1" si="51"/>
        <v>-227867.9625140476</v>
      </c>
      <c r="AP123" s="14">
        <f t="shared" ca="1" si="51"/>
        <v>-232770.47321650494</v>
      </c>
      <c r="AQ123" s="14">
        <f t="shared" ca="1" si="51"/>
        <v>-239912.19325145605</v>
      </c>
      <c r="AR123" s="14">
        <f t="shared" ca="1" si="51"/>
        <v>-246368.95111333704</v>
      </c>
      <c r="AS123" s="14">
        <f t="shared" ca="1" si="51"/>
        <v>-251883.29317698147</v>
      </c>
    </row>
    <row r="124" spans="2:45" outlineLevel="1" x14ac:dyDescent="0.15">
      <c r="B124" s="107" t="str">
        <f>B110</f>
        <v>Net Profit After Tax (NPAT)</v>
      </c>
      <c r="J124" s="14">
        <f t="shared" ref="J124:AS124" ca="1" si="52">J110</f>
        <v>-7112.4718497491049</v>
      </c>
      <c r="K124" s="14">
        <f t="shared" ca="1" si="52"/>
        <v>-7882.7240998844463</v>
      </c>
      <c r="L124" s="14">
        <f t="shared" ca="1" si="52"/>
        <v>-7729.4652597562726</v>
      </c>
      <c r="M124" s="14">
        <f t="shared" ca="1" si="52"/>
        <v>-6692.5382937777777</v>
      </c>
      <c r="N124" s="14">
        <f t="shared" ca="1" si="52"/>
        <v>-10364.783474070253</v>
      </c>
      <c r="O124" s="14">
        <f t="shared" ca="1" si="52"/>
        <v>-8154.5365987240157</v>
      </c>
      <c r="P124" s="14">
        <f t="shared" ca="1" si="52"/>
        <v>-8420.2483729777778</v>
      </c>
      <c r="Q124" s="14">
        <f t="shared" ca="1" si="52"/>
        <v>-8452.8934254250908</v>
      </c>
      <c r="R124" s="14">
        <f t="shared" ca="1" si="52"/>
        <v>-9644.7014192711104</v>
      </c>
      <c r="S124" s="14">
        <f t="shared" ca="1" si="52"/>
        <v>-8971.7403971584245</v>
      </c>
      <c r="T124" s="14">
        <f t="shared" ca="1" si="52"/>
        <v>-8788.8003644444452</v>
      </c>
      <c r="U124" s="14">
        <f t="shared" ca="1" si="52"/>
        <v>-9447.6693323240142</v>
      </c>
      <c r="V124" s="14">
        <f t="shared" ca="1" si="52"/>
        <v>-9918.5109891326174</v>
      </c>
      <c r="W124" s="14">
        <f t="shared" ca="1" si="52"/>
        <v>-6915.8129987644452</v>
      </c>
      <c r="X124" s="14">
        <f t="shared" ca="1" si="52"/>
        <v>-6611.3433247885323</v>
      </c>
      <c r="Y124" s="14">
        <f t="shared" ca="1" si="52"/>
        <v>-5703.6046477777791</v>
      </c>
      <c r="Z124" s="14">
        <f t="shared" ca="1" si="52"/>
        <v>-10400.940800160573</v>
      </c>
      <c r="AA124" s="14">
        <f t="shared" ca="1" si="52"/>
        <v>-7578.3419087627253</v>
      </c>
      <c r="AB124" s="14">
        <f t="shared" ca="1" si="52"/>
        <v>-6722.619009777778</v>
      </c>
      <c r="AC124" s="14">
        <f t="shared" ca="1" si="52"/>
        <v>-6711.8671489863809</v>
      </c>
      <c r="AD124" s="14">
        <f t="shared" ca="1" si="52"/>
        <v>-8303.0657271111122</v>
      </c>
      <c r="AE124" s="14">
        <f t="shared" ca="1" si="52"/>
        <v>-7575.7188468358427</v>
      </c>
      <c r="AF124" s="14">
        <f t="shared" ca="1" si="52"/>
        <v>-7112.8978252444449</v>
      </c>
      <c r="AG124" s="14">
        <f t="shared" ca="1" si="52"/>
        <v>-8117.5244214594995</v>
      </c>
      <c r="AH124" s="14">
        <f t="shared" ca="1" si="52"/>
        <v>-8615.7589917132627</v>
      </c>
      <c r="AI124" s="14">
        <f t="shared" ca="1" si="52"/>
        <v>-4452.207966844443</v>
      </c>
      <c r="AJ124" s="14">
        <f t="shared" ca="1" si="52"/>
        <v>-4340.992110336917</v>
      </c>
      <c r="AK124" s="14">
        <f t="shared" ca="1" si="52"/>
        <v>-4099.727777777779</v>
      </c>
      <c r="AL124" s="14">
        <f t="shared" ca="1" si="52"/>
        <v>-9161.9791860702535</v>
      </c>
      <c r="AM124" s="14">
        <f t="shared" ca="1" si="52"/>
        <v>-5989.6791271627235</v>
      </c>
      <c r="AN124" s="14">
        <f t="shared" ca="1" si="52"/>
        <v>-5275.7968177777784</v>
      </c>
      <c r="AO124" s="14">
        <f t="shared" ca="1" si="52"/>
        <v>-4902.5107024573463</v>
      </c>
      <c r="AP124" s="14">
        <f t="shared" ca="1" si="52"/>
        <v>-7141.7200349511104</v>
      </c>
      <c r="AQ124" s="14">
        <f t="shared" ca="1" si="52"/>
        <v>-6456.7578618810039</v>
      </c>
      <c r="AR124" s="14">
        <f t="shared" ca="1" si="52"/>
        <v>-5514.3420636444425</v>
      </c>
      <c r="AS124" s="14">
        <f t="shared" ca="1" si="52"/>
        <v>-6962.8895105949832</v>
      </c>
    </row>
    <row r="125" spans="2:45" outlineLevel="1" x14ac:dyDescent="0.15">
      <c r="B125" s="16" t="s">
        <v>480</v>
      </c>
      <c r="J125" s="18">
        <f t="shared" ref="J125:AS125" ca="1" si="53">MAX(SUM(J123:J124),0)</f>
        <v>290.52815025089512</v>
      </c>
      <c r="K125" s="18">
        <f t="shared" ca="1" si="53"/>
        <v>0</v>
      </c>
      <c r="L125" s="18">
        <f t="shared" ca="1" si="53"/>
        <v>0</v>
      </c>
      <c r="M125" s="18">
        <f t="shared" ca="1" si="53"/>
        <v>0</v>
      </c>
      <c r="N125" s="18">
        <f t="shared" ca="1" si="53"/>
        <v>0</v>
      </c>
      <c r="O125" s="18">
        <f t="shared" ca="1" si="53"/>
        <v>0</v>
      </c>
      <c r="P125" s="18">
        <f t="shared" ca="1" si="53"/>
        <v>0</v>
      </c>
      <c r="Q125" s="18">
        <f t="shared" ca="1" si="53"/>
        <v>0</v>
      </c>
      <c r="R125" s="18">
        <f t="shared" ca="1" si="53"/>
        <v>0</v>
      </c>
      <c r="S125" s="18">
        <f t="shared" ca="1" si="53"/>
        <v>0</v>
      </c>
      <c r="T125" s="18">
        <f t="shared" ca="1" si="53"/>
        <v>0</v>
      </c>
      <c r="U125" s="18">
        <f t="shared" ca="1" si="53"/>
        <v>0</v>
      </c>
      <c r="V125" s="18">
        <f t="shared" ca="1" si="53"/>
        <v>0</v>
      </c>
      <c r="W125" s="18">
        <f t="shared" ca="1" si="53"/>
        <v>0</v>
      </c>
      <c r="X125" s="18">
        <f t="shared" ca="1" si="53"/>
        <v>0</v>
      </c>
      <c r="Y125" s="18">
        <f t="shared" ca="1" si="53"/>
        <v>0</v>
      </c>
      <c r="Z125" s="18">
        <f t="shared" ca="1" si="53"/>
        <v>0</v>
      </c>
      <c r="AA125" s="18">
        <f t="shared" ca="1" si="53"/>
        <v>0</v>
      </c>
      <c r="AB125" s="18">
        <f t="shared" ca="1" si="53"/>
        <v>0</v>
      </c>
      <c r="AC125" s="18">
        <f t="shared" ca="1" si="53"/>
        <v>0</v>
      </c>
      <c r="AD125" s="18">
        <f t="shared" ca="1" si="53"/>
        <v>0</v>
      </c>
      <c r="AE125" s="18">
        <f t="shared" ca="1" si="53"/>
        <v>0</v>
      </c>
      <c r="AF125" s="18">
        <f t="shared" ca="1" si="53"/>
        <v>0</v>
      </c>
      <c r="AG125" s="18">
        <f t="shared" ca="1" si="53"/>
        <v>0</v>
      </c>
      <c r="AH125" s="18">
        <f t="shared" ca="1" si="53"/>
        <v>0</v>
      </c>
      <c r="AI125" s="18">
        <f t="shared" ca="1" si="53"/>
        <v>0</v>
      </c>
      <c r="AJ125" s="18">
        <f t="shared" ca="1" si="53"/>
        <v>0</v>
      </c>
      <c r="AK125" s="18">
        <f t="shared" ca="1" si="53"/>
        <v>0</v>
      </c>
      <c r="AL125" s="18">
        <f t="shared" ca="1" si="53"/>
        <v>0</v>
      </c>
      <c r="AM125" s="18">
        <f t="shared" ca="1" si="53"/>
        <v>0</v>
      </c>
      <c r="AN125" s="18">
        <f t="shared" ca="1" si="53"/>
        <v>0</v>
      </c>
      <c r="AO125" s="18">
        <f t="shared" ca="1" si="53"/>
        <v>0</v>
      </c>
      <c r="AP125" s="18">
        <f t="shared" ca="1" si="53"/>
        <v>0</v>
      </c>
      <c r="AQ125" s="18">
        <f t="shared" ca="1" si="53"/>
        <v>0</v>
      </c>
      <c r="AR125" s="18">
        <f t="shared" ca="1" si="53"/>
        <v>0</v>
      </c>
      <c r="AS125" s="18">
        <f t="shared" ca="1" si="53"/>
        <v>0</v>
      </c>
    </row>
    <row r="126" spans="2:45" outlineLevel="1" x14ac:dyDescent="0.15">
      <c r="B126" s="107" t="str">
        <f>B111</f>
        <v>Opening Cash at Bank</v>
      </c>
      <c r="J126" s="14">
        <f t="shared" ref="J126:AS126" si="54">J111</f>
        <v>11206</v>
      </c>
      <c r="K126" s="14">
        <f t="shared" ca="1" si="54"/>
        <v>56366.869850494637</v>
      </c>
      <c r="L126" s="14">
        <f t="shared" ca="1" si="54"/>
        <v>44565.745398407664</v>
      </c>
      <c r="M126" s="14">
        <f t="shared" ca="1" si="54"/>
        <v>93791.017492155705</v>
      </c>
      <c r="N126" s="14">
        <f t="shared" ca="1" si="54"/>
        <v>99434.209346422373</v>
      </c>
      <c r="O126" s="14">
        <f t="shared" ca="1" si="54"/>
        <v>77892.898421634411</v>
      </c>
      <c r="P126" s="14">
        <f t="shared" ca="1" si="54"/>
        <v>86016.935079136339</v>
      </c>
      <c r="Q126" s="14">
        <f t="shared" ca="1" si="54"/>
        <v>90029.52162581333</v>
      </c>
      <c r="R126" s="14">
        <f t="shared" ca="1" si="54"/>
        <v>69976.570193967302</v>
      </c>
      <c r="S126" s="14">
        <f t="shared" ca="1" si="54"/>
        <v>76726.490789144591</v>
      </c>
      <c r="T126" s="14">
        <f t="shared" ca="1" si="54"/>
        <v>79679.59382603319</v>
      </c>
      <c r="U126" s="14">
        <f t="shared" ca="1" si="54"/>
        <v>59829.112587495554</v>
      </c>
      <c r="V126" s="14">
        <f t="shared" ca="1" si="54"/>
        <v>66932.032226762138</v>
      </c>
      <c r="W126" s="14">
        <f t="shared" ca="1" si="54"/>
        <v>68782.986123983646</v>
      </c>
      <c r="X126" s="14">
        <f t="shared" ca="1" si="54"/>
        <v>50936.458049791559</v>
      </c>
      <c r="Y126" s="14">
        <f t="shared" ca="1" si="54"/>
        <v>60985.385742811166</v>
      </c>
      <c r="Z126" s="14">
        <f t="shared" ca="1" si="54"/>
        <v>67534.682810026221</v>
      </c>
      <c r="AA126" s="14">
        <f t="shared" ca="1" si="54"/>
        <v>45599.886950905355</v>
      </c>
      <c r="AB126" s="14">
        <f t="shared" ca="1" si="54"/>
        <v>54709.440588498903</v>
      </c>
      <c r="AC126" s="14">
        <f t="shared" ca="1" si="54"/>
        <v>60582.755592301051</v>
      </c>
      <c r="AD126" s="14">
        <f t="shared" ca="1" si="54"/>
        <v>42430.339608888578</v>
      </c>
      <c r="AE126" s="14">
        <f t="shared" ca="1" si="54"/>
        <v>50545.550148553099</v>
      </c>
      <c r="AF126" s="14">
        <f t="shared" ca="1" si="54"/>
        <v>55150.308436000843</v>
      </c>
      <c r="AG126" s="14">
        <f t="shared" ca="1" si="54"/>
        <v>36669.491088300201</v>
      </c>
      <c r="AH126" s="14">
        <f t="shared" ca="1" si="54"/>
        <v>45162.729399252457</v>
      </c>
      <c r="AI126" s="14">
        <f t="shared" ca="1" si="54"/>
        <v>48349.556505764289</v>
      </c>
      <c r="AJ126" s="14">
        <f t="shared" ca="1" si="54"/>
        <v>32660.58119464085</v>
      </c>
      <c r="AK126" s="14">
        <f t="shared" ca="1" si="54"/>
        <v>44822.294238204726</v>
      </c>
      <c r="AL126" s="14">
        <f t="shared" ca="1" si="54"/>
        <v>53015.100646806874</v>
      </c>
      <c r="AM126" s="14">
        <f t="shared" ca="1" si="54"/>
        <v>32120.85810328343</v>
      </c>
      <c r="AN126" s="14">
        <f t="shared" ca="1" si="54"/>
        <v>42736.430529151818</v>
      </c>
      <c r="AO126" s="14">
        <f t="shared" ca="1" si="54"/>
        <v>50142.804681753965</v>
      </c>
      <c r="AP126" s="14">
        <f t="shared" ca="1" si="54"/>
        <v>33324.732340449875</v>
      </c>
      <c r="AQ126" s="14">
        <f t="shared" ca="1" si="54"/>
        <v>42517.262348519042</v>
      </c>
      <c r="AR126" s="14">
        <f t="shared" ca="1" si="54"/>
        <v>48200.992636860552</v>
      </c>
      <c r="AS126" s="14">
        <f t="shared" ca="1" si="54"/>
        <v>31045.245095313883</v>
      </c>
    </row>
    <row r="127" spans="2:45" outlineLevel="1" x14ac:dyDescent="0.15">
      <c r="B127" s="107" t="str">
        <f>B112</f>
        <v>Cash Flow Available For Dividends</v>
      </c>
      <c r="J127" s="14">
        <f t="shared" ref="J127:AS127" ca="1" si="55">J112</f>
        <v>45160.869850494637</v>
      </c>
      <c r="K127" s="14">
        <f t="shared" ca="1" si="55"/>
        <v>-11801.124452086973</v>
      </c>
      <c r="L127" s="14">
        <f t="shared" ca="1" si="55"/>
        <v>49225.272093748041</v>
      </c>
      <c r="M127" s="14">
        <f t="shared" ca="1" si="55"/>
        <v>5643.1918542666654</v>
      </c>
      <c r="N127" s="14">
        <f t="shared" ca="1" si="55"/>
        <v>-21541.310924787958</v>
      </c>
      <c r="O127" s="14">
        <f t="shared" ca="1" si="55"/>
        <v>8124.0366575019361</v>
      </c>
      <c r="P127" s="14">
        <f t="shared" ca="1" si="55"/>
        <v>4012.5865466769901</v>
      </c>
      <c r="Q127" s="14">
        <f t="shared" ca="1" si="55"/>
        <v>-20052.951431846024</v>
      </c>
      <c r="R127" s="14">
        <f t="shared" ca="1" si="55"/>
        <v>6749.9205951772892</v>
      </c>
      <c r="S127" s="14">
        <f t="shared" ca="1" si="55"/>
        <v>2953.1030368886022</v>
      </c>
      <c r="T127" s="14">
        <f t="shared" ca="1" si="55"/>
        <v>-19850.481238537635</v>
      </c>
      <c r="U127" s="14">
        <f t="shared" ca="1" si="55"/>
        <v>7102.9196392665808</v>
      </c>
      <c r="V127" s="14">
        <f t="shared" ca="1" si="55"/>
        <v>1850.9538972215059</v>
      </c>
      <c r="W127" s="14">
        <f t="shared" ca="1" si="55"/>
        <v>-17846.528074192091</v>
      </c>
      <c r="X127" s="14">
        <f t="shared" ca="1" si="55"/>
        <v>10048.92769301961</v>
      </c>
      <c r="Y127" s="14">
        <f t="shared" ca="1" si="55"/>
        <v>6549.2970672150523</v>
      </c>
      <c r="Z127" s="14">
        <f t="shared" ca="1" si="55"/>
        <v>-21934.795859120866</v>
      </c>
      <c r="AA127" s="14">
        <f t="shared" ca="1" si="55"/>
        <v>9109.553637593548</v>
      </c>
      <c r="AB127" s="14">
        <f t="shared" ca="1" si="55"/>
        <v>5873.3150038021504</v>
      </c>
      <c r="AC127" s="14">
        <f t="shared" ca="1" si="55"/>
        <v>-18152.415983412469</v>
      </c>
      <c r="AD127" s="14">
        <f t="shared" ca="1" si="55"/>
        <v>8115.2105396645175</v>
      </c>
      <c r="AE127" s="14">
        <f t="shared" ca="1" si="55"/>
        <v>4604.758287447743</v>
      </c>
      <c r="AF127" s="14">
        <f t="shared" ca="1" si="55"/>
        <v>-18480.817347700642</v>
      </c>
      <c r="AG127" s="14">
        <f t="shared" ca="1" si="55"/>
        <v>8493.2383109522543</v>
      </c>
      <c r="AH127" s="14">
        <f t="shared" ca="1" si="55"/>
        <v>3186.8271065118288</v>
      </c>
      <c r="AI127" s="14">
        <f t="shared" ca="1" si="55"/>
        <v>-15688.97531112344</v>
      </c>
      <c r="AJ127" s="14">
        <f t="shared" ca="1" si="55"/>
        <v>12161.713043563876</v>
      </c>
      <c r="AK127" s="14">
        <f t="shared" ca="1" si="55"/>
        <v>8192.8064086021495</v>
      </c>
      <c r="AL127" s="14">
        <f t="shared" ca="1" si="55"/>
        <v>-20894.242543523444</v>
      </c>
      <c r="AM127" s="14">
        <f t="shared" ca="1" si="55"/>
        <v>10615.572425868388</v>
      </c>
      <c r="AN127" s="14">
        <f t="shared" ca="1" si="55"/>
        <v>7406.3741526021504</v>
      </c>
      <c r="AO127" s="14">
        <f t="shared" ca="1" si="55"/>
        <v>-16818.072341304087</v>
      </c>
      <c r="AP127" s="14">
        <f t="shared" ca="1" si="55"/>
        <v>9192.5300080691632</v>
      </c>
      <c r="AQ127" s="14">
        <f t="shared" ca="1" si="55"/>
        <v>5683.7302883415068</v>
      </c>
      <c r="AR127" s="14">
        <f t="shared" ca="1" si="55"/>
        <v>-17155.747541546669</v>
      </c>
      <c r="AS127" s="14">
        <f t="shared" ca="1" si="55"/>
        <v>9648.8869740185801</v>
      </c>
    </row>
    <row r="128" spans="2:45" outlineLevel="1" x14ac:dyDescent="0.15">
      <c r="B128" s="16" t="s">
        <v>481</v>
      </c>
      <c r="J128" s="18">
        <f t="shared" ref="J128:AS128" ca="1" si="56">SUM(J126:J127)</f>
        <v>56366.869850494637</v>
      </c>
      <c r="K128" s="18">
        <f t="shared" ca="1" si="56"/>
        <v>44565.745398407664</v>
      </c>
      <c r="L128" s="18">
        <f t="shared" ca="1" si="56"/>
        <v>93791.017492155705</v>
      </c>
      <c r="M128" s="18">
        <f t="shared" ca="1" si="56"/>
        <v>99434.209346422373</v>
      </c>
      <c r="N128" s="18">
        <f t="shared" ca="1" si="56"/>
        <v>77892.898421634411</v>
      </c>
      <c r="O128" s="18">
        <f t="shared" ca="1" si="56"/>
        <v>86016.935079136339</v>
      </c>
      <c r="P128" s="18">
        <f t="shared" ca="1" si="56"/>
        <v>90029.52162581333</v>
      </c>
      <c r="Q128" s="18">
        <f t="shared" ca="1" si="56"/>
        <v>69976.570193967302</v>
      </c>
      <c r="R128" s="18">
        <f t="shared" ca="1" si="56"/>
        <v>76726.490789144591</v>
      </c>
      <c r="S128" s="18">
        <f t="shared" ca="1" si="56"/>
        <v>79679.59382603319</v>
      </c>
      <c r="T128" s="18">
        <f t="shared" ca="1" si="56"/>
        <v>59829.112587495554</v>
      </c>
      <c r="U128" s="18">
        <f t="shared" ca="1" si="56"/>
        <v>66932.032226762138</v>
      </c>
      <c r="V128" s="18">
        <f t="shared" ca="1" si="56"/>
        <v>68782.986123983646</v>
      </c>
      <c r="W128" s="18">
        <f t="shared" ca="1" si="56"/>
        <v>50936.458049791559</v>
      </c>
      <c r="X128" s="18">
        <f t="shared" ca="1" si="56"/>
        <v>60985.385742811166</v>
      </c>
      <c r="Y128" s="18">
        <f t="shared" ca="1" si="56"/>
        <v>67534.682810026221</v>
      </c>
      <c r="Z128" s="18">
        <f t="shared" ca="1" si="56"/>
        <v>45599.886950905355</v>
      </c>
      <c r="AA128" s="18">
        <f t="shared" ca="1" si="56"/>
        <v>54709.440588498903</v>
      </c>
      <c r="AB128" s="18">
        <f t="shared" ca="1" si="56"/>
        <v>60582.755592301051</v>
      </c>
      <c r="AC128" s="18">
        <f t="shared" ca="1" si="56"/>
        <v>42430.339608888578</v>
      </c>
      <c r="AD128" s="18">
        <f t="shared" ca="1" si="56"/>
        <v>50545.550148553099</v>
      </c>
      <c r="AE128" s="18">
        <f t="shared" ca="1" si="56"/>
        <v>55150.308436000843</v>
      </c>
      <c r="AF128" s="18">
        <f t="shared" ca="1" si="56"/>
        <v>36669.491088300201</v>
      </c>
      <c r="AG128" s="18">
        <f t="shared" ca="1" si="56"/>
        <v>45162.729399252457</v>
      </c>
      <c r="AH128" s="18">
        <f t="shared" ca="1" si="56"/>
        <v>48349.556505764289</v>
      </c>
      <c r="AI128" s="18">
        <f t="shared" ca="1" si="56"/>
        <v>32660.58119464085</v>
      </c>
      <c r="AJ128" s="18">
        <f t="shared" ca="1" si="56"/>
        <v>44822.294238204726</v>
      </c>
      <c r="AK128" s="18">
        <f t="shared" ca="1" si="56"/>
        <v>53015.100646806874</v>
      </c>
      <c r="AL128" s="18">
        <f t="shared" ca="1" si="56"/>
        <v>32120.85810328343</v>
      </c>
      <c r="AM128" s="18">
        <f t="shared" ca="1" si="56"/>
        <v>42736.430529151818</v>
      </c>
      <c r="AN128" s="18">
        <f t="shared" ca="1" si="56"/>
        <v>50142.804681753965</v>
      </c>
      <c r="AO128" s="18">
        <f t="shared" ca="1" si="56"/>
        <v>33324.732340449875</v>
      </c>
      <c r="AP128" s="18">
        <f t="shared" ca="1" si="56"/>
        <v>42517.262348519042</v>
      </c>
      <c r="AQ128" s="18">
        <f t="shared" ca="1" si="56"/>
        <v>48200.992636860552</v>
      </c>
      <c r="AR128" s="18">
        <f t="shared" ca="1" si="56"/>
        <v>31045.245095313883</v>
      </c>
      <c r="AS128" s="18">
        <f t="shared" ca="1" si="56"/>
        <v>40694.132069332467</v>
      </c>
    </row>
    <row r="129" spans="2:45" outlineLevel="1" x14ac:dyDescent="0.15">
      <c r="B129" s="107" t="str">
        <f>B101</f>
        <v>Dividend Determination Method</v>
      </c>
      <c r="J129" s="29" t="str">
        <f t="shared" ref="J129:AS129" si="57">IF(J122=Eq_Ord_Yes,J101,"-")</f>
        <v>% of NPAT</v>
      </c>
      <c r="K129" s="29" t="str">
        <f t="shared" si="57"/>
        <v>% of NPAT</v>
      </c>
      <c r="L129" s="29" t="str">
        <f t="shared" si="57"/>
        <v>% of NPAT</v>
      </c>
      <c r="M129" s="29" t="str">
        <f t="shared" si="57"/>
        <v>% of NPAT</v>
      </c>
      <c r="N129" s="29" t="str">
        <f t="shared" si="57"/>
        <v>% of NPAT</v>
      </c>
      <c r="O129" s="29" t="str">
        <f t="shared" si="57"/>
        <v>% of NPAT</v>
      </c>
      <c r="P129" s="29" t="str">
        <f t="shared" si="57"/>
        <v>% of NPAT</v>
      </c>
      <c r="Q129" s="29" t="str">
        <f t="shared" si="57"/>
        <v>% of NPAT</v>
      </c>
      <c r="R129" s="29" t="str">
        <f t="shared" si="57"/>
        <v>% of NPAT</v>
      </c>
      <c r="S129" s="29" t="str">
        <f t="shared" si="57"/>
        <v>% of NPAT</v>
      </c>
      <c r="T129" s="29" t="str">
        <f t="shared" si="57"/>
        <v>% of NPAT</v>
      </c>
      <c r="U129" s="29" t="str">
        <f t="shared" si="57"/>
        <v>% of NPAT</v>
      </c>
      <c r="V129" s="29" t="str">
        <f t="shared" si="57"/>
        <v>% of NPAT</v>
      </c>
      <c r="W129" s="29" t="str">
        <f t="shared" si="57"/>
        <v>% of NPAT</v>
      </c>
      <c r="X129" s="29" t="str">
        <f t="shared" si="57"/>
        <v>% of NPAT</v>
      </c>
      <c r="Y129" s="29" t="str">
        <f t="shared" si="57"/>
        <v>% of NPAT</v>
      </c>
      <c r="Z129" s="29" t="str">
        <f t="shared" si="57"/>
        <v>% of NPAT</v>
      </c>
      <c r="AA129" s="29" t="str">
        <f t="shared" si="57"/>
        <v>% of NPAT</v>
      </c>
      <c r="AB129" s="29" t="str">
        <f t="shared" si="57"/>
        <v>% of NPAT</v>
      </c>
      <c r="AC129" s="29" t="str">
        <f t="shared" si="57"/>
        <v>% of NPAT</v>
      </c>
      <c r="AD129" s="29" t="str">
        <f t="shared" si="57"/>
        <v>% of NPAT</v>
      </c>
      <c r="AE129" s="29" t="str">
        <f t="shared" si="57"/>
        <v>% of NPAT</v>
      </c>
      <c r="AF129" s="29" t="str">
        <f t="shared" si="57"/>
        <v>% of NPAT</v>
      </c>
      <c r="AG129" s="29" t="str">
        <f t="shared" si="57"/>
        <v>% of NPAT</v>
      </c>
      <c r="AH129" s="29" t="str">
        <f t="shared" si="57"/>
        <v>% of NPAT</v>
      </c>
      <c r="AI129" s="29" t="str">
        <f t="shared" si="57"/>
        <v>% of NPAT</v>
      </c>
      <c r="AJ129" s="29" t="str">
        <f t="shared" si="57"/>
        <v>% of NPAT</v>
      </c>
      <c r="AK129" s="29" t="str">
        <f t="shared" si="57"/>
        <v>% of NPAT</v>
      </c>
      <c r="AL129" s="29" t="str">
        <f t="shared" si="57"/>
        <v>% of NPAT</v>
      </c>
      <c r="AM129" s="29" t="str">
        <f t="shared" si="57"/>
        <v>% of NPAT</v>
      </c>
      <c r="AN129" s="29" t="str">
        <f t="shared" si="57"/>
        <v>% of NPAT</v>
      </c>
      <c r="AO129" s="29" t="str">
        <f t="shared" si="57"/>
        <v>% of NPAT</v>
      </c>
      <c r="AP129" s="29" t="str">
        <f t="shared" si="57"/>
        <v>% of NPAT</v>
      </c>
      <c r="AQ129" s="29" t="str">
        <f t="shared" si="57"/>
        <v>% of NPAT</v>
      </c>
      <c r="AR129" s="29" t="str">
        <f t="shared" si="57"/>
        <v>% of NPAT</v>
      </c>
      <c r="AS129" s="29" t="str">
        <f t="shared" si="57"/>
        <v>% of NPAT</v>
      </c>
    </row>
    <row r="130" spans="2:45" outlineLevel="1" x14ac:dyDescent="0.15">
      <c r="B130" s="107" t="str">
        <f>B102</f>
        <v>Dividend Payout Ratio (% of NPAT)</v>
      </c>
      <c r="J130" s="46">
        <f t="shared" ref="J130:AS130" si="58">IF(AND(J122=Eq_Ord_Yes,J129=Eq_Ord_Div_Meth_Pcent_Of_Npat),J102,0)</f>
        <v>0</v>
      </c>
      <c r="K130" s="46">
        <f t="shared" si="58"/>
        <v>0</v>
      </c>
      <c r="L130" s="46">
        <f t="shared" si="58"/>
        <v>0</v>
      </c>
      <c r="M130" s="46">
        <f t="shared" si="58"/>
        <v>0</v>
      </c>
      <c r="N130" s="46">
        <f t="shared" si="58"/>
        <v>0</v>
      </c>
      <c r="O130" s="46">
        <f t="shared" si="58"/>
        <v>0</v>
      </c>
      <c r="P130" s="46">
        <f t="shared" si="58"/>
        <v>0</v>
      </c>
      <c r="Q130" s="46">
        <f t="shared" si="58"/>
        <v>0</v>
      </c>
      <c r="R130" s="46">
        <f t="shared" si="58"/>
        <v>0</v>
      </c>
      <c r="S130" s="46">
        <f t="shared" si="58"/>
        <v>0</v>
      </c>
      <c r="T130" s="46">
        <f t="shared" si="58"/>
        <v>0</v>
      </c>
      <c r="U130" s="46">
        <f t="shared" si="58"/>
        <v>0</v>
      </c>
      <c r="V130" s="46">
        <f t="shared" si="58"/>
        <v>0</v>
      </c>
      <c r="W130" s="46">
        <f t="shared" si="58"/>
        <v>0</v>
      </c>
      <c r="X130" s="46">
        <f t="shared" si="58"/>
        <v>0</v>
      </c>
      <c r="Y130" s="46">
        <f t="shared" si="58"/>
        <v>0</v>
      </c>
      <c r="Z130" s="46">
        <f t="shared" si="58"/>
        <v>0</v>
      </c>
      <c r="AA130" s="46">
        <f t="shared" si="58"/>
        <v>0</v>
      </c>
      <c r="AB130" s="46">
        <f t="shared" si="58"/>
        <v>0</v>
      </c>
      <c r="AC130" s="46">
        <f t="shared" si="58"/>
        <v>0</v>
      </c>
      <c r="AD130" s="46">
        <f t="shared" si="58"/>
        <v>0</v>
      </c>
      <c r="AE130" s="46">
        <f t="shared" si="58"/>
        <v>0</v>
      </c>
      <c r="AF130" s="46">
        <f t="shared" si="58"/>
        <v>0</v>
      </c>
      <c r="AG130" s="46">
        <f t="shared" si="58"/>
        <v>0</v>
      </c>
      <c r="AH130" s="46">
        <f t="shared" si="58"/>
        <v>0</v>
      </c>
      <c r="AI130" s="46">
        <f t="shared" si="58"/>
        <v>0</v>
      </c>
      <c r="AJ130" s="46">
        <f t="shared" si="58"/>
        <v>0</v>
      </c>
      <c r="AK130" s="46">
        <f t="shared" si="58"/>
        <v>0</v>
      </c>
      <c r="AL130" s="46">
        <f t="shared" si="58"/>
        <v>0</v>
      </c>
      <c r="AM130" s="46">
        <f t="shared" si="58"/>
        <v>0</v>
      </c>
      <c r="AN130" s="46">
        <f t="shared" si="58"/>
        <v>0</v>
      </c>
      <c r="AO130" s="46">
        <f t="shared" si="58"/>
        <v>0</v>
      </c>
      <c r="AP130" s="46">
        <f t="shared" si="58"/>
        <v>0</v>
      </c>
      <c r="AQ130" s="46">
        <f t="shared" si="58"/>
        <v>0</v>
      </c>
      <c r="AR130" s="46">
        <f t="shared" si="58"/>
        <v>0</v>
      </c>
      <c r="AS130" s="46">
        <f t="shared" si="58"/>
        <v>0</v>
      </c>
    </row>
    <row r="131" spans="2:45" hidden="1" outlineLevel="2" x14ac:dyDescent="0.15">
      <c r="B131" s="107" t="s">
        <v>482</v>
      </c>
      <c r="J131" s="17">
        <f t="shared" ref="J131:AS131" si="59">IF(J122=Eq_Ord_Yes,MIN(J$8,IF(J119=Eq_Ord_Div_Dec_Freq_Ann,Ts_Mths_In_Yr,IF(J119=Eq_Ord_Div_Dec_Freq_Semi_Ann,Ts_Mths_In_Half,IF(J119=Eq_Ord_Div_Dec_Freq_Qtrly,Ts_Mths_In_Qtr,1)))),0)</f>
        <v>1</v>
      </c>
      <c r="K131" s="17">
        <f t="shared" si="59"/>
        <v>1</v>
      </c>
      <c r="L131" s="17">
        <f t="shared" si="59"/>
        <v>1</v>
      </c>
      <c r="M131" s="17">
        <f t="shared" si="59"/>
        <v>1</v>
      </c>
      <c r="N131" s="17">
        <f t="shared" si="59"/>
        <v>1</v>
      </c>
      <c r="O131" s="17">
        <f t="shared" si="59"/>
        <v>1</v>
      </c>
      <c r="P131" s="17">
        <f t="shared" si="59"/>
        <v>1</v>
      </c>
      <c r="Q131" s="17">
        <f t="shared" si="59"/>
        <v>1</v>
      </c>
      <c r="R131" s="17">
        <f t="shared" si="59"/>
        <v>1</v>
      </c>
      <c r="S131" s="17">
        <f t="shared" si="59"/>
        <v>1</v>
      </c>
      <c r="T131" s="17">
        <f t="shared" si="59"/>
        <v>1</v>
      </c>
      <c r="U131" s="17">
        <f t="shared" si="59"/>
        <v>1</v>
      </c>
      <c r="V131" s="17">
        <f t="shared" si="59"/>
        <v>1</v>
      </c>
      <c r="W131" s="17">
        <f t="shared" si="59"/>
        <v>1</v>
      </c>
      <c r="X131" s="17">
        <f t="shared" si="59"/>
        <v>1</v>
      </c>
      <c r="Y131" s="17">
        <f t="shared" si="59"/>
        <v>1</v>
      </c>
      <c r="Z131" s="17">
        <f t="shared" si="59"/>
        <v>1</v>
      </c>
      <c r="AA131" s="17">
        <f t="shared" si="59"/>
        <v>1</v>
      </c>
      <c r="AB131" s="17">
        <f t="shared" si="59"/>
        <v>1</v>
      </c>
      <c r="AC131" s="17">
        <f t="shared" si="59"/>
        <v>1</v>
      </c>
      <c r="AD131" s="17">
        <f t="shared" si="59"/>
        <v>1</v>
      </c>
      <c r="AE131" s="17">
        <f t="shared" si="59"/>
        <v>1</v>
      </c>
      <c r="AF131" s="17">
        <f t="shared" si="59"/>
        <v>1</v>
      </c>
      <c r="AG131" s="17">
        <f t="shared" si="59"/>
        <v>1</v>
      </c>
      <c r="AH131" s="17">
        <f t="shared" si="59"/>
        <v>1</v>
      </c>
      <c r="AI131" s="17">
        <f t="shared" si="59"/>
        <v>1</v>
      </c>
      <c r="AJ131" s="17">
        <f t="shared" si="59"/>
        <v>1</v>
      </c>
      <c r="AK131" s="17">
        <f t="shared" si="59"/>
        <v>1</v>
      </c>
      <c r="AL131" s="17">
        <f t="shared" si="59"/>
        <v>1</v>
      </c>
      <c r="AM131" s="17">
        <f t="shared" si="59"/>
        <v>1</v>
      </c>
      <c r="AN131" s="17">
        <f t="shared" si="59"/>
        <v>1</v>
      </c>
      <c r="AO131" s="17">
        <f t="shared" si="59"/>
        <v>1</v>
      </c>
      <c r="AP131" s="17">
        <f t="shared" si="59"/>
        <v>1</v>
      </c>
      <c r="AQ131" s="17">
        <f t="shared" si="59"/>
        <v>1</v>
      </c>
      <c r="AR131" s="17">
        <f t="shared" si="59"/>
        <v>1</v>
      </c>
      <c r="AS131" s="17">
        <f t="shared" si="59"/>
        <v>1</v>
      </c>
    </row>
    <row r="132" spans="2:45" outlineLevel="1" collapsed="1" x14ac:dyDescent="0.15">
      <c r="B132" s="107" t="s">
        <v>483</v>
      </c>
      <c r="J132" s="14">
        <f t="shared" ref="J132:AS132" ca="1" si="60">IF(AND(J122=Eq_Ord_Yes,J129=Eq_Ord_Div_Meth_Pcent_Of_Npat),SUM(OFFSET(J124,0,1-J131,1,J131)),0)</f>
        <v>-7112.4718497491049</v>
      </c>
      <c r="K132" s="14">
        <f t="shared" ca="1" si="60"/>
        <v>-7882.7240998844463</v>
      </c>
      <c r="L132" s="14">
        <f t="shared" ca="1" si="60"/>
        <v>-7729.4652597562726</v>
      </c>
      <c r="M132" s="14">
        <f t="shared" ca="1" si="60"/>
        <v>-6692.5382937777777</v>
      </c>
      <c r="N132" s="14">
        <f t="shared" ca="1" si="60"/>
        <v>-10364.783474070253</v>
      </c>
      <c r="O132" s="14">
        <f t="shared" ca="1" si="60"/>
        <v>-8154.5365987240157</v>
      </c>
      <c r="P132" s="14">
        <f t="shared" ca="1" si="60"/>
        <v>-8420.2483729777778</v>
      </c>
      <c r="Q132" s="14">
        <f t="shared" ca="1" si="60"/>
        <v>-8452.8934254250908</v>
      </c>
      <c r="R132" s="14">
        <f t="shared" ca="1" si="60"/>
        <v>-9644.7014192711104</v>
      </c>
      <c r="S132" s="14">
        <f t="shared" ca="1" si="60"/>
        <v>-8971.7403971584245</v>
      </c>
      <c r="T132" s="14">
        <f t="shared" ca="1" si="60"/>
        <v>-8788.8003644444452</v>
      </c>
      <c r="U132" s="14">
        <f t="shared" ca="1" si="60"/>
        <v>-9447.6693323240142</v>
      </c>
      <c r="V132" s="14">
        <f t="shared" ca="1" si="60"/>
        <v>-9918.5109891326174</v>
      </c>
      <c r="W132" s="14">
        <f t="shared" ca="1" si="60"/>
        <v>-6915.8129987644452</v>
      </c>
      <c r="X132" s="14">
        <f t="shared" ca="1" si="60"/>
        <v>-6611.3433247885323</v>
      </c>
      <c r="Y132" s="14">
        <f t="shared" ca="1" si="60"/>
        <v>-5703.6046477777791</v>
      </c>
      <c r="Z132" s="14">
        <f t="shared" ca="1" si="60"/>
        <v>-10400.940800160573</v>
      </c>
      <c r="AA132" s="14">
        <f t="shared" ca="1" si="60"/>
        <v>-7578.3419087627253</v>
      </c>
      <c r="AB132" s="14">
        <f t="shared" ca="1" si="60"/>
        <v>-6722.619009777778</v>
      </c>
      <c r="AC132" s="14">
        <f t="shared" ca="1" si="60"/>
        <v>-6711.8671489863809</v>
      </c>
      <c r="AD132" s="14">
        <f t="shared" ca="1" si="60"/>
        <v>-8303.0657271111122</v>
      </c>
      <c r="AE132" s="14">
        <f t="shared" ca="1" si="60"/>
        <v>-7575.7188468358427</v>
      </c>
      <c r="AF132" s="14">
        <f t="shared" ca="1" si="60"/>
        <v>-7112.8978252444449</v>
      </c>
      <c r="AG132" s="14">
        <f t="shared" ca="1" si="60"/>
        <v>-8117.5244214594995</v>
      </c>
      <c r="AH132" s="14">
        <f t="shared" ca="1" si="60"/>
        <v>-8615.7589917132627</v>
      </c>
      <c r="AI132" s="14">
        <f t="shared" ca="1" si="60"/>
        <v>-4452.207966844443</v>
      </c>
      <c r="AJ132" s="14">
        <f t="shared" ca="1" si="60"/>
        <v>-4340.992110336917</v>
      </c>
      <c r="AK132" s="14">
        <f t="shared" ca="1" si="60"/>
        <v>-4099.727777777779</v>
      </c>
      <c r="AL132" s="14">
        <f t="shared" ca="1" si="60"/>
        <v>-9161.9791860702535</v>
      </c>
      <c r="AM132" s="14">
        <f t="shared" ca="1" si="60"/>
        <v>-5989.6791271627235</v>
      </c>
      <c r="AN132" s="14">
        <f t="shared" ca="1" si="60"/>
        <v>-5275.7968177777784</v>
      </c>
      <c r="AO132" s="14">
        <f t="shared" ca="1" si="60"/>
        <v>-4902.5107024573463</v>
      </c>
      <c r="AP132" s="14">
        <f t="shared" ca="1" si="60"/>
        <v>-7141.7200349511104</v>
      </c>
      <c r="AQ132" s="14">
        <f t="shared" ca="1" si="60"/>
        <v>-6456.7578618810039</v>
      </c>
      <c r="AR132" s="14">
        <f t="shared" ca="1" si="60"/>
        <v>-5514.3420636444425</v>
      </c>
      <c r="AS132" s="14">
        <f t="shared" ca="1" si="60"/>
        <v>-6962.8895105949832</v>
      </c>
    </row>
    <row r="133" spans="2:45" outlineLevel="1" x14ac:dyDescent="0.15">
      <c r="B133" s="107" t="str">
        <f>B103</f>
        <v>Dividend Amount</v>
      </c>
      <c r="J133" s="14">
        <f t="shared" ref="J133:AS133" si="61">IF(AND(J122=Eq_Ord_Yes,J129=Eq_Ord_Div_Meth_Amt),J103,0)</f>
        <v>0</v>
      </c>
      <c r="K133" s="14">
        <f t="shared" si="61"/>
        <v>0</v>
      </c>
      <c r="L133" s="14">
        <f t="shared" si="61"/>
        <v>0</v>
      </c>
      <c r="M133" s="14">
        <f t="shared" si="61"/>
        <v>0</v>
      </c>
      <c r="N133" s="14">
        <f t="shared" si="61"/>
        <v>0</v>
      </c>
      <c r="O133" s="14">
        <f t="shared" si="61"/>
        <v>0</v>
      </c>
      <c r="P133" s="14">
        <f t="shared" si="61"/>
        <v>0</v>
      </c>
      <c r="Q133" s="14">
        <f t="shared" si="61"/>
        <v>0</v>
      </c>
      <c r="R133" s="14">
        <f t="shared" si="61"/>
        <v>0</v>
      </c>
      <c r="S133" s="14">
        <f t="shared" si="61"/>
        <v>0</v>
      </c>
      <c r="T133" s="14">
        <f t="shared" si="61"/>
        <v>0</v>
      </c>
      <c r="U133" s="14">
        <f t="shared" si="61"/>
        <v>0</v>
      </c>
      <c r="V133" s="14">
        <f t="shared" si="61"/>
        <v>0</v>
      </c>
      <c r="W133" s="14">
        <f t="shared" si="61"/>
        <v>0</v>
      </c>
      <c r="X133" s="14">
        <f t="shared" si="61"/>
        <v>0</v>
      </c>
      <c r="Y133" s="14">
        <f t="shared" si="61"/>
        <v>0</v>
      </c>
      <c r="Z133" s="14">
        <f t="shared" si="61"/>
        <v>0</v>
      </c>
      <c r="AA133" s="14">
        <f t="shared" si="61"/>
        <v>0</v>
      </c>
      <c r="AB133" s="14">
        <f t="shared" si="61"/>
        <v>0</v>
      </c>
      <c r="AC133" s="14">
        <f t="shared" si="61"/>
        <v>0</v>
      </c>
      <c r="AD133" s="14">
        <f t="shared" si="61"/>
        <v>0</v>
      </c>
      <c r="AE133" s="14">
        <f t="shared" si="61"/>
        <v>0</v>
      </c>
      <c r="AF133" s="14">
        <f t="shared" si="61"/>
        <v>0</v>
      </c>
      <c r="AG133" s="14">
        <f t="shared" si="61"/>
        <v>0</v>
      </c>
      <c r="AH133" s="14">
        <f t="shared" si="61"/>
        <v>0</v>
      </c>
      <c r="AI133" s="14">
        <f t="shared" si="61"/>
        <v>0</v>
      </c>
      <c r="AJ133" s="14">
        <f t="shared" si="61"/>
        <v>0</v>
      </c>
      <c r="AK133" s="14">
        <f t="shared" si="61"/>
        <v>0</v>
      </c>
      <c r="AL133" s="14">
        <f t="shared" si="61"/>
        <v>0</v>
      </c>
      <c r="AM133" s="14">
        <f t="shared" si="61"/>
        <v>0</v>
      </c>
      <c r="AN133" s="14">
        <f t="shared" si="61"/>
        <v>0</v>
      </c>
      <c r="AO133" s="14">
        <f t="shared" si="61"/>
        <v>0</v>
      </c>
      <c r="AP133" s="14">
        <f t="shared" si="61"/>
        <v>0</v>
      </c>
      <c r="AQ133" s="14">
        <f t="shared" si="61"/>
        <v>0</v>
      </c>
      <c r="AR133" s="14">
        <f t="shared" si="61"/>
        <v>0</v>
      </c>
      <c r="AS133" s="14">
        <f t="shared" si="61"/>
        <v>0</v>
      </c>
    </row>
    <row r="134" spans="2:45" outlineLevel="1" x14ac:dyDescent="0.15">
      <c r="B134" s="16" t="s">
        <v>484</v>
      </c>
      <c r="J134" s="47">
        <f t="shared" ref="J134:AS134" ca="1" si="62">IF(J122&lt;&gt;Eq_Ord_Yes,0,MAX(0,IF(J129=Eq_Ord_Div_Meth_Pcent_Of_Npat,J130*J132,J133)))</f>
        <v>0</v>
      </c>
      <c r="K134" s="47">
        <f t="shared" ca="1" si="62"/>
        <v>0</v>
      </c>
      <c r="L134" s="47">
        <f t="shared" ca="1" si="62"/>
        <v>0</v>
      </c>
      <c r="M134" s="47">
        <f t="shared" ca="1" si="62"/>
        <v>0</v>
      </c>
      <c r="N134" s="47">
        <f t="shared" ca="1" si="62"/>
        <v>0</v>
      </c>
      <c r="O134" s="47">
        <f t="shared" ca="1" si="62"/>
        <v>0</v>
      </c>
      <c r="P134" s="47">
        <f t="shared" ca="1" si="62"/>
        <v>0</v>
      </c>
      <c r="Q134" s="47">
        <f t="shared" ca="1" si="62"/>
        <v>0</v>
      </c>
      <c r="R134" s="47">
        <f t="shared" ca="1" si="62"/>
        <v>0</v>
      </c>
      <c r="S134" s="47">
        <f t="shared" ca="1" si="62"/>
        <v>0</v>
      </c>
      <c r="T134" s="47">
        <f t="shared" ca="1" si="62"/>
        <v>0</v>
      </c>
      <c r="U134" s="47">
        <f t="shared" ca="1" si="62"/>
        <v>0</v>
      </c>
      <c r="V134" s="47">
        <f t="shared" ca="1" si="62"/>
        <v>0</v>
      </c>
      <c r="W134" s="47">
        <f t="shared" ca="1" si="62"/>
        <v>0</v>
      </c>
      <c r="X134" s="47">
        <f t="shared" ca="1" si="62"/>
        <v>0</v>
      </c>
      <c r="Y134" s="47">
        <f t="shared" ca="1" si="62"/>
        <v>0</v>
      </c>
      <c r="Z134" s="47">
        <f t="shared" ca="1" si="62"/>
        <v>0</v>
      </c>
      <c r="AA134" s="47">
        <f t="shared" ca="1" si="62"/>
        <v>0</v>
      </c>
      <c r="AB134" s="47">
        <f t="shared" ca="1" si="62"/>
        <v>0</v>
      </c>
      <c r="AC134" s="47">
        <f t="shared" ca="1" si="62"/>
        <v>0</v>
      </c>
      <c r="AD134" s="47">
        <f t="shared" ca="1" si="62"/>
        <v>0</v>
      </c>
      <c r="AE134" s="47">
        <f t="shared" ca="1" si="62"/>
        <v>0</v>
      </c>
      <c r="AF134" s="47">
        <f t="shared" ca="1" si="62"/>
        <v>0</v>
      </c>
      <c r="AG134" s="47">
        <f t="shared" ca="1" si="62"/>
        <v>0</v>
      </c>
      <c r="AH134" s="47">
        <f t="shared" ca="1" si="62"/>
        <v>0</v>
      </c>
      <c r="AI134" s="47">
        <f t="shared" ca="1" si="62"/>
        <v>0</v>
      </c>
      <c r="AJ134" s="47">
        <f t="shared" ca="1" si="62"/>
        <v>0</v>
      </c>
      <c r="AK134" s="47">
        <f t="shared" ca="1" si="62"/>
        <v>0</v>
      </c>
      <c r="AL134" s="47">
        <f t="shared" ca="1" si="62"/>
        <v>0</v>
      </c>
      <c r="AM134" s="47">
        <f t="shared" ca="1" si="62"/>
        <v>0</v>
      </c>
      <c r="AN134" s="47">
        <f t="shared" ca="1" si="62"/>
        <v>0</v>
      </c>
      <c r="AO134" s="47">
        <f t="shared" ca="1" si="62"/>
        <v>0</v>
      </c>
      <c r="AP134" s="47">
        <f t="shared" ca="1" si="62"/>
        <v>0</v>
      </c>
      <c r="AQ134" s="47">
        <f t="shared" ca="1" si="62"/>
        <v>0</v>
      </c>
      <c r="AR134" s="47">
        <f t="shared" ca="1" si="62"/>
        <v>0</v>
      </c>
      <c r="AS134" s="47">
        <f t="shared" ca="1" si="62"/>
        <v>0</v>
      </c>
    </row>
    <row r="135" spans="2:45" outlineLevel="1" x14ac:dyDescent="0.15">
      <c r="B135" s="107" t="s">
        <v>485</v>
      </c>
      <c r="J135" s="29" t="str">
        <f t="shared" ref="J135:AS135" ca="1" si="63">IF(J122=Eq_Ord_Yes,IF(AND(CB_Eq_Ord_Cash_Limit_Div,J134&gt;J128),Eq_Ord_Yes,Eq_Ord_No),"-")</f>
        <v>No</v>
      </c>
      <c r="K135" s="29" t="str">
        <f t="shared" ca="1" si="63"/>
        <v>No</v>
      </c>
      <c r="L135" s="29" t="str">
        <f t="shared" ca="1" si="63"/>
        <v>No</v>
      </c>
      <c r="M135" s="29" t="str">
        <f t="shared" ca="1" si="63"/>
        <v>No</v>
      </c>
      <c r="N135" s="29" t="str">
        <f t="shared" ca="1" si="63"/>
        <v>No</v>
      </c>
      <c r="O135" s="29" t="str">
        <f t="shared" ca="1" si="63"/>
        <v>No</v>
      </c>
      <c r="P135" s="29" t="str">
        <f t="shared" ca="1" si="63"/>
        <v>No</v>
      </c>
      <c r="Q135" s="29" t="str">
        <f t="shared" ca="1" si="63"/>
        <v>No</v>
      </c>
      <c r="R135" s="29" t="str">
        <f t="shared" ca="1" si="63"/>
        <v>No</v>
      </c>
      <c r="S135" s="29" t="str">
        <f t="shared" ca="1" si="63"/>
        <v>No</v>
      </c>
      <c r="T135" s="29" t="str">
        <f t="shared" ca="1" si="63"/>
        <v>No</v>
      </c>
      <c r="U135" s="29" t="str">
        <f t="shared" ca="1" si="63"/>
        <v>No</v>
      </c>
      <c r="V135" s="29" t="str">
        <f t="shared" ca="1" si="63"/>
        <v>No</v>
      </c>
      <c r="W135" s="29" t="str">
        <f t="shared" ca="1" si="63"/>
        <v>No</v>
      </c>
      <c r="X135" s="29" t="str">
        <f t="shared" ca="1" si="63"/>
        <v>No</v>
      </c>
      <c r="Y135" s="29" t="str">
        <f t="shared" ca="1" si="63"/>
        <v>No</v>
      </c>
      <c r="Z135" s="29" t="str">
        <f t="shared" ca="1" si="63"/>
        <v>No</v>
      </c>
      <c r="AA135" s="29" t="str">
        <f t="shared" ca="1" si="63"/>
        <v>No</v>
      </c>
      <c r="AB135" s="29" t="str">
        <f t="shared" ca="1" si="63"/>
        <v>No</v>
      </c>
      <c r="AC135" s="29" t="str">
        <f t="shared" ca="1" si="63"/>
        <v>No</v>
      </c>
      <c r="AD135" s="29" t="str">
        <f t="shared" ca="1" si="63"/>
        <v>No</v>
      </c>
      <c r="AE135" s="29" t="str">
        <f t="shared" ca="1" si="63"/>
        <v>No</v>
      </c>
      <c r="AF135" s="29" t="str">
        <f t="shared" ca="1" si="63"/>
        <v>No</v>
      </c>
      <c r="AG135" s="29" t="str">
        <f t="shared" ca="1" si="63"/>
        <v>No</v>
      </c>
      <c r="AH135" s="29" t="str">
        <f t="shared" ca="1" si="63"/>
        <v>No</v>
      </c>
      <c r="AI135" s="29" t="str">
        <f t="shared" ca="1" si="63"/>
        <v>No</v>
      </c>
      <c r="AJ135" s="29" t="str">
        <f t="shared" ca="1" si="63"/>
        <v>No</v>
      </c>
      <c r="AK135" s="29" t="str">
        <f t="shared" ca="1" si="63"/>
        <v>No</v>
      </c>
      <c r="AL135" s="29" t="str">
        <f t="shared" ca="1" si="63"/>
        <v>No</v>
      </c>
      <c r="AM135" s="29" t="str">
        <f t="shared" ca="1" si="63"/>
        <v>No</v>
      </c>
      <c r="AN135" s="29" t="str">
        <f t="shared" ca="1" si="63"/>
        <v>No</v>
      </c>
      <c r="AO135" s="29" t="str">
        <f t="shared" ca="1" si="63"/>
        <v>No</v>
      </c>
      <c r="AP135" s="29" t="str">
        <f t="shared" ca="1" si="63"/>
        <v>No</v>
      </c>
      <c r="AQ135" s="29" t="str">
        <f t="shared" ca="1" si="63"/>
        <v>No</v>
      </c>
      <c r="AR135" s="29" t="str">
        <f t="shared" ca="1" si="63"/>
        <v>No</v>
      </c>
      <c r="AS135" s="29" t="str">
        <f t="shared" ca="1" si="63"/>
        <v>No</v>
      </c>
    </row>
    <row r="136" spans="2:45" outlineLevel="1" x14ac:dyDescent="0.15">
      <c r="B136" s="16" t="str">
        <f>B121</f>
        <v>Dividends Declared</v>
      </c>
      <c r="J136" s="18">
        <f t="shared" ref="J136:AS136" ca="1" si="64">IF(CB_Eq_Ord_Cash_Limit_Div,MAX(0,MIN(J125,J128,J134)),MAX(0,MIN(J125,J134)))</f>
        <v>0</v>
      </c>
      <c r="K136" s="18">
        <f t="shared" ca="1" si="64"/>
        <v>0</v>
      </c>
      <c r="L136" s="18">
        <f t="shared" ca="1" si="64"/>
        <v>0</v>
      </c>
      <c r="M136" s="18">
        <f t="shared" ca="1" si="64"/>
        <v>0</v>
      </c>
      <c r="N136" s="18">
        <f t="shared" ca="1" si="64"/>
        <v>0</v>
      </c>
      <c r="O136" s="18">
        <f t="shared" ca="1" si="64"/>
        <v>0</v>
      </c>
      <c r="P136" s="18">
        <f t="shared" ca="1" si="64"/>
        <v>0</v>
      </c>
      <c r="Q136" s="18">
        <f t="shared" ca="1" si="64"/>
        <v>0</v>
      </c>
      <c r="R136" s="18">
        <f t="shared" ca="1" si="64"/>
        <v>0</v>
      </c>
      <c r="S136" s="18">
        <f t="shared" ca="1" si="64"/>
        <v>0</v>
      </c>
      <c r="T136" s="18">
        <f t="shared" ca="1" si="64"/>
        <v>0</v>
      </c>
      <c r="U136" s="18">
        <f t="shared" ca="1" si="64"/>
        <v>0</v>
      </c>
      <c r="V136" s="18">
        <f t="shared" ca="1" si="64"/>
        <v>0</v>
      </c>
      <c r="W136" s="18">
        <f t="shared" ca="1" si="64"/>
        <v>0</v>
      </c>
      <c r="X136" s="18">
        <f t="shared" ca="1" si="64"/>
        <v>0</v>
      </c>
      <c r="Y136" s="18">
        <f t="shared" ca="1" si="64"/>
        <v>0</v>
      </c>
      <c r="Z136" s="18">
        <f t="shared" ca="1" si="64"/>
        <v>0</v>
      </c>
      <c r="AA136" s="18">
        <f t="shared" ca="1" si="64"/>
        <v>0</v>
      </c>
      <c r="AB136" s="18">
        <f t="shared" ca="1" si="64"/>
        <v>0</v>
      </c>
      <c r="AC136" s="18">
        <f t="shared" ca="1" si="64"/>
        <v>0</v>
      </c>
      <c r="AD136" s="18">
        <f t="shared" ca="1" si="64"/>
        <v>0</v>
      </c>
      <c r="AE136" s="18">
        <f t="shared" ca="1" si="64"/>
        <v>0</v>
      </c>
      <c r="AF136" s="18">
        <f t="shared" ca="1" si="64"/>
        <v>0</v>
      </c>
      <c r="AG136" s="18">
        <f t="shared" ca="1" si="64"/>
        <v>0</v>
      </c>
      <c r="AH136" s="18">
        <f t="shared" ca="1" si="64"/>
        <v>0</v>
      </c>
      <c r="AI136" s="18">
        <f t="shared" ca="1" si="64"/>
        <v>0</v>
      </c>
      <c r="AJ136" s="18">
        <f t="shared" ca="1" si="64"/>
        <v>0</v>
      </c>
      <c r="AK136" s="18">
        <f t="shared" ca="1" si="64"/>
        <v>0</v>
      </c>
      <c r="AL136" s="18">
        <f t="shared" ca="1" si="64"/>
        <v>0</v>
      </c>
      <c r="AM136" s="18">
        <f t="shared" ca="1" si="64"/>
        <v>0</v>
      </c>
      <c r="AN136" s="18">
        <f t="shared" ca="1" si="64"/>
        <v>0</v>
      </c>
      <c r="AO136" s="18">
        <f t="shared" ca="1" si="64"/>
        <v>0</v>
      </c>
      <c r="AP136" s="18">
        <f t="shared" ca="1" si="64"/>
        <v>0</v>
      </c>
      <c r="AQ136" s="18">
        <f t="shared" ca="1" si="64"/>
        <v>0</v>
      </c>
      <c r="AR136" s="18">
        <f t="shared" ca="1" si="64"/>
        <v>0</v>
      </c>
      <c r="AS136" s="18">
        <f t="shared" ca="1" si="64"/>
        <v>0</v>
      </c>
    </row>
    <row r="137" spans="2:45" outlineLevel="1" x14ac:dyDescent="0.15">
      <c r="B137" s="107" t="str">
        <f>B104</f>
        <v>Dividend Payment Delay (Months)</v>
      </c>
      <c r="J137" s="17">
        <f t="shared" ref="J137:AS137" si="65">IF(J122&lt;&gt;Eq_Ord_Yes,0,J104)</f>
        <v>1</v>
      </c>
      <c r="K137" s="17">
        <f t="shared" si="65"/>
        <v>1</v>
      </c>
      <c r="L137" s="17">
        <f t="shared" si="65"/>
        <v>1</v>
      </c>
      <c r="M137" s="17">
        <f t="shared" si="65"/>
        <v>1</v>
      </c>
      <c r="N137" s="17">
        <f t="shared" si="65"/>
        <v>1</v>
      </c>
      <c r="O137" s="17">
        <f t="shared" si="65"/>
        <v>1</v>
      </c>
      <c r="P137" s="17">
        <f t="shared" si="65"/>
        <v>1</v>
      </c>
      <c r="Q137" s="17">
        <f t="shared" si="65"/>
        <v>1</v>
      </c>
      <c r="R137" s="17">
        <f t="shared" si="65"/>
        <v>1</v>
      </c>
      <c r="S137" s="17">
        <f t="shared" si="65"/>
        <v>1</v>
      </c>
      <c r="T137" s="17">
        <f t="shared" si="65"/>
        <v>1</v>
      </c>
      <c r="U137" s="17">
        <f t="shared" si="65"/>
        <v>1</v>
      </c>
      <c r="V137" s="17">
        <f t="shared" si="65"/>
        <v>1</v>
      </c>
      <c r="W137" s="17">
        <f t="shared" si="65"/>
        <v>1</v>
      </c>
      <c r="X137" s="17">
        <f t="shared" si="65"/>
        <v>1</v>
      </c>
      <c r="Y137" s="17">
        <f t="shared" si="65"/>
        <v>1</v>
      </c>
      <c r="Z137" s="17">
        <f t="shared" si="65"/>
        <v>1</v>
      </c>
      <c r="AA137" s="17">
        <f t="shared" si="65"/>
        <v>1</v>
      </c>
      <c r="AB137" s="17">
        <f t="shared" si="65"/>
        <v>1</v>
      </c>
      <c r="AC137" s="17">
        <f t="shared" si="65"/>
        <v>1</v>
      </c>
      <c r="AD137" s="17">
        <f t="shared" si="65"/>
        <v>1</v>
      </c>
      <c r="AE137" s="17">
        <f t="shared" si="65"/>
        <v>1</v>
      </c>
      <c r="AF137" s="17">
        <f t="shared" si="65"/>
        <v>1</v>
      </c>
      <c r="AG137" s="17">
        <f t="shared" si="65"/>
        <v>1</v>
      </c>
      <c r="AH137" s="17">
        <f t="shared" si="65"/>
        <v>1</v>
      </c>
      <c r="AI137" s="17">
        <f t="shared" si="65"/>
        <v>1</v>
      </c>
      <c r="AJ137" s="17">
        <f t="shared" si="65"/>
        <v>1</v>
      </c>
      <c r="AK137" s="17">
        <f t="shared" si="65"/>
        <v>1</v>
      </c>
      <c r="AL137" s="17">
        <f t="shared" si="65"/>
        <v>1</v>
      </c>
      <c r="AM137" s="17">
        <f t="shared" si="65"/>
        <v>1</v>
      </c>
      <c r="AN137" s="17">
        <f t="shared" si="65"/>
        <v>1</v>
      </c>
      <c r="AO137" s="17">
        <f t="shared" si="65"/>
        <v>1</v>
      </c>
      <c r="AP137" s="17">
        <f t="shared" si="65"/>
        <v>1</v>
      </c>
      <c r="AQ137" s="17">
        <f t="shared" si="65"/>
        <v>1</v>
      </c>
      <c r="AR137" s="17">
        <f t="shared" si="65"/>
        <v>1</v>
      </c>
      <c r="AS137" s="17">
        <f t="shared" si="65"/>
        <v>1</v>
      </c>
    </row>
    <row r="138" spans="2:45" outlineLevel="1" x14ac:dyDescent="0.15">
      <c r="B138" s="107" t="s">
        <v>486</v>
      </c>
      <c r="J138" s="32">
        <f t="shared" ref="J138:AS138" si="66">IF(J122&lt;&gt;Eq_Ord_Yes,0,EDATE(J$6,1+J137)-1)</f>
        <v>45199</v>
      </c>
      <c r="K138" s="32">
        <f t="shared" si="66"/>
        <v>45230</v>
      </c>
      <c r="L138" s="32">
        <f t="shared" si="66"/>
        <v>45260</v>
      </c>
      <c r="M138" s="32">
        <f t="shared" si="66"/>
        <v>45291</v>
      </c>
      <c r="N138" s="32">
        <f t="shared" si="66"/>
        <v>45322</v>
      </c>
      <c r="O138" s="32">
        <f t="shared" si="66"/>
        <v>45351</v>
      </c>
      <c r="P138" s="32">
        <f t="shared" si="66"/>
        <v>45382</v>
      </c>
      <c r="Q138" s="32">
        <f t="shared" si="66"/>
        <v>45412</v>
      </c>
      <c r="R138" s="32">
        <f t="shared" si="66"/>
        <v>45443</v>
      </c>
      <c r="S138" s="32">
        <f t="shared" si="66"/>
        <v>45473</v>
      </c>
      <c r="T138" s="32">
        <f t="shared" si="66"/>
        <v>45504</v>
      </c>
      <c r="U138" s="32">
        <f t="shared" si="66"/>
        <v>45535</v>
      </c>
      <c r="V138" s="32">
        <f t="shared" si="66"/>
        <v>45565</v>
      </c>
      <c r="W138" s="32">
        <f t="shared" si="66"/>
        <v>45596</v>
      </c>
      <c r="X138" s="32">
        <f t="shared" si="66"/>
        <v>45626</v>
      </c>
      <c r="Y138" s="32">
        <f t="shared" si="66"/>
        <v>45657</v>
      </c>
      <c r="Z138" s="32">
        <f t="shared" si="66"/>
        <v>45688</v>
      </c>
      <c r="AA138" s="32">
        <f t="shared" si="66"/>
        <v>45716</v>
      </c>
      <c r="AB138" s="32">
        <f t="shared" si="66"/>
        <v>45747</v>
      </c>
      <c r="AC138" s="32">
        <f t="shared" si="66"/>
        <v>45777</v>
      </c>
      <c r="AD138" s="32">
        <f t="shared" si="66"/>
        <v>45808</v>
      </c>
      <c r="AE138" s="32">
        <f t="shared" si="66"/>
        <v>45838</v>
      </c>
      <c r="AF138" s="32">
        <f t="shared" si="66"/>
        <v>45869</v>
      </c>
      <c r="AG138" s="32">
        <f t="shared" si="66"/>
        <v>45900</v>
      </c>
      <c r="AH138" s="32">
        <f t="shared" si="66"/>
        <v>45930</v>
      </c>
      <c r="AI138" s="32">
        <f t="shared" si="66"/>
        <v>45961</v>
      </c>
      <c r="AJ138" s="32">
        <f t="shared" si="66"/>
        <v>45991</v>
      </c>
      <c r="AK138" s="32">
        <f t="shared" si="66"/>
        <v>46022</v>
      </c>
      <c r="AL138" s="32">
        <f t="shared" si="66"/>
        <v>46053</v>
      </c>
      <c r="AM138" s="32">
        <f t="shared" si="66"/>
        <v>46081</v>
      </c>
      <c r="AN138" s="32">
        <f t="shared" si="66"/>
        <v>46112</v>
      </c>
      <c r="AO138" s="32">
        <f t="shared" si="66"/>
        <v>46142</v>
      </c>
      <c r="AP138" s="32">
        <f t="shared" si="66"/>
        <v>46173</v>
      </c>
      <c r="AQ138" s="32">
        <f t="shared" si="66"/>
        <v>46203</v>
      </c>
      <c r="AR138" s="32">
        <f t="shared" si="66"/>
        <v>46234</v>
      </c>
      <c r="AS138" s="32">
        <f t="shared" si="66"/>
        <v>46265</v>
      </c>
    </row>
    <row r="139" spans="2:45" outlineLevel="1" x14ac:dyDescent="0.15">
      <c r="B139" s="16" t="s">
        <v>487</v>
      </c>
      <c r="J139" s="18">
        <f>SUMIF($J138:J138,J$7,$J136:J136)</f>
        <v>0</v>
      </c>
      <c r="K139" s="18">
        <f ca="1">SUMIF($J138:K138,K$7,$J136:K136)</f>
        <v>0</v>
      </c>
      <c r="L139" s="18">
        <f ca="1">SUMIF($J138:L138,L$7,$J136:L136)</f>
        <v>0</v>
      </c>
      <c r="M139" s="18">
        <f ca="1">SUMIF($J138:M138,M$7,$J136:M136)</f>
        <v>0</v>
      </c>
      <c r="N139" s="18">
        <f ca="1">SUMIF($J138:N138,N$7,$J136:N136)</f>
        <v>0</v>
      </c>
      <c r="O139" s="18">
        <f ca="1">SUMIF($J138:O138,O$7,$J136:O136)</f>
        <v>0</v>
      </c>
      <c r="P139" s="18">
        <f ca="1">SUMIF($J138:P138,P$7,$J136:P136)</f>
        <v>0</v>
      </c>
      <c r="Q139" s="18">
        <f ca="1">SUMIF($J138:Q138,Q$7,$J136:Q136)</f>
        <v>0</v>
      </c>
      <c r="R139" s="18">
        <f ca="1">SUMIF($J138:R138,R$7,$J136:R136)</f>
        <v>0</v>
      </c>
      <c r="S139" s="18">
        <f ca="1">SUMIF($J138:S138,S$7,$J136:S136)</f>
        <v>0</v>
      </c>
      <c r="T139" s="18">
        <f ca="1">SUMIF($J138:T138,T$7,$J136:T136)</f>
        <v>0</v>
      </c>
      <c r="U139" s="18">
        <f ca="1">SUMIF($J138:U138,U$7,$J136:U136)</f>
        <v>0</v>
      </c>
      <c r="V139" s="18">
        <f ca="1">SUMIF($J138:V138,V$7,$J136:V136)</f>
        <v>0</v>
      </c>
      <c r="W139" s="18">
        <f ca="1">SUMIF($J138:W138,W$7,$J136:W136)</f>
        <v>0</v>
      </c>
      <c r="X139" s="18">
        <f ca="1">SUMIF($J138:X138,X$7,$J136:X136)</f>
        <v>0</v>
      </c>
      <c r="Y139" s="18">
        <f ca="1">SUMIF($J138:Y138,Y$7,$J136:Y136)</f>
        <v>0</v>
      </c>
      <c r="Z139" s="18">
        <f ca="1">SUMIF($J138:Z138,Z$7,$J136:Z136)</f>
        <v>0</v>
      </c>
      <c r="AA139" s="18">
        <f ca="1">SUMIF($J138:AA138,AA$7,$J136:AA136)</f>
        <v>0</v>
      </c>
      <c r="AB139" s="18">
        <f ca="1">SUMIF($J138:AB138,AB$7,$J136:AB136)</f>
        <v>0</v>
      </c>
      <c r="AC139" s="18">
        <f ca="1">SUMIF($J138:AC138,AC$7,$J136:AC136)</f>
        <v>0</v>
      </c>
      <c r="AD139" s="18">
        <f ca="1">SUMIF($J138:AD138,AD$7,$J136:AD136)</f>
        <v>0</v>
      </c>
      <c r="AE139" s="18">
        <f ca="1">SUMIF($J138:AE138,AE$7,$J136:AE136)</f>
        <v>0</v>
      </c>
      <c r="AF139" s="18">
        <f ca="1">SUMIF($J138:AF138,AF$7,$J136:AF136)</f>
        <v>0</v>
      </c>
      <c r="AG139" s="18">
        <f ca="1">SUMIF($J138:AG138,AG$7,$J136:AG136)</f>
        <v>0</v>
      </c>
      <c r="AH139" s="18">
        <f ca="1">SUMIF($J138:AH138,AH$7,$J136:AH136)</f>
        <v>0</v>
      </c>
      <c r="AI139" s="18">
        <f ca="1">SUMIF($J138:AI138,AI$7,$J136:AI136)</f>
        <v>0</v>
      </c>
      <c r="AJ139" s="18">
        <f ca="1">SUMIF($J138:AJ138,AJ$7,$J136:AJ136)</f>
        <v>0</v>
      </c>
      <c r="AK139" s="18">
        <f ca="1">SUMIF($J138:AK138,AK$7,$J136:AK136)</f>
        <v>0</v>
      </c>
      <c r="AL139" s="18">
        <f ca="1">SUMIF($J138:AL138,AL$7,$J136:AL136)</f>
        <v>0</v>
      </c>
      <c r="AM139" s="18">
        <f ca="1">SUMIF($J138:AM138,AM$7,$J136:AM136)</f>
        <v>0</v>
      </c>
      <c r="AN139" s="18">
        <f ca="1">SUMIF($J138:AN138,AN$7,$J136:AN136)</f>
        <v>0</v>
      </c>
      <c r="AO139" s="18">
        <f ca="1">SUMIF($J138:AO138,AO$7,$J136:AO136)</f>
        <v>0</v>
      </c>
      <c r="AP139" s="18">
        <f ca="1">SUMIF($J138:AP138,AP$7,$J136:AP136)</f>
        <v>0</v>
      </c>
      <c r="AQ139" s="18">
        <f ca="1">SUMIF($J138:AQ138,AQ$7,$J136:AQ136)</f>
        <v>0</v>
      </c>
      <c r="AR139" s="18">
        <f ca="1">SUMIF($J138:AR138,AR$7,$J136:AR136)</f>
        <v>0</v>
      </c>
      <c r="AS139" s="18">
        <f ca="1">SUMIF($J138:AS138,AS$7,$J136:AS136)</f>
        <v>0</v>
      </c>
    </row>
    <row r="140" spans="2:45" outlineLevel="1" x14ac:dyDescent="0.15"/>
    <row r="141" spans="2:45" hidden="1" outlineLevel="2" x14ac:dyDescent="0.15">
      <c r="C141" s="107" t="s">
        <v>192</v>
      </c>
      <c r="J141" s="17">
        <f t="shared" ref="J141:AS141" ca="1" si="67">IF(ISERROR(SUM(J156,J164)),1,0)</f>
        <v>0</v>
      </c>
      <c r="K141" s="17">
        <f t="shared" ca="1" si="67"/>
        <v>0</v>
      </c>
      <c r="L141" s="17">
        <f t="shared" ca="1" si="67"/>
        <v>0</v>
      </c>
      <c r="M141" s="17">
        <f t="shared" ca="1" si="67"/>
        <v>0</v>
      </c>
      <c r="N141" s="17">
        <f t="shared" ca="1" si="67"/>
        <v>0</v>
      </c>
      <c r="O141" s="17">
        <f t="shared" ca="1" si="67"/>
        <v>0</v>
      </c>
      <c r="P141" s="17">
        <f t="shared" ca="1" si="67"/>
        <v>0</v>
      </c>
      <c r="Q141" s="17">
        <f t="shared" ca="1" si="67"/>
        <v>0</v>
      </c>
      <c r="R141" s="17">
        <f t="shared" ca="1" si="67"/>
        <v>0</v>
      </c>
      <c r="S141" s="17">
        <f t="shared" ca="1" si="67"/>
        <v>0</v>
      </c>
      <c r="T141" s="17">
        <f t="shared" ca="1" si="67"/>
        <v>0</v>
      </c>
      <c r="U141" s="17">
        <f t="shared" ca="1" si="67"/>
        <v>0</v>
      </c>
      <c r="V141" s="17">
        <f t="shared" ca="1" si="67"/>
        <v>0</v>
      </c>
      <c r="W141" s="17">
        <f t="shared" ca="1" si="67"/>
        <v>0</v>
      </c>
      <c r="X141" s="17">
        <f t="shared" ca="1" si="67"/>
        <v>0</v>
      </c>
      <c r="Y141" s="17">
        <f t="shared" ca="1" si="67"/>
        <v>0</v>
      </c>
      <c r="Z141" s="17">
        <f t="shared" ca="1" si="67"/>
        <v>0</v>
      </c>
      <c r="AA141" s="17">
        <f t="shared" ca="1" si="67"/>
        <v>0</v>
      </c>
      <c r="AB141" s="17">
        <f t="shared" ca="1" si="67"/>
        <v>0</v>
      </c>
      <c r="AC141" s="17">
        <f t="shared" ca="1" si="67"/>
        <v>0</v>
      </c>
      <c r="AD141" s="17">
        <f t="shared" ca="1" si="67"/>
        <v>0</v>
      </c>
      <c r="AE141" s="17">
        <f t="shared" ca="1" si="67"/>
        <v>0</v>
      </c>
      <c r="AF141" s="17">
        <f t="shared" ca="1" si="67"/>
        <v>0</v>
      </c>
      <c r="AG141" s="17">
        <f t="shared" ca="1" si="67"/>
        <v>0</v>
      </c>
      <c r="AH141" s="17">
        <f t="shared" ca="1" si="67"/>
        <v>0</v>
      </c>
      <c r="AI141" s="17">
        <f t="shared" ca="1" si="67"/>
        <v>0</v>
      </c>
      <c r="AJ141" s="17">
        <f t="shared" ca="1" si="67"/>
        <v>0</v>
      </c>
      <c r="AK141" s="17">
        <f t="shared" ca="1" si="67"/>
        <v>0</v>
      </c>
      <c r="AL141" s="17">
        <f t="shared" ca="1" si="67"/>
        <v>0</v>
      </c>
      <c r="AM141" s="17">
        <f t="shared" ca="1" si="67"/>
        <v>0</v>
      </c>
      <c r="AN141" s="17">
        <f t="shared" ca="1" si="67"/>
        <v>0</v>
      </c>
      <c r="AO141" s="17">
        <f t="shared" ca="1" si="67"/>
        <v>0</v>
      </c>
      <c r="AP141" s="17">
        <f t="shared" ca="1" si="67"/>
        <v>0</v>
      </c>
      <c r="AQ141" s="17">
        <f t="shared" ca="1" si="67"/>
        <v>0</v>
      </c>
      <c r="AR141" s="17">
        <f t="shared" ca="1" si="67"/>
        <v>0</v>
      </c>
      <c r="AS141" s="17">
        <f t="shared" ca="1" si="67"/>
        <v>0</v>
      </c>
    </row>
    <row r="142" spans="2:45" hidden="1" outlineLevel="2" x14ac:dyDescent="0.15">
      <c r="C142" s="107" t="s">
        <v>488</v>
      </c>
      <c r="J142" s="17">
        <f t="shared" ref="J142:AS142" ca="1" si="68">IF(J141&lt;&gt;0,0,IF(ROUND(J156-SUM(J153:J155),5)&lt;&gt;0,1,0))</f>
        <v>0</v>
      </c>
      <c r="K142" s="17">
        <f t="shared" ca="1" si="68"/>
        <v>0</v>
      </c>
      <c r="L142" s="17">
        <f t="shared" ca="1" si="68"/>
        <v>0</v>
      </c>
      <c r="M142" s="17">
        <f t="shared" ca="1" si="68"/>
        <v>0</v>
      </c>
      <c r="N142" s="17">
        <f t="shared" ca="1" si="68"/>
        <v>0</v>
      </c>
      <c r="O142" s="17">
        <f t="shared" ca="1" si="68"/>
        <v>0</v>
      </c>
      <c r="P142" s="17">
        <f t="shared" ca="1" si="68"/>
        <v>0</v>
      </c>
      <c r="Q142" s="17">
        <f t="shared" ca="1" si="68"/>
        <v>0</v>
      </c>
      <c r="R142" s="17">
        <f t="shared" ca="1" si="68"/>
        <v>0</v>
      </c>
      <c r="S142" s="17">
        <f t="shared" ca="1" si="68"/>
        <v>0</v>
      </c>
      <c r="T142" s="17">
        <f t="shared" ca="1" si="68"/>
        <v>0</v>
      </c>
      <c r="U142" s="17">
        <f t="shared" ca="1" si="68"/>
        <v>0</v>
      </c>
      <c r="V142" s="17">
        <f t="shared" ca="1" si="68"/>
        <v>0</v>
      </c>
      <c r="W142" s="17">
        <f t="shared" ca="1" si="68"/>
        <v>0</v>
      </c>
      <c r="X142" s="17">
        <f t="shared" ca="1" si="68"/>
        <v>0</v>
      </c>
      <c r="Y142" s="17">
        <f t="shared" ca="1" si="68"/>
        <v>0</v>
      </c>
      <c r="Z142" s="17">
        <f t="shared" ca="1" si="68"/>
        <v>0</v>
      </c>
      <c r="AA142" s="17">
        <f t="shared" ca="1" si="68"/>
        <v>0</v>
      </c>
      <c r="AB142" s="17">
        <f t="shared" ca="1" si="68"/>
        <v>0</v>
      </c>
      <c r="AC142" s="17">
        <f t="shared" ca="1" si="68"/>
        <v>0</v>
      </c>
      <c r="AD142" s="17">
        <f t="shared" ca="1" si="68"/>
        <v>0</v>
      </c>
      <c r="AE142" s="17">
        <f t="shared" ca="1" si="68"/>
        <v>0</v>
      </c>
      <c r="AF142" s="17">
        <f t="shared" ca="1" si="68"/>
        <v>0</v>
      </c>
      <c r="AG142" s="17">
        <f t="shared" ca="1" si="68"/>
        <v>0</v>
      </c>
      <c r="AH142" s="17">
        <f t="shared" ca="1" si="68"/>
        <v>0</v>
      </c>
      <c r="AI142" s="17">
        <f t="shared" ca="1" si="68"/>
        <v>0</v>
      </c>
      <c r="AJ142" s="17">
        <f t="shared" ca="1" si="68"/>
        <v>0</v>
      </c>
      <c r="AK142" s="17">
        <f t="shared" ca="1" si="68"/>
        <v>0</v>
      </c>
      <c r="AL142" s="17">
        <f t="shared" ca="1" si="68"/>
        <v>0</v>
      </c>
      <c r="AM142" s="17">
        <f t="shared" ca="1" si="68"/>
        <v>0</v>
      </c>
      <c r="AN142" s="17">
        <f t="shared" ca="1" si="68"/>
        <v>0</v>
      </c>
      <c r="AO142" s="17">
        <f t="shared" ca="1" si="68"/>
        <v>0</v>
      </c>
      <c r="AP142" s="17">
        <f t="shared" ca="1" si="68"/>
        <v>0</v>
      </c>
      <c r="AQ142" s="17">
        <f t="shared" ca="1" si="68"/>
        <v>0</v>
      </c>
      <c r="AR142" s="17">
        <f t="shared" ca="1" si="68"/>
        <v>0</v>
      </c>
      <c r="AS142" s="17">
        <f t="shared" ca="1" si="68"/>
        <v>0</v>
      </c>
    </row>
    <row r="143" spans="2:45" hidden="1" outlineLevel="2" x14ac:dyDescent="0.15">
      <c r="C143" s="107" t="s">
        <v>489</v>
      </c>
      <c r="J143" s="42">
        <f t="shared" ref="J143:AS143" ca="1" si="69">IF(J141&lt;&gt;0,0,IF(ROUND(J164-SUM(J159,J160,J163),5)&lt;&gt;0,1,0))</f>
        <v>0</v>
      </c>
      <c r="K143" s="42">
        <f t="shared" ca="1" si="69"/>
        <v>0</v>
      </c>
      <c r="L143" s="42">
        <f t="shared" ca="1" si="69"/>
        <v>0</v>
      </c>
      <c r="M143" s="42">
        <f t="shared" ca="1" si="69"/>
        <v>0</v>
      </c>
      <c r="N143" s="42">
        <f t="shared" ca="1" si="69"/>
        <v>0</v>
      </c>
      <c r="O143" s="42">
        <f t="shared" ca="1" si="69"/>
        <v>0</v>
      </c>
      <c r="P143" s="42">
        <f t="shared" ca="1" si="69"/>
        <v>0</v>
      </c>
      <c r="Q143" s="42">
        <f t="shared" ca="1" si="69"/>
        <v>0</v>
      </c>
      <c r="R143" s="42">
        <f t="shared" ca="1" si="69"/>
        <v>0</v>
      </c>
      <c r="S143" s="42">
        <f t="shared" ca="1" si="69"/>
        <v>0</v>
      </c>
      <c r="T143" s="42">
        <f t="shared" ca="1" si="69"/>
        <v>0</v>
      </c>
      <c r="U143" s="42">
        <f t="shared" ca="1" si="69"/>
        <v>0</v>
      </c>
      <c r="V143" s="42">
        <f t="shared" ca="1" si="69"/>
        <v>0</v>
      </c>
      <c r="W143" s="42">
        <f t="shared" ca="1" si="69"/>
        <v>0</v>
      </c>
      <c r="X143" s="42">
        <f t="shared" ca="1" si="69"/>
        <v>0</v>
      </c>
      <c r="Y143" s="42">
        <f t="shared" ca="1" si="69"/>
        <v>0</v>
      </c>
      <c r="Z143" s="42">
        <f t="shared" ca="1" si="69"/>
        <v>0</v>
      </c>
      <c r="AA143" s="42">
        <f t="shared" ca="1" si="69"/>
        <v>0</v>
      </c>
      <c r="AB143" s="42">
        <f t="shared" ca="1" si="69"/>
        <v>0</v>
      </c>
      <c r="AC143" s="42">
        <f t="shared" ca="1" si="69"/>
        <v>0</v>
      </c>
      <c r="AD143" s="42">
        <f t="shared" ca="1" si="69"/>
        <v>0</v>
      </c>
      <c r="AE143" s="42">
        <f t="shared" ca="1" si="69"/>
        <v>0</v>
      </c>
      <c r="AF143" s="42">
        <f t="shared" ca="1" si="69"/>
        <v>0</v>
      </c>
      <c r="AG143" s="42">
        <f t="shared" ca="1" si="69"/>
        <v>0</v>
      </c>
      <c r="AH143" s="42">
        <f t="shared" ca="1" si="69"/>
        <v>0</v>
      </c>
      <c r="AI143" s="42">
        <f t="shared" ca="1" si="69"/>
        <v>0</v>
      </c>
      <c r="AJ143" s="42">
        <f t="shared" ca="1" si="69"/>
        <v>0</v>
      </c>
      <c r="AK143" s="42">
        <f t="shared" ca="1" si="69"/>
        <v>0</v>
      </c>
      <c r="AL143" s="42">
        <f t="shared" ca="1" si="69"/>
        <v>0</v>
      </c>
      <c r="AM143" s="42">
        <f t="shared" ca="1" si="69"/>
        <v>0</v>
      </c>
      <c r="AN143" s="42">
        <f t="shared" ca="1" si="69"/>
        <v>0</v>
      </c>
      <c r="AO143" s="42">
        <f t="shared" ca="1" si="69"/>
        <v>0</v>
      </c>
      <c r="AP143" s="42">
        <f t="shared" ca="1" si="69"/>
        <v>0</v>
      </c>
      <c r="AQ143" s="42">
        <f t="shared" ca="1" si="69"/>
        <v>0</v>
      </c>
      <c r="AR143" s="42">
        <f t="shared" ca="1" si="69"/>
        <v>0</v>
      </c>
      <c r="AS143" s="42">
        <f t="shared" ca="1" si="69"/>
        <v>0</v>
      </c>
    </row>
    <row r="144" spans="2:45" outlineLevel="1" collapsed="1" x14ac:dyDescent="0.15">
      <c r="B144" s="107" t="s">
        <v>335</v>
      </c>
      <c r="I144" s="22">
        <f ca="1">IF(ISERROR(SUM(J144:AS144)),1,MIN(SUM(J144:AS144),1))</f>
        <v>0</v>
      </c>
      <c r="J144" s="17">
        <f t="shared" ref="J144:AS144" ca="1" si="70">MIN(SUM(J141:J143),1)</f>
        <v>0</v>
      </c>
      <c r="K144" s="17">
        <f t="shared" ca="1" si="70"/>
        <v>0</v>
      </c>
      <c r="L144" s="17">
        <f t="shared" ca="1" si="70"/>
        <v>0</v>
      </c>
      <c r="M144" s="17">
        <f t="shared" ca="1" si="70"/>
        <v>0</v>
      </c>
      <c r="N144" s="17">
        <f t="shared" ca="1" si="70"/>
        <v>0</v>
      </c>
      <c r="O144" s="17">
        <f t="shared" ca="1" si="70"/>
        <v>0</v>
      </c>
      <c r="P144" s="17">
        <f t="shared" ca="1" si="70"/>
        <v>0</v>
      </c>
      <c r="Q144" s="17">
        <f t="shared" ca="1" si="70"/>
        <v>0</v>
      </c>
      <c r="R144" s="17">
        <f t="shared" ca="1" si="70"/>
        <v>0</v>
      </c>
      <c r="S144" s="17">
        <f t="shared" ca="1" si="70"/>
        <v>0</v>
      </c>
      <c r="T144" s="17">
        <f t="shared" ca="1" si="70"/>
        <v>0</v>
      </c>
      <c r="U144" s="17">
        <f t="shared" ca="1" si="70"/>
        <v>0</v>
      </c>
      <c r="V144" s="17">
        <f t="shared" ca="1" si="70"/>
        <v>0</v>
      </c>
      <c r="W144" s="17">
        <f t="shared" ca="1" si="70"/>
        <v>0</v>
      </c>
      <c r="X144" s="17">
        <f t="shared" ca="1" si="70"/>
        <v>0</v>
      </c>
      <c r="Y144" s="17">
        <f t="shared" ca="1" si="70"/>
        <v>0</v>
      </c>
      <c r="Z144" s="17">
        <f t="shared" ca="1" si="70"/>
        <v>0</v>
      </c>
      <c r="AA144" s="17">
        <f t="shared" ca="1" si="70"/>
        <v>0</v>
      </c>
      <c r="AB144" s="17">
        <f t="shared" ca="1" si="70"/>
        <v>0</v>
      </c>
      <c r="AC144" s="17">
        <f t="shared" ca="1" si="70"/>
        <v>0</v>
      </c>
      <c r="AD144" s="17">
        <f t="shared" ca="1" si="70"/>
        <v>0</v>
      </c>
      <c r="AE144" s="17">
        <f t="shared" ca="1" si="70"/>
        <v>0</v>
      </c>
      <c r="AF144" s="17">
        <f t="shared" ca="1" si="70"/>
        <v>0</v>
      </c>
      <c r="AG144" s="17">
        <f t="shared" ca="1" si="70"/>
        <v>0</v>
      </c>
      <c r="AH144" s="17">
        <f t="shared" ca="1" si="70"/>
        <v>0</v>
      </c>
      <c r="AI144" s="17">
        <f t="shared" ca="1" si="70"/>
        <v>0</v>
      </c>
      <c r="AJ144" s="17">
        <f t="shared" ca="1" si="70"/>
        <v>0</v>
      </c>
      <c r="AK144" s="17">
        <f t="shared" ca="1" si="70"/>
        <v>0</v>
      </c>
      <c r="AL144" s="17">
        <f t="shared" ca="1" si="70"/>
        <v>0</v>
      </c>
      <c r="AM144" s="17">
        <f t="shared" ca="1" si="70"/>
        <v>0</v>
      </c>
      <c r="AN144" s="17">
        <f t="shared" ca="1" si="70"/>
        <v>0</v>
      </c>
      <c r="AO144" s="17">
        <f t="shared" ca="1" si="70"/>
        <v>0</v>
      </c>
      <c r="AP144" s="17">
        <f t="shared" ca="1" si="70"/>
        <v>0</v>
      </c>
      <c r="AQ144" s="17">
        <f t="shared" ca="1" si="70"/>
        <v>0</v>
      </c>
      <c r="AR144" s="17">
        <f t="shared" ca="1" si="70"/>
        <v>0</v>
      </c>
      <c r="AS144" s="17">
        <f t="shared" ca="1" si="70"/>
        <v>0</v>
      </c>
    </row>
    <row r="145" spans="2:45" ht="6" hidden="1" customHeight="1" outlineLevel="2" x14ac:dyDescent="0.15"/>
    <row r="146" spans="2:45" hidden="1" outlineLevel="2" x14ac:dyDescent="0.15">
      <c r="C146" s="107" t="s">
        <v>490</v>
      </c>
      <c r="J146" s="17">
        <f t="shared" ref="J146:AS146" ca="1" si="71">IF(J144&lt;&gt;0,0,IF(ROUND(J156,5)&lt;0,1,0))</f>
        <v>0</v>
      </c>
      <c r="K146" s="17">
        <f t="shared" ca="1" si="71"/>
        <v>0</v>
      </c>
      <c r="L146" s="17">
        <f t="shared" ca="1" si="71"/>
        <v>0</v>
      </c>
      <c r="M146" s="17">
        <f t="shared" ca="1" si="71"/>
        <v>0</v>
      </c>
      <c r="N146" s="17">
        <f t="shared" ca="1" si="71"/>
        <v>0</v>
      </c>
      <c r="O146" s="17">
        <f t="shared" ca="1" si="71"/>
        <v>0</v>
      </c>
      <c r="P146" s="17">
        <f t="shared" ca="1" si="71"/>
        <v>0</v>
      </c>
      <c r="Q146" s="17">
        <f t="shared" ca="1" si="71"/>
        <v>0</v>
      </c>
      <c r="R146" s="17">
        <f t="shared" ca="1" si="71"/>
        <v>0</v>
      </c>
      <c r="S146" s="17">
        <f t="shared" ca="1" si="71"/>
        <v>0</v>
      </c>
      <c r="T146" s="17">
        <f t="shared" ca="1" si="71"/>
        <v>0</v>
      </c>
      <c r="U146" s="17">
        <f t="shared" ca="1" si="71"/>
        <v>0</v>
      </c>
      <c r="V146" s="17">
        <f t="shared" ca="1" si="71"/>
        <v>0</v>
      </c>
      <c r="W146" s="17">
        <f t="shared" ca="1" si="71"/>
        <v>0</v>
      </c>
      <c r="X146" s="17">
        <f t="shared" ca="1" si="71"/>
        <v>0</v>
      </c>
      <c r="Y146" s="17">
        <f t="shared" ca="1" si="71"/>
        <v>0</v>
      </c>
      <c r="Z146" s="17">
        <f t="shared" ca="1" si="71"/>
        <v>0</v>
      </c>
      <c r="AA146" s="17">
        <f t="shared" ca="1" si="71"/>
        <v>0</v>
      </c>
      <c r="AB146" s="17">
        <f t="shared" ca="1" si="71"/>
        <v>0</v>
      </c>
      <c r="AC146" s="17">
        <f t="shared" ca="1" si="71"/>
        <v>0</v>
      </c>
      <c r="AD146" s="17">
        <f t="shared" ca="1" si="71"/>
        <v>0</v>
      </c>
      <c r="AE146" s="17">
        <f t="shared" ca="1" si="71"/>
        <v>0</v>
      </c>
      <c r="AF146" s="17">
        <f t="shared" ca="1" si="71"/>
        <v>0</v>
      </c>
      <c r="AG146" s="17">
        <f t="shared" ca="1" si="71"/>
        <v>0</v>
      </c>
      <c r="AH146" s="17">
        <f t="shared" ca="1" si="71"/>
        <v>0</v>
      </c>
      <c r="AI146" s="17">
        <f t="shared" ca="1" si="71"/>
        <v>0</v>
      </c>
      <c r="AJ146" s="17">
        <f t="shared" ca="1" si="71"/>
        <v>0</v>
      </c>
      <c r="AK146" s="17">
        <f t="shared" ca="1" si="71"/>
        <v>0</v>
      </c>
      <c r="AL146" s="17">
        <f t="shared" ca="1" si="71"/>
        <v>0</v>
      </c>
      <c r="AM146" s="17">
        <f t="shared" ca="1" si="71"/>
        <v>0</v>
      </c>
      <c r="AN146" s="17">
        <f t="shared" ca="1" si="71"/>
        <v>0</v>
      </c>
      <c r="AO146" s="17">
        <f t="shared" ca="1" si="71"/>
        <v>0</v>
      </c>
      <c r="AP146" s="17">
        <f t="shared" ca="1" si="71"/>
        <v>0</v>
      </c>
      <c r="AQ146" s="17">
        <f t="shared" ca="1" si="71"/>
        <v>0</v>
      </c>
      <c r="AR146" s="17">
        <f t="shared" ca="1" si="71"/>
        <v>0</v>
      </c>
      <c r="AS146" s="17">
        <f t="shared" ca="1" si="71"/>
        <v>0</v>
      </c>
    </row>
    <row r="147" spans="2:45" hidden="1" outlineLevel="2" x14ac:dyDescent="0.15">
      <c r="C147" s="107" t="s">
        <v>491</v>
      </c>
      <c r="J147" s="42">
        <f t="shared" ref="J147:AS147" ca="1" si="72">IF(J144&lt;&gt;0,0,IF(ROUND(J164,5)&lt;0,1,0))</f>
        <v>0</v>
      </c>
      <c r="K147" s="42">
        <f t="shared" ca="1" si="72"/>
        <v>0</v>
      </c>
      <c r="L147" s="42">
        <f t="shared" ca="1" si="72"/>
        <v>0</v>
      </c>
      <c r="M147" s="42">
        <f t="shared" ca="1" si="72"/>
        <v>0</v>
      </c>
      <c r="N147" s="42">
        <f t="shared" ca="1" si="72"/>
        <v>0</v>
      </c>
      <c r="O147" s="42">
        <f t="shared" ca="1" si="72"/>
        <v>0</v>
      </c>
      <c r="P147" s="42">
        <f t="shared" ca="1" si="72"/>
        <v>0</v>
      </c>
      <c r="Q147" s="42">
        <f t="shared" ca="1" si="72"/>
        <v>0</v>
      </c>
      <c r="R147" s="42">
        <f t="shared" ca="1" si="72"/>
        <v>0</v>
      </c>
      <c r="S147" s="42">
        <f t="shared" ca="1" si="72"/>
        <v>0</v>
      </c>
      <c r="T147" s="42">
        <f t="shared" ca="1" si="72"/>
        <v>0</v>
      </c>
      <c r="U147" s="42">
        <f t="shared" ca="1" si="72"/>
        <v>0</v>
      </c>
      <c r="V147" s="42">
        <f t="shared" ca="1" si="72"/>
        <v>0</v>
      </c>
      <c r="W147" s="42">
        <f t="shared" ca="1" si="72"/>
        <v>0</v>
      </c>
      <c r="X147" s="42">
        <f t="shared" ca="1" si="72"/>
        <v>0</v>
      </c>
      <c r="Y147" s="42">
        <f t="shared" ca="1" si="72"/>
        <v>0</v>
      </c>
      <c r="Z147" s="42">
        <f t="shared" ca="1" si="72"/>
        <v>0</v>
      </c>
      <c r="AA147" s="42">
        <f t="shared" ca="1" si="72"/>
        <v>0</v>
      </c>
      <c r="AB147" s="42">
        <f t="shared" ca="1" si="72"/>
        <v>0</v>
      </c>
      <c r="AC147" s="42">
        <f t="shared" ca="1" si="72"/>
        <v>0</v>
      </c>
      <c r="AD147" s="42">
        <f t="shared" ca="1" si="72"/>
        <v>0</v>
      </c>
      <c r="AE147" s="42">
        <f t="shared" ca="1" si="72"/>
        <v>0</v>
      </c>
      <c r="AF147" s="42">
        <f t="shared" ca="1" si="72"/>
        <v>0</v>
      </c>
      <c r="AG147" s="42">
        <f t="shared" ca="1" si="72"/>
        <v>0</v>
      </c>
      <c r="AH147" s="42">
        <f t="shared" ca="1" si="72"/>
        <v>0</v>
      </c>
      <c r="AI147" s="42">
        <f t="shared" ca="1" si="72"/>
        <v>0</v>
      </c>
      <c r="AJ147" s="42">
        <f t="shared" ca="1" si="72"/>
        <v>0</v>
      </c>
      <c r="AK147" s="42">
        <f t="shared" ca="1" si="72"/>
        <v>0</v>
      </c>
      <c r="AL147" s="42">
        <f t="shared" ca="1" si="72"/>
        <v>0</v>
      </c>
      <c r="AM147" s="42">
        <f t="shared" ca="1" si="72"/>
        <v>0</v>
      </c>
      <c r="AN147" s="42">
        <f t="shared" ca="1" si="72"/>
        <v>0</v>
      </c>
      <c r="AO147" s="42">
        <f t="shared" ca="1" si="72"/>
        <v>0</v>
      </c>
      <c r="AP147" s="42">
        <f t="shared" ca="1" si="72"/>
        <v>0</v>
      </c>
      <c r="AQ147" s="42">
        <f t="shared" ca="1" si="72"/>
        <v>0</v>
      </c>
      <c r="AR147" s="42">
        <f t="shared" ca="1" si="72"/>
        <v>0</v>
      </c>
      <c r="AS147" s="42">
        <f t="shared" ca="1" si="72"/>
        <v>0</v>
      </c>
    </row>
    <row r="148" spans="2:45" outlineLevel="1" collapsed="1" x14ac:dyDescent="0.15">
      <c r="B148" s="107" t="s">
        <v>392</v>
      </c>
      <c r="I148" s="22">
        <f ca="1">IF(ISERROR(SUM(J148:AS148)),1,MIN(SUM(J148:AS148),1))</f>
        <v>0</v>
      </c>
      <c r="J148" s="17">
        <f t="shared" ref="J148:AS148" ca="1" si="73">MIN(SUM(J146:J147),1)</f>
        <v>0</v>
      </c>
      <c r="K148" s="17">
        <f t="shared" ca="1" si="73"/>
        <v>0</v>
      </c>
      <c r="L148" s="17">
        <f t="shared" ca="1" si="73"/>
        <v>0</v>
      </c>
      <c r="M148" s="17">
        <f t="shared" ca="1" si="73"/>
        <v>0</v>
      </c>
      <c r="N148" s="17">
        <f t="shared" ca="1" si="73"/>
        <v>0</v>
      </c>
      <c r="O148" s="17">
        <f t="shared" ca="1" si="73"/>
        <v>0</v>
      </c>
      <c r="P148" s="17">
        <f t="shared" ca="1" si="73"/>
        <v>0</v>
      </c>
      <c r="Q148" s="17">
        <f t="shared" ca="1" si="73"/>
        <v>0</v>
      </c>
      <c r="R148" s="17">
        <f t="shared" ca="1" si="73"/>
        <v>0</v>
      </c>
      <c r="S148" s="17">
        <f t="shared" ca="1" si="73"/>
        <v>0</v>
      </c>
      <c r="T148" s="17">
        <f t="shared" ca="1" si="73"/>
        <v>0</v>
      </c>
      <c r="U148" s="17">
        <f t="shared" ca="1" si="73"/>
        <v>0</v>
      </c>
      <c r="V148" s="17">
        <f t="shared" ca="1" si="73"/>
        <v>0</v>
      </c>
      <c r="W148" s="17">
        <f t="shared" ca="1" si="73"/>
        <v>0</v>
      </c>
      <c r="X148" s="17">
        <f t="shared" ca="1" si="73"/>
        <v>0</v>
      </c>
      <c r="Y148" s="17">
        <f t="shared" ca="1" si="73"/>
        <v>0</v>
      </c>
      <c r="Z148" s="17">
        <f t="shared" ca="1" si="73"/>
        <v>0</v>
      </c>
      <c r="AA148" s="17">
        <f t="shared" ca="1" si="73"/>
        <v>0</v>
      </c>
      <c r="AB148" s="17">
        <f t="shared" ca="1" si="73"/>
        <v>0</v>
      </c>
      <c r="AC148" s="17">
        <f t="shared" ca="1" si="73"/>
        <v>0</v>
      </c>
      <c r="AD148" s="17">
        <f t="shared" ca="1" si="73"/>
        <v>0</v>
      </c>
      <c r="AE148" s="17">
        <f t="shared" ca="1" si="73"/>
        <v>0</v>
      </c>
      <c r="AF148" s="17">
        <f t="shared" ca="1" si="73"/>
        <v>0</v>
      </c>
      <c r="AG148" s="17">
        <f t="shared" ca="1" si="73"/>
        <v>0</v>
      </c>
      <c r="AH148" s="17">
        <f t="shared" ca="1" si="73"/>
        <v>0</v>
      </c>
      <c r="AI148" s="17">
        <f t="shared" ca="1" si="73"/>
        <v>0</v>
      </c>
      <c r="AJ148" s="17">
        <f t="shared" ca="1" si="73"/>
        <v>0</v>
      </c>
      <c r="AK148" s="17">
        <f t="shared" ca="1" si="73"/>
        <v>0</v>
      </c>
      <c r="AL148" s="17">
        <f t="shared" ca="1" si="73"/>
        <v>0</v>
      </c>
      <c r="AM148" s="17">
        <f t="shared" ca="1" si="73"/>
        <v>0</v>
      </c>
      <c r="AN148" s="17">
        <f t="shared" ca="1" si="73"/>
        <v>0</v>
      </c>
      <c r="AO148" s="17">
        <f t="shared" ca="1" si="73"/>
        <v>0</v>
      </c>
      <c r="AP148" s="17">
        <f t="shared" ca="1" si="73"/>
        <v>0</v>
      </c>
      <c r="AQ148" s="17">
        <f t="shared" ca="1" si="73"/>
        <v>0</v>
      </c>
      <c r="AR148" s="17">
        <f t="shared" ca="1" si="73"/>
        <v>0</v>
      </c>
      <c r="AS148" s="17">
        <f t="shared" ca="1" si="73"/>
        <v>0</v>
      </c>
    </row>
    <row r="149" spans="2:45" outlineLevel="1" x14ac:dyDescent="0.15"/>
    <row r="150" spans="2:45" outlineLevel="1" x14ac:dyDescent="0.15">
      <c r="B150" s="108" t="s">
        <v>59</v>
      </c>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row>
    <row r="151" spans="2:45" outlineLevel="1" x14ac:dyDescent="0.15"/>
    <row r="152" spans="2:45" outlineLevel="1" x14ac:dyDescent="0.15">
      <c r="B152" s="16" t="str">
        <f>B87</f>
        <v>Ordinary Equity Balances</v>
      </c>
    </row>
    <row r="153" spans="2:45" outlineLevel="1" x14ac:dyDescent="0.15">
      <c r="B153" s="107" t="str">
        <f>B88</f>
        <v>Opening Balance</v>
      </c>
      <c r="J153" s="14">
        <f>IF(J$8=1,OBS!J66,I156)</f>
        <v>0</v>
      </c>
      <c r="K153" s="14">
        <f>IF(K$8=1,OBS!K66,J156)</f>
        <v>0</v>
      </c>
      <c r="L153" s="14">
        <f>IF(L$8=1,OBS!L66,K156)</f>
        <v>0</v>
      </c>
      <c r="M153" s="14">
        <f>IF(M$8=1,OBS!M66,L156)</f>
        <v>0</v>
      </c>
      <c r="N153" s="14">
        <f>IF(N$8=1,OBS!N66,M156)</f>
        <v>0</v>
      </c>
      <c r="O153" s="14">
        <f>IF(O$8=1,OBS!O66,N156)</f>
        <v>0</v>
      </c>
      <c r="P153" s="14">
        <f>IF(P$8=1,OBS!P66,O156)</f>
        <v>0</v>
      </c>
      <c r="Q153" s="14">
        <f>IF(Q$8=1,OBS!Q66,P156)</f>
        <v>0</v>
      </c>
      <c r="R153" s="14">
        <f>IF(R$8=1,OBS!R66,Q156)</f>
        <v>0</v>
      </c>
      <c r="S153" s="14">
        <f>IF(S$8=1,OBS!S66,R156)</f>
        <v>0</v>
      </c>
      <c r="T153" s="14">
        <f>IF(T$8=1,OBS!T66,S156)</f>
        <v>0</v>
      </c>
      <c r="U153" s="14">
        <f>IF(U$8=1,OBS!U66,T156)</f>
        <v>0</v>
      </c>
      <c r="V153" s="14">
        <f>IF(V$8=1,OBS!V66,U156)</f>
        <v>0</v>
      </c>
      <c r="W153" s="14">
        <f>IF(W$8=1,OBS!W66,V156)</f>
        <v>0</v>
      </c>
      <c r="X153" s="14">
        <f>IF(X$8=1,OBS!X66,W156)</f>
        <v>0</v>
      </c>
      <c r="Y153" s="14">
        <f>IF(Y$8=1,OBS!Y66,X156)</f>
        <v>0</v>
      </c>
      <c r="Z153" s="14">
        <f>IF(Z$8=1,OBS!Z66,Y156)</f>
        <v>0</v>
      </c>
      <c r="AA153" s="14">
        <f>IF(AA$8=1,OBS!AA66,Z156)</f>
        <v>0</v>
      </c>
      <c r="AB153" s="14">
        <f>IF(AB$8=1,OBS!AB66,AA156)</f>
        <v>0</v>
      </c>
      <c r="AC153" s="14">
        <f>IF(AC$8=1,OBS!AC66,AB156)</f>
        <v>0</v>
      </c>
      <c r="AD153" s="14">
        <f>IF(AD$8=1,OBS!AD66,AC156)</f>
        <v>0</v>
      </c>
      <c r="AE153" s="14">
        <f>IF(AE$8=1,OBS!AE66,AD156)</f>
        <v>0</v>
      </c>
      <c r="AF153" s="14">
        <f>IF(AF$8=1,OBS!AF66,AE156)</f>
        <v>0</v>
      </c>
      <c r="AG153" s="14">
        <f>IF(AG$8=1,OBS!AG66,AF156)</f>
        <v>0</v>
      </c>
      <c r="AH153" s="14">
        <f>IF(AH$8=1,OBS!AH66,AG156)</f>
        <v>0</v>
      </c>
      <c r="AI153" s="14">
        <f>IF(AI$8=1,OBS!AI66,AH156)</f>
        <v>0</v>
      </c>
      <c r="AJ153" s="14">
        <f>IF(AJ$8=1,OBS!AJ66,AI156)</f>
        <v>0</v>
      </c>
      <c r="AK153" s="14">
        <f>IF(AK$8=1,OBS!AK66,AJ156)</f>
        <v>0</v>
      </c>
      <c r="AL153" s="14">
        <f>IF(AL$8=1,OBS!AL66,AK156)</f>
        <v>0</v>
      </c>
      <c r="AM153" s="14">
        <f>IF(AM$8=1,OBS!AM66,AL156)</f>
        <v>0</v>
      </c>
      <c r="AN153" s="14">
        <f>IF(AN$8=1,OBS!AN66,AM156)</f>
        <v>0</v>
      </c>
      <c r="AO153" s="14">
        <f>IF(AO$8=1,OBS!AO66,AN156)</f>
        <v>0</v>
      </c>
      <c r="AP153" s="14">
        <f>IF(AP$8=1,OBS!AP66,AO156)</f>
        <v>0</v>
      </c>
      <c r="AQ153" s="14">
        <f>IF(AQ$8=1,OBS!AQ66,AP156)</f>
        <v>0</v>
      </c>
      <c r="AR153" s="14">
        <f>IF(AR$8=1,OBS!AR66,AQ156)</f>
        <v>0</v>
      </c>
      <c r="AS153" s="14">
        <f>IF(AS$8=1,OBS!AS66,AR156)</f>
        <v>0</v>
      </c>
    </row>
    <row r="154" spans="2:45" outlineLevel="1" x14ac:dyDescent="0.15">
      <c r="B154" s="107" t="str">
        <f>B89</f>
        <v>Equity Raisings</v>
      </c>
      <c r="J154" s="14">
        <f t="shared" ref="J154:AS154" si="74">J89</f>
        <v>0</v>
      </c>
      <c r="K154" s="14">
        <f t="shared" si="74"/>
        <v>0</v>
      </c>
      <c r="L154" s="14">
        <f t="shared" si="74"/>
        <v>0</v>
      </c>
      <c r="M154" s="14">
        <f t="shared" si="74"/>
        <v>0</v>
      </c>
      <c r="N154" s="14">
        <f t="shared" si="74"/>
        <v>0</v>
      </c>
      <c r="O154" s="14">
        <f t="shared" si="74"/>
        <v>0</v>
      </c>
      <c r="P154" s="14">
        <f t="shared" si="74"/>
        <v>0</v>
      </c>
      <c r="Q154" s="14">
        <f t="shared" si="74"/>
        <v>0</v>
      </c>
      <c r="R154" s="14">
        <f t="shared" si="74"/>
        <v>0</v>
      </c>
      <c r="S154" s="14">
        <f t="shared" si="74"/>
        <v>0</v>
      </c>
      <c r="T154" s="14">
        <f t="shared" si="74"/>
        <v>0</v>
      </c>
      <c r="U154" s="14">
        <f t="shared" si="74"/>
        <v>0</v>
      </c>
      <c r="V154" s="14">
        <f t="shared" si="74"/>
        <v>0</v>
      </c>
      <c r="W154" s="14">
        <f t="shared" si="74"/>
        <v>0</v>
      </c>
      <c r="X154" s="14">
        <f t="shared" si="74"/>
        <v>0</v>
      </c>
      <c r="Y154" s="14">
        <f t="shared" si="74"/>
        <v>0</v>
      </c>
      <c r="Z154" s="14">
        <f t="shared" si="74"/>
        <v>0</v>
      </c>
      <c r="AA154" s="14">
        <f t="shared" si="74"/>
        <v>0</v>
      </c>
      <c r="AB154" s="14">
        <f t="shared" si="74"/>
        <v>0</v>
      </c>
      <c r="AC154" s="14">
        <f t="shared" si="74"/>
        <v>0</v>
      </c>
      <c r="AD154" s="14">
        <f t="shared" si="74"/>
        <v>0</v>
      </c>
      <c r="AE154" s="14">
        <f t="shared" si="74"/>
        <v>0</v>
      </c>
      <c r="AF154" s="14">
        <f t="shared" si="74"/>
        <v>0</v>
      </c>
      <c r="AG154" s="14">
        <f t="shared" si="74"/>
        <v>0</v>
      </c>
      <c r="AH154" s="14">
        <f t="shared" si="74"/>
        <v>0</v>
      </c>
      <c r="AI154" s="14">
        <f t="shared" si="74"/>
        <v>0</v>
      </c>
      <c r="AJ154" s="14">
        <f t="shared" si="74"/>
        <v>0</v>
      </c>
      <c r="AK154" s="14">
        <f t="shared" si="74"/>
        <v>0</v>
      </c>
      <c r="AL154" s="14">
        <f t="shared" si="74"/>
        <v>0</v>
      </c>
      <c r="AM154" s="14">
        <f t="shared" si="74"/>
        <v>0</v>
      </c>
      <c r="AN154" s="14">
        <f t="shared" si="74"/>
        <v>0</v>
      </c>
      <c r="AO154" s="14">
        <f t="shared" si="74"/>
        <v>0</v>
      </c>
      <c r="AP154" s="14">
        <f t="shared" si="74"/>
        <v>0</v>
      </c>
      <c r="AQ154" s="14">
        <f t="shared" si="74"/>
        <v>0</v>
      </c>
      <c r="AR154" s="14">
        <f t="shared" si="74"/>
        <v>0</v>
      </c>
      <c r="AS154" s="14">
        <f t="shared" si="74"/>
        <v>0</v>
      </c>
    </row>
    <row r="155" spans="2:45" outlineLevel="1" x14ac:dyDescent="0.15">
      <c r="B155" s="107" t="str">
        <f>B90</f>
        <v>Equity Buybacks</v>
      </c>
      <c r="J155" s="38">
        <f t="shared" ref="J155:AS155" si="75">-J90</f>
        <v>0</v>
      </c>
      <c r="K155" s="38">
        <f t="shared" si="75"/>
        <v>0</v>
      </c>
      <c r="L155" s="38">
        <f t="shared" si="75"/>
        <v>0</v>
      </c>
      <c r="M155" s="38">
        <f t="shared" si="75"/>
        <v>0</v>
      </c>
      <c r="N155" s="38">
        <f t="shared" si="75"/>
        <v>0</v>
      </c>
      <c r="O155" s="38">
        <f t="shared" si="75"/>
        <v>0</v>
      </c>
      <c r="P155" s="38">
        <f t="shared" si="75"/>
        <v>0</v>
      </c>
      <c r="Q155" s="38">
        <f t="shared" si="75"/>
        <v>0</v>
      </c>
      <c r="R155" s="38">
        <f t="shared" si="75"/>
        <v>0</v>
      </c>
      <c r="S155" s="38">
        <f t="shared" si="75"/>
        <v>0</v>
      </c>
      <c r="T155" s="38">
        <f t="shared" si="75"/>
        <v>0</v>
      </c>
      <c r="U155" s="38">
        <f t="shared" si="75"/>
        <v>0</v>
      </c>
      <c r="V155" s="38">
        <f t="shared" si="75"/>
        <v>0</v>
      </c>
      <c r="W155" s="38">
        <f t="shared" si="75"/>
        <v>0</v>
      </c>
      <c r="X155" s="38">
        <f t="shared" si="75"/>
        <v>0</v>
      </c>
      <c r="Y155" s="38">
        <f t="shared" si="75"/>
        <v>0</v>
      </c>
      <c r="Z155" s="38">
        <f t="shared" si="75"/>
        <v>0</v>
      </c>
      <c r="AA155" s="38">
        <f t="shared" si="75"/>
        <v>0</v>
      </c>
      <c r="AB155" s="38">
        <f t="shared" si="75"/>
        <v>0</v>
      </c>
      <c r="AC155" s="38">
        <f t="shared" si="75"/>
        <v>0</v>
      </c>
      <c r="AD155" s="38">
        <f t="shared" si="75"/>
        <v>0</v>
      </c>
      <c r="AE155" s="38">
        <f t="shared" si="75"/>
        <v>0</v>
      </c>
      <c r="AF155" s="38">
        <f t="shared" si="75"/>
        <v>0</v>
      </c>
      <c r="AG155" s="38">
        <f t="shared" si="75"/>
        <v>0</v>
      </c>
      <c r="AH155" s="38">
        <f t="shared" si="75"/>
        <v>0</v>
      </c>
      <c r="AI155" s="38">
        <f t="shared" si="75"/>
        <v>0</v>
      </c>
      <c r="AJ155" s="38">
        <f t="shared" si="75"/>
        <v>0</v>
      </c>
      <c r="AK155" s="38">
        <f t="shared" si="75"/>
        <v>0</v>
      </c>
      <c r="AL155" s="38">
        <f t="shared" si="75"/>
        <v>0</v>
      </c>
      <c r="AM155" s="38">
        <f t="shared" si="75"/>
        <v>0</v>
      </c>
      <c r="AN155" s="38">
        <f t="shared" si="75"/>
        <v>0</v>
      </c>
      <c r="AO155" s="38">
        <f t="shared" si="75"/>
        <v>0</v>
      </c>
      <c r="AP155" s="38">
        <f t="shared" si="75"/>
        <v>0</v>
      </c>
      <c r="AQ155" s="38">
        <f t="shared" si="75"/>
        <v>0</v>
      </c>
      <c r="AR155" s="38">
        <f t="shared" si="75"/>
        <v>0</v>
      </c>
      <c r="AS155" s="38">
        <f t="shared" si="75"/>
        <v>0</v>
      </c>
    </row>
    <row r="156" spans="2:45" outlineLevel="1" x14ac:dyDescent="0.15">
      <c r="B156" s="16" t="str">
        <f>B91</f>
        <v>Closing Balance</v>
      </c>
      <c r="J156" s="15">
        <f t="shared" ref="J156:AS156" si="76">SUM(J153:J155)</f>
        <v>0</v>
      </c>
      <c r="K156" s="15">
        <f t="shared" si="76"/>
        <v>0</v>
      </c>
      <c r="L156" s="15">
        <f t="shared" si="76"/>
        <v>0</v>
      </c>
      <c r="M156" s="15">
        <f t="shared" si="76"/>
        <v>0</v>
      </c>
      <c r="N156" s="15">
        <f t="shared" si="76"/>
        <v>0</v>
      </c>
      <c r="O156" s="15">
        <f t="shared" si="76"/>
        <v>0</v>
      </c>
      <c r="P156" s="15">
        <f t="shared" si="76"/>
        <v>0</v>
      </c>
      <c r="Q156" s="15">
        <f t="shared" si="76"/>
        <v>0</v>
      </c>
      <c r="R156" s="15">
        <f t="shared" si="76"/>
        <v>0</v>
      </c>
      <c r="S156" s="15">
        <f t="shared" si="76"/>
        <v>0</v>
      </c>
      <c r="T156" s="15">
        <f t="shared" si="76"/>
        <v>0</v>
      </c>
      <c r="U156" s="15">
        <f t="shared" si="76"/>
        <v>0</v>
      </c>
      <c r="V156" s="15">
        <f t="shared" si="76"/>
        <v>0</v>
      </c>
      <c r="W156" s="15">
        <f t="shared" si="76"/>
        <v>0</v>
      </c>
      <c r="X156" s="15">
        <f t="shared" si="76"/>
        <v>0</v>
      </c>
      <c r="Y156" s="15">
        <f t="shared" si="76"/>
        <v>0</v>
      </c>
      <c r="Z156" s="15">
        <f t="shared" si="76"/>
        <v>0</v>
      </c>
      <c r="AA156" s="15">
        <f t="shared" si="76"/>
        <v>0</v>
      </c>
      <c r="AB156" s="15">
        <f t="shared" si="76"/>
        <v>0</v>
      </c>
      <c r="AC156" s="15">
        <f t="shared" si="76"/>
        <v>0</v>
      </c>
      <c r="AD156" s="15">
        <f t="shared" si="76"/>
        <v>0</v>
      </c>
      <c r="AE156" s="15">
        <f t="shared" si="76"/>
        <v>0</v>
      </c>
      <c r="AF156" s="15">
        <f t="shared" si="76"/>
        <v>0</v>
      </c>
      <c r="AG156" s="15">
        <f t="shared" si="76"/>
        <v>0</v>
      </c>
      <c r="AH156" s="15">
        <f t="shared" si="76"/>
        <v>0</v>
      </c>
      <c r="AI156" s="15">
        <f t="shared" si="76"/>
        <v>0</v>
      </c>
      <c r="AJ156" s="15">
        <f t="shared" si="76"/>
        <v>0</v>
      </c>
      <c r="AK156" s="15">
        <f t="shared" si="76"/>
        <v>0</v>
      </c>
      <c r="AL156" s="15">
        <f t="shared" si="76"/>
        <v>0</v>
      </c>
      <c r="AM156" s="15">
        <f t="shared" si="76"/>
        <v>0</v>
      </c>
      <c r="AN156" s="15">
        <f t="shared" si="76"/>
        <v>0</v>
      </c>
      <c r="AO156" s="15">
        <f t="shared" si="76"/>
        <v>0</v>
      </c>
      <c r="AP156" s="15">
        <f t="shared" si="76"/>
        <v>0</v>
      </c>
      <c r="AQ156" s="15">
        <f t="shared" si="76"/>
        <v>0</v>
      </c>
      <c r="AR156" s="15">
        <f t="shared" si="76"/>
        <v>0</v>
      </c>
      <c r="AS156" s="15">
        <f t="shared" si="76"/>
        <v>0</v>
      </c>
    </row>
    <row r="157" spans="2:45" outlineLevel="1" x14ac:dyDescent="0.15"/>
    <row r="158" spans="2:45" outlineLevel="1" x14ac:dyDescent="0.15">
      <c r="B158" s="16" t="str">
        <f>B93</f>
        <v>Dividends</v>
      </c>
    </row>
    <row r="159" spans="2:45" outlineLevel="1" x14ac:dyDescent="0.15">
      <c r="B159" s="107" t="s">
        <v>492</v>
      </c>
      <c r="J159" s="14">
        <f>IF(J$8=1,OBS!J46,I164)</f>
        <v>0</v>
      </c>
      <c r="K159" s="14">
        <f ca="1">IF(K$8=1,OBS!K46,J164)</f>
        <v>0</v>
      </c>
      <c r="L159" s="14">
        <f ca="1">IF(L$8=1,OBS!L46,K164)</f>
        <v>0</v>
      </c>
      <c r="M159" s="14">
        <f ca="1">IF(M$8=1,OBS!M46,L164)</f>
        <v>0</v>
      </c>
      <c r="N159" s="14">
        <f ca="1">IF(N$8=1,OBS!N46,M164)</f>
        <v>0</v>
      </c>
      <c r="O159" s="14">
        <f ca="1">IF(O$8=1,OBS!O46,N164)</f>
        <v>0</v>
      </c>
      <c r="P159" s="14">
        <f ca="1">IF(P$8=1,OBS!P46,O164)</f>
        <v>0</v>
      </c>
      <c r="Q159" s="14">
        <f ca="1">IF(Q$8=1,OBS!Q46,P164)</f>
        <v>0</v>
      </c>
      <c r="R159" s="14">
        <f ca="1">IF(R$8=1,OBS!R46,Q164)</f>
        <v>0</v>
      </c>
      <c r="S159" s="14">
        <f ca="1">IF(S$8=1,OBS!S46,R164)</f>
        <v>0</v>
      </c>
      <c r="T159" s="14">
        <f ca="1">IF(T$8=1,OBS!T46,S164)</f>
        <v>0</v>
      </c>
      <c r="U159" s="14">
        <f ca="1">IF(U$8=1,OBS!U46,T164)</f>
        <v>0</v>
      </c>
      <c r="V159" s="14">
        <f ca="1">IF(V$8=1,OBS!V46,U164)</f>
        <v>0</v>
      </c>
      <c r="W159" s="14">
        <f ca="1">IF(W$8=1,OBS!W46,V164)</f>
        <v>0</v>
      </c>
      <c r="X159" s="14">
        <f ca="1">IF(X$8=1,OBS!X46,W164)</f>
        <v>0</v>
      </c>
      <c r="Y159" s="14">
        <f ca="1">IF(Y$8=1,OBS!Y46,X164)</f>
        <v>0</v>
      </c>
      <c r="Z159" s="14">
        <f ca="1">IF(Z$8=1,OBS!Z46,Y164)</f>
        <v>0</v>
      </c>
      <c r="AA159" s="14">
        <f ca="1">IF(AA$8=1,OBS!AA46,Z164)</f>
        <v>0</v>
      </c>
      <c r="AB159" s="14">
        <f ca="1">IF(AB$8=1,OBS!AB46,AA164)</f>
        <v>0</v>
      </c>
      <c r="AC159" s="14">
        <f ca="1">IF(AC$8=1,OBS!AC46,AB164)</f>
        <v>0</v>
      </c>
      <c r="AD159" s="14">
        <f ca="1">IF(AD$8=1,OBS!AD46,AC164)</f>
        <v>0</v>
      </c>
      <c r="AE159" s="14">
        <f ca="1">IF(AE$8=1,OBS!AE46,AD164)</f>
        <v>0</v>
      </c>
      <c r="AF159" s="14">
        <f ca="1">IF(AF$8=1,OBS!AF46,AE164)</f>
        <v>0</v>
      </c>
      <c r="AG159" s="14">
        <f ca="1">IF(AG$8=1,OBS!AG46,AF164)</f>
        <v>0</v>
      </c>
      <c r="AH159" s="14">
        <f ca="1">IF(AH$8=1,OBS!AH46,AG164)</f>
        <v>0</v>
      </c>
      <c r="AI159" s="14">
        <f ca="1">IF(AI$8=1,OBS!AI46,AH164)</f>
        <v>0</v>
      </c>
      <c r="AJ159" s="14">
        <f ca="1">IF(AJ$8=1,OBS!AJ46,AI164)</f>
        <v>0</v>
      </c>
      <c r="AK159" s="14">
        <f ca="1">IF(AK$8=1,OBS!AK46,AJ164)</f>
        <v>0</v>
      </c>
      <c r="AL159" s="14">
        <f ca="1">IF(AL$8=1,OBS!AL46,AK164)</f>
        <v>0</v>
      </c>
      <c r="AM159" s="14">
        <f ca="1">IF(AM$8=1,OBS!AM46,AL164)</f>
        <v>0</v>
      </c>
      <c r="AN159" s="14">
        <f ca="1">IF(AN$8=1,OBS!AN46,AM164)</f>
        <v>0</v>
      </c>
      <c r="AO159" s="14">
        <f ca="1">IF(AO$8=1,OBS!AO46,AN164)</f>
        <v>0</v>
      </c>
      <c r="AP159" s="14">
        <f ca="1">IF(AP$8=1,OBS!AP46,AO164)</f>
        <v>0</v>
      </c>
      <c r="AQ159" s="14">
        <f ca="1">IF(AQ$8=1,OBS!AQ46,AP164)</f>
        <v>0</v>
      </c>
      <c r="AR159" s="14">
        <f ca="1">IF(AR$8=1,OBS!AR46,AQ164)</f>
        <v>0</v>
      </c>
      <c r="AS159" s="14">
        <f ca="1">IF(AS$8=1,OBS!AS46,AR164)</f>
        <v>0</v>
      </c>
    </row>
    <row r="160" spans="2:45" outlineLevel="1" x14ac:dyDescent="0.15">
      <c r="B160" s="107" t="s">
        <v>479</v>
      </c>
      <c r="J160" s="14">
        <f t="shared" ref="J160:AS160" ca="1" si="77">J136</f>
        <v>0</v>
      </c>
      <c r="K160" s="14">
        <f t="shared" ca="1" si="77"/>
        <v>0</v>
      </c>
      <c r="L160" s="14">
        <f t="shared" ca="1" si="77"/>
        <v>0</v>
      </c>
      <c r="M160" s="14">
        <f t="shared" ca="1" si="77"/>
        <v>0</v>
      </c>
      <c r="N160" s="14">
        <f t="shared" ca="1" si="77"/>
        <v>0</v>
      </c>
      <c r="O160" s="14">
        <f t="shared" ca="1" si="77"/>
        <v>0</v>
      </c>
      <c r="P160" s="14">
        <f t="shared" ca="1" si="77"/>
        <v>0</v>
      </c>
      <c r="Q160" s="14">
        <f t="shared" ca="1" si="77"/>
        <v>0</v>
      </c>
      <c r="R160" s="14">
        <f t="shared" ca="1" si="77"/>
        <v>0</v>
      </c>
      <c r="S160" s="14">
        <f t="shared" ca="1" si="77"/>
        <v>0</v>
      </c>
      <c r="T160" s="14">
        <f t="shared" ca="1" si="77"/>
        <v>0</v>
      </c>
      <c r="U160" s="14">
        <f t="shared" ca="1" si="77"/>
        <v>0</v>
      </c>
      <c r="V160" s="14">
        <f t="shared" ca="1" si="77"/>
        <v>0</v>
      </c>
      <c r="W160" s="14">
        <f t="shared" ca="1" si="77"/>
        <v>0</v>
      </c>
      <c r="X160" s="14">
        <f t="shared" ca="1" si="77"/>
        <v>0</v>
      </c>
      <c r="Y160" s="14">
        <f t="shared" ca="1" si="77"/>
        <v>0</v>
      </c>
      <c r="Z160" s="14">
        <f t="shared" ca="1" si="77"/>
        <v>0</v>
      </c>
      <c r="AA160" s="14">
        <f t="shared" ca="1" si="77"/>
        <v>0</v>
      </c>
      <c r="AB160" s="14">
        <f t="shared" ca="1" si="77"/>
        <v>0</v>
      </c>
      <c r="AC160" s="14">
        <f t="shared" ca="1" si="77"/>
        <v>0</v>
      </c>
      <c r="AD160" s="14">
        <f t="shared" ca="1" si="77"/>
        <v>0</v>
      </c>
      <c r="AE160" s="14">
        <f t="shared" ca="1" si="77"/>
        <v>0</v>
      </c>
      <c r="AF160" s="14">
        <f t="shared" ca="1" si="77"/>
        <v>0</v>
      </c>
      <c r="AG160" s="14">
        <f t="shared" ca="1" si="77"/>
        <v>0</v>
      </c>
      <c r="AH160" s="14">
        <f t="shared" ca="1" si="77"/>
        <v>0</v>
      </c>
      <c r="AI160" s="14">
        <f t="shared" ca="1" si="77"/>
        <v>0</v>
      </c>
      <c r="AJ160" s="14">
        <f t="shared" ca="1" si="77"/>
        <v>0</v>
      </c>
      <c r="AK160" s="14">
        <f t="shared" ca="1" si="77"/>
        <v>0</v>
      </c>
      <c r="AL160" s="14">
        <f t="shared" ca="1" si="77"/>
        <v>0</v>
      </c>
      <c r="AM160" s="14">
        <f t="shared" ca="1" si="77"/>
        <v>0</v>
      </c>
      <c r="AN160" s="14">
        <f t="shared" ca="1" si="77"/>
        <v>0</v>
      </c>
      <c r="AO160" s="14">
        <f t="shared" ca="1" si="77"/>
        <v>0</v>
      </c>
      <c r="AP160" s="14">
        <f t="shared" ca="1" si="77"/>
        <v>0</v>
      </c>
      <c r="AQ160" s="14">
        <f t="shared" ca="1" si="77"/>
        <v>0</v>
      </c>
      <c r="AR160" s="14">
        <f t="shared" ca="1" si="77"/>
        <v>0</v>
      </c>
      <c r="AS160" s="14">
        <f t="shared" ca="1" si="77"/>
        <v>0</v>
      </c>
    </row>
    <row r="161" spans="2:45" hidden="1" outlineLevel="2" x14ac:dyDescent="0.15">
      <c r="C161" s="107" t="s">
        <v>493</v>
      </c>
      <c r="J161" s="48">
        <f t="shared" ref="J161:AS161" si="78">IF(J$8=$I$94,-$J$159,0)</f>
        <v>0</v>
      </c>
      <c r="K161" s="48">
        <f t="shared" si="78"/>
        <v>0</v>
      </c>
      <c r="L161" s="48">
        <f t="shared" si="78"/>
        <v>0</v>
      </c>
      <c r="M161" s="48">
        <f t="shared" si="78"/>
        <v>0</v>
      </c>
      <c r="N161" s="48">
        <f t="shared" si="78"/>
        <v>0</v>
      </c>
      <c r="O161" s="48">
        <f t="shared" si="78"/>
        <v>0</v>
      </c>
      <c r="P161" s="48">
        <f t="shared" si="78"/>
        <v>0</v>
      </c>
      <c r="Q161" s="48">
        <f t="shared" si="78"/>
        <v>0</v>
      </c>
      <c r="R161" s="48">
        <f t="shared" si="78"/>
        <v>0</v>
      </c>
      <c r="S161" s="48">
        <f t="shared" si="78"/>
        <v>0</v>
      </c>
      <c r="T161" s="48">
        <f t="shared" si="78"/>
        <v>0</v>
      </c>
      <c r="U161" s="48">
        <f t="shared" si="78"/>
        <v>0</v>
      </c>
      <c r="V161" s="48">
        <f t="shared" si="78"/>
        <v>0</v>
      </c>
      <c r="W161" s="48">
        <f t="shared" si="78"/>
        <v>0</v>
      </c>
      <c r="X161" s="48">
        <f t="shared" si="78"/>
        <v>0</v>
      </c>
      <c r="Y161" s="48">
        <f t="shared" si="78"/>
        <v>0</v>
      </c>
      <c r="Z161" s="48">
        <f t="shared" si="78"/>
        <v>0</v>
      </c>
      <c r="AA161" s="48">
        <f t="shared" si="78"/>
        <v>0</v>
      </c>
      <c r="AB161" s="48">
        <f t="shared" si="78"/>
        <v>0</v>
      </c>
      <c r="AC161" s="48">
        <f t="shared" si="78"/>
        <v>0</v>
      </c>
      <c r="AD161" s="48">
        <f t="shared" si="78"/>
        <v>0</v>
      </c>
      <c r="AE161" s="48">
        <f t="shared" si="78"/>
        <v>0</v>
      </c>
      <c r="AF161" s="48">
        <f t="shared" si="78"/>
        <v>0</v>
      </c>
      <c r="AG161" s="48">
        <f t="shared" si="78"/>
        <v>0</v>
      </c>
      <c r="AH161" s="48">
        <f t="shared" si="78"/>
        <v>0</v>
      </c>
      <c r="AI161" s="48">
        <f t="shared" si="78"/>
        <v>0</v>
      </c>
      <c r="AJ161" s="48">
        <f t="shared" si="78"/>
        <v>0</v>
      </c>
      <c r="AK161" s="48">
        <f t="shared" si="78"/>
        <v>0</v>
      </c>
      <c r="AL161" s="48">
        <f t="shared" si="78"/>
        <v>0</v>
      </c>
      <c r="AM161" s="48">
        <f t="shared" si="78"/>
        <v>0</v>
      </c>
      <c r="AN161" s="48">
        <f t="shared" si="78"/>
        <v>0</v>
      </c>
      <c r="AO161" s="48">
        <f t="shared" si="78"/>
        <v>0</v>
      </c>
      <c r="AP161" s="48">
        <f t="shared" si="78"/>
        <v>0</v>
      </c>
      <c r="AQ161" s="48">
        <f t="shared" si="78"/>
        <v>0</v>
      </c>
      <c r="AR161" s="48">
        <f t="shared" si="78"/>
        <v>0</v>
      </c>
      <c r="AS161" s="48">
        <f t="shared" si="78"/>
        <v>0</v>
      </c>
    </row>
    <row r="162" spans="2:45" hidden="1" outlineLevel="2" x14ac:dyDescent="0.15">
      <c r="C162" s="107" t="s">
        <v>494</v>
      </c>
      <c r="J162" s="23">
        <f t="shared" ref="J162:AS162" si="79">-J139</f>
        <v>0</v>
      </c>
      <c r="K162" s="23">
        <f t="shared" ca="1" si="79"/>
        <v>0</v>
      </c>
      <c r="L162" s="23">
        <f t="shared" ca="1" si="79"/>
        <v>0</v>
      </c>
      <c r="M162" s="23">
        <f t="shared" ca="1" si="79"/>
        <v>0</v>
      </c>
      <c r="N162" s="23">
        <f t="shared" ca="1" si="79"/>
        <v>0</v>
      </c>
      <c r="O162" s="23">
        <f t="shared" ca="1" si="79"/>
        <v>0</v>
      </c>
      <c r="P162" s="23">
        <f t="shared" ca="1" si="79"/>
        <v>0</v>
      </c>
      <c r="Q162" s="23">
        <f t="shared" ca="1" si="79"/>
        <v>0</v>
      </c>
      <c r="R162" s="23">
        <f t="shared" ca="1" si="79"/>
        <v>0</v>
      </c>
      <c r="S162" s="23">
        <f t="shared" ca="1" si="79"/>
        <v>0</v>
      </c>
      <c r="T162" s="23">
        <f t="shared" ca="1" si="79"/>
        <v>0</v>
      </c>
      <c r="U162" s="23">
        <f t="shared" ca="1" si="79"/>
        <v>0</v>
      </c>
      <c r="V162" s="23">
        <f t="shared" ca="1" si="79"/>
        <v>0</v>
      </c>
      <c r="W162" s="23">
        <f t="shared" ca="1" si="79"/>
        <v>0</v>
      </c>
      <c r="X162" s="23">
        <f t="shared" ca="1" si="79"/>
        <v>0</v>
      </c>
      <c r="Y162" s="23">
        <f t="shared" ca="1" si="79"/>
        <v>0</v>
      </c>
      <c r="Z162" s="23">
        <f t="shared" ca="1" si="79"/>
        <v>0</v>
      </c>
      <c r="AA162" s="23">
        <f t="shared" ca="1" si="79"/>
        <v>0</v>
      </c>
      <c r="AB162" s="23">
        <f t="shared" ca="1" si="79"/>
        <v>0</v>
      </c>
      <c r="AC162" s="23">
        <f t="shared" ca="1" si="79"/>
        <v>0</v>
      </c>
      <c r="AD162" s="23">
        <f t="shared" ca="1" si="79"/>
        <v>0</v>
      </c>
      <c r="AE162" s="23">
        <f t="shared" ca="1" si="79"/>
        <v>0</v>
      </c>
      <c r="AF162" s="23">
        <f t="shared" ca="1" si="79"/>
        <v>0</v>
      </c>
      <c r="AG162" s="23">
        <f t="shared" ca="1" si="79"/>
        <v>0</v>
      </c>
      <c r="AH162" s="23">
        <f t="shared" ca="1" si="79"/>
        <v>0</v>
      </c>
      <c r="AI162" s="23">
        <f t="shared" ca="1" si="79"/>
        <v>0</v>
      </c>
      <c r="AJ162" s="23">
        <f t="shared" ca="1" si="79"/>
        <v>0</v>
      </c>
      <c r="AK162" s="23">
        <f t="shared" ca="1" si="79"/>
        <v>0</v>
      </c>
      <c r="AL162" s="23">
        <f t="shared" ca="1" si="79"/>
        <v>0</v>
      </c>
      <c r="AM162" s="23">
        <f t="shared" ca="1" si="79"/>
        <v>0</v>
      </c>
      <c r="AN162" s="23">
        <f t="shared" ca="1" si="79"/>
        <v>0</v>
      </c>
      <c r="AO162" s="23">
        <f t="shared" ca="1" si="79"/>
        <v>0</v>
      </c>
      <c r="AP162" s="23">
        <f t="shared" ca="1" si="79"/>
        <v>0</v>
      </c>
      <c r="AQ162" s="23">
        <f t="shared" ca="1" si="79"/>
        <v>0</v>
      </c>
      <c r="AR162" s="23">
        <f t="shared" ca="1" si="79"/>
        <v>0</v>
      </c>
      <c r="AS162" s="23">
        <f t="shared" ca="1" si="79"/>
        <v>0</v>
      </c>
    </row>
    <row r="163" spans="2:45" outlineLevel="1" collapsed="1" x14ac:dyDescent="0.15">
      <c r="B163" s="107" t="s">
        <v>487</v>
      </c>
      <c r="J163" s="49">
        <f t="shared" ref="J163:AS163" si="80">SUM(J161:J162)</f>
        <v>0</v>
      </c>
      <c r="K163" s="49">
        <f t="shared" ca="1" si="80"/>
        <v>0</v>
      </c>
      <c r="L163" s="49">
        <f t="shared" ca="1" si="80"/>
        <v>0</v>
      </c>
      <c r="M163" s="49">
        <f t="shared" ca="1" si="80"/>
        <v>0</v>
      </c>
      <c r="N163" s="49">
        <f t="shared" ca="1" si="80"/>
        <v>0</v>
      </c>
      <c r="O163" s="49">
        <f t="shared" ca="1" si="80"/>
        <v>0</v>
      </c>
      <c r="P163" s="49">
        <f t="shared" ca="1" si="80"/>
        <v>0</v>
      </c>
      <c r="Q163" s="49">
        <f t="shared" ca="1" si="80"/>
        <v>0</v>
      </c>
      <c r="R163" s="49">
        <f t="shared" ca="1" si="80"/>
        <v>0</v>
      </c>
      <c r="S163" s="49">
        <f t="shared" ca="1" si="80"/>
        <v>0</v>
      </c>
      <c r="T163" s="49">
        <f t="shared" ca="1" si="80"/>
        <v>0</v>
      </c>
      <c r="U163" s="49">
        <f t="shared" ca="1" si="80"/>
        <v>0</v>
      </c>
      <c r="V163" s="49">
        <f t="shared" ca="1" si="80"/>
        <v>0</v>
      </c>
      <c r="W163" s="49">
        <f t="shared" ca="1" si="80"/>
        <v>0</v>
      </c>
      <c r="X163" s="49">
        <f t="shared" ca="1" si="80"/>
        <v>0</v>
      </c>
      <c r="Y163" s="49">
        <f t="shared" ca="1" si="80"/>
        <v>0</v>
      </c>
      <c r="Z163" s="49">
        <f t="shared" ca="1" si="80"/>
        <v>0</v>
      </c>
      <c r="AA163" s="49">
        <f t="shared" ca="1" si="80"/>
        <v>0</v>
      </c>
      <c r="AB163" s="49">
        <f t="shared" ca="1" si="80"/>
        <v>0</v>
      </c>
      <c r="AC163" s="49">
        <f t="shared" ca="1" si="80"/>
        <v>0</v>
      </c>
      <c r="AD163" s="49">
        <f t="shared" ca="1" si="80"/>
        <v>0</v>
      </c>
      <c r="AE163" s="49">
        <f t="shared" ca="1" si="80"/>
        <v>0</v>
      </c>
      <c r="AF163" s="49">
        <f t="shared" ca="1" si="80"/>
        <v>0</v>
      </c>
      <c r="AG163" s="49">
        <f t="shared" ca="1" si="80"/>
        <v>0</v>
      </c>
      <c r="AH163" s="49">
        <f t="shared" ca="1" si="80"/>
        <v>0</v>
      </c>
      <c r="AI163" s="49">
        <f t="shared" ca="1" si="80"/>
        <v>0</v>
      </c>
      <c r="AJ163" s="49">
        <f t="shared" ca="1" si="80"/>
        <v>0</v>
      </c>
      <c r="AK163" s="49">
        <f t="shared" ca="1" si="80"/>
        <v>0</v>
      </c>
      <c r="AL163" s="49">
        <f t="shared" ca="1" si="80"/>
        <v>0</v>
      </c>
      <c r="AM163" s="49">
        <f t="shared" ca="1" si="80"/>
        <v>0</v>
      </c>
      <c r="AN163" s="49">
        <f t="shared" ca="1" si="80"/>
        <v>0</v>
      </c>
      <c r="AO163" s="49">
        <f t="shared" ca="1" si="80"/>
        <v>0</v>
      </c>
      <c r="AP163" s="49">
        <f t="shared" ca="1" si="80"/>
        <v>0</v>
      </c>
      <c r="AQ163" s="49">
        <f t="shared" ca="1" si="80"/>
        <v>0</v>
      </c>
      <c r="AR163" s="49">
        <f t="shared" ca="1" si="80"/>
        <v>0</v>
      </c>
      <c r="AS163" s="49">
        <f t="shared" ca="1" si="80"/>
        <v>0</v>
      </c>
    </row>
    <row r="164" spans="2:45" outlineLevel="1" x14ac:dyDescent="0.15">
      <c r="B164" s="16" t="s">
        <v>495</v>
      </c>
      <c r="J164" s="15">
        <f t="shared" ref="J164:AS164" ca="1" si="81">J159+J160+J163</f>
        <v>0</v>
      </c>
      <c r="K164" s="15">
        <f t="shared" ca="1" si="81"/>
        <v>0</v>
      </c>
      <c r="L164" s="15">
        <f t="shared" ca="1" si="81"/>
        <v>0</v>
      </c>
      <c r="M164" s="15">
        <f t="shared" ca="1" si="81"/>
        <v>0</v>
      </c>
      <c r="N164" s="15">
        <f t="shared" ca="1" si="81"/>
        <v>0</v>
      </c>
      <c r="O164" s="15">
        <f t="shared" ca="1" si="81"/>
        <v>0</v>
      </c>
      <c r="P164" s="15">
        <f t="shared" ca="1" si="81"/>
        <v>0</v>
      </c>
      <c r="Q164" s="15">
        <f t="shared" ca="1" si="81"/>
        <v>0</v>
      </c>
      <c r="R164" s="15">
        <f t="shared" ca="1" si="81"/>
        <v>0</v>
      </c>
      <c r="S164" s="15">
        <f t="shared" ca="1" si="81"/>
        <v>0</v>
      </c>
      <c r="T164" s="15">
        <f t="shared" ca="1" si="81"/>
        <v>0</v>
      </c>
      <c r="U164" s="15">
        <f t="shared" ca="1" si="81"/>
        <v>0</v>
      </c>
      <c r="V164" s="15">
        <f t="shared" ca="1" si="81"/>
        <v>0</v>
      </c>
      <c r="W164" s="15">
        <f t="shared" ca="1" si="81"/>
        <v>0</v>
      </c>
      <c r="X164" s="15">
        <f t="shared" ca="1" si="81"/>
        <v>0</v>
      </c>
      <c r="Y164" s="15">
        <f t="shared" ca="1" si="81"/>
        <v>0</v>
      </c>
      <c r="Z164" s="15">
        <f t="shared" ca="1" si="81"/>
        <v>0</v>
      </c>
      <c r="AA164" s="15">
        <f t="shared" ca="1" si="81"/>
        <v>0</v>
      </c>
      <c r="AB164" s="15">
        <f t="shared" ca="1" si="81"/>
        <v>0</v>
      </c>
      <c r="AC164" s="15">
        <f t="shared" ca="1" si="81"/>
        <v>0</v>
      </c>
      <c r="AD164" s="15">
        <f t="shared" ca="1" si="81"/>
        <v>0</v>
      </c>
      <c r="AE164" s="15">
        <f t="shared" ca="1" si="81"/>
        <v>0</v>
      </c>
      <c r="AF164" s="15">
        <f t="shared" ca="1" si="81"/>
        <v>0</v>
      </c>
      <c r="AG164" s="15">
        <f t="shared" ca="1" si="81"/>
        <v>0</v>
      </c>
      <c r="AH164" s="15">
        <f t="shared" ca="1" si="81"/>
        <v>0</v>
      </c>
      <c r="AI164" s="15">
        <f t="shared" ca="1" si="81"/>
        <v>0</v>
      </c>
      <c r="AJ164" s="15">
        <f t="shared" ca="1" si="81"/>
        <v>0</v>
      </c>
      <c r="AK164" s="15">
        <f t="shared" ca="1" si="81"/>
        <v>0</v>
      </c>
      <c r="AL164" s="15">
        <f t="shared" ca="1" si="81"/>
        <v>0</v>
      </c>
      <c r="AM164" s="15">
        <f t="shared" ca="1" si="81"/>
        <v>0</v>
      </c>
      <c r="AN164" s="15">
        <f t="shared" ca="1" si="81"/>
        <v>0</v>
      </c>
      <c r="AO164" s="15">
        <f t="shared" ca="1" si="81"/>
        <v>0</v>
      </c>
      <c r="AP164" s="15">
        <f t="shared" ca="1" si="81"/>
        <v>0</v>
      </c>
      <c r="AQ164" s="15">
        <f t="shared" ca="1" si="81"/>
        <v>0</v>
      </c>
      <c r="AR164" s="15">
        <f t="shared" ca="1" si="81"/>
        <v>0</v>
      </c>
      <c r="AS164" s="15">
        <f t="shared" ca="1" si="81"/>
        <v>0</v>
      </c>
    </row>
  </sheetData>
  <sheetProtection algorithmName="SHA-512" hashValue="WgAeuAT/BrAAl2DdCTO3+Xg0/wmG7q5C/ii3ObQ5IQ5GqR02QOzVATEj63lKnz/chVoOfaznQ2hUTKs1Q5GGXg==" saltValue="NPwq1VVe5GyZLibmO5jhjQ==" spinCount="100000" sheet="1" objects="1" scenarios="1" formatColumns="0" formatRows="0"/>
  <conditionalFormatting sqref="I51">
    <cfRule type="cellIs" dxfId="126" priority="6" operator="notEqual">
      <formula>0</formula>
    </cfRule>
  </conditionalFormatting>
  <conditionalFormatting sqref="I55">
    <cfRule type="cellIs" dxfId="125" priority="10" operator="notEqual">
      <formula>0</formula>
    </cfRule>
  </conditionalFormatting>
  <conditionalFormatting sqref="I77">
    <cfRule type="cellIs" dxfId="124" priority="86" operator="notEqual">
      <formula>0</formula>
    </cfRule>
  </conditionalFormatting>
  <conditionalFormatting sqref="I81">
    <cfRule type="cellIs" dxfId="123" priority="90" operator="notEqual">
      <formula>0</formula>
    </cfRule>
  </conditionalFormatting>
  <conditionalFormatting sqref="I144">
    <cfRule type="cellIs" dxfId="122" priority="39" operator="notEqual">
      <formula>0</formula>
    </cfRule>
  </conditionalFormatting>
  <conditionalFormatting sqref="I148">
    <cfRule type="cellIs" dxfId="121" priority="43" operator="notEqual">
      <formula>0</formula>
    </cfRule>
  </conditionalFormatting>
  <conditionalFormatting sqref="I29:AS29">
    <cfRule type="cellIs" dxfId="120" priority="1" operator="notEqual">
      <formula>0</formula>
    </cfRule>
  </conditionalFormatting>
  <conditionalFormatting sqref="J48:AS51">
    <cfRule type="cellIs" dxfId="119" priority="47" operator="notEqual">
      <formula>0</formula>
    </cfRule>
  </conditionalFormatting>
  <conditionalFormatting sqref="J53:AS55">
    <cfRule type="cellIs" dxfId="118" priority="51" operator="notEqual">
      <formula>0</formula>
    </cfRule>
  </conditionalFormatting>
  <conditionalFormatting sqref="J74:AS77">
    <cfRule type="cellIs" dxfId="117" priority="83" operator="notEqual">
      <formula>0</formula>
    </cfRule>
  </conditionalFormatting>
  <conditionalFormatting sqref="J79:AS81">
    <cfRule type="cellIs" dxfId="116" priority="88" operator="notEqual">
      <formula>0</formula>
    </cfRule>
  </conditionalFormatting>
  <conditionalFormatting sqref="J96:AS96">
    <cfRule type="expression" dxfId="115" priority="44">
      <formula>OR(J$8=1,J97=1)</formula>
    </cfRule>
  </conditionalFormatting>
  <conditionalFormatting sqref="J98:AS98">
    <cfRule type="expression" dxfId="114" priority="45">
      <formula>NOT(OR(J$8=1,J97=1))</formula>
    </cfRule>
  </conditionalFormatting>
  <conditionalFormatting sqref="J100:AS100">
    <cfRule type="cellIs" dxfId="113" priority="58" operator="equal">
      <formula>Eq_Ord_Yes</formula>
    </cfRule>
  </conditionalFormatting>
  <conditionalFormatting sqref="J101:AS101">
    <cfRule type="expression" dxfId="112" priority="54">
      <formula>J100=Eq_Ord_No</formula>
    </cfRule>
  </conditionalFormatting>
  <conditionalFormatting sqref="J102:AS102">
    <cfRule type="expression" dxfId="111" priority="55">
      <formula>OR(J100=Eq_Ord_No,J101&lt;&gt;Eq_Ord_Div_Meth_Pcent_Of_Npat)</formula>
    </cfRule>
  </conditionalFormatting>
  <conditionalFormatting sqref="J103:AS103">
    <cfRule type="expression" dxfId="110" priority="56">
      <formula>OR(J100=Eq_Ord_No,J101&lt;&gt;Eq_Ord_Div_Meth_Amt)</formula>
    </cfRule>
  </conditionalFormatting>
  <conditionalFormatting sqref="J104:AS104">
    <cfRule type="expression" dxfId="109" priority="57">
      <formula>J100=Eq_Ord_No</formula>
    </cfRule>
  </conditionalFormatting>
  <conditionalFormatting sqref="J122:AS122">
    <cfRule type="cellIs" dxfId="108" priority="75" operator="equal">
      <formula>Eq_Ord_Yes</formula>
    </cfRule>
  </conditionalFormatting>
  <conditionalFormatting sqref="J123:AS123">
    <cfRule type="expression" dxfId="107" priority="59">
      <formula>J122=Eq_Ord_Yes</formula>
    </cfRule>
  </conditionalFormatting>
  <conditionalFormatting sqref="J124:AS124">
    <cfRule type="expression" dxfId="106" priority="60">
      <formula>J122=Eq_Ord_Yes</formula>
    </cfRule>
  </conditionalFormatting>
  <conditionalFormatting sqref="J125:AS125">
    <cfRule type="expression" dxfId="105" priority="61">
      <formula>J122=Eq_Ord_Yes</formula>
    </cfRule>
  </conditionalFormatting>
  <conditionalFormatting sqref="J126:AS126">
    <cfRule type="expression" dxfId="104" priority="62">
      <formula>J122=Eq_Ord_Yes</formula>
    </cfRule>
  </conditionalFormatting>
  <conditionalFormatting sqref="J127:AS127">
    <cfRule type="expression" dxfId="103" priority="63">
      <formula>J122=Eq_Ord_Yes</formula>
    </cfRule>
  </conditionalFormatting>
  <conditionalFormatting sqref="J128:AS128">
    <cfRule type="expression" dxfId="102" priority="64">
      <formula>J122=Eq_Ord_Yes</formula>
    </cfRule>
  </conditionalFormatting>
  <conditionalFormatting sqref="J129:AS129">
    <cfRule type="expression" dxfId="101" priority="65">
      <formula>J122=Eq_Ord_Yes</formula>
    </cfRule>
  </conditionalFormatting>
  <conditionalFormatting sqref="J130:AS130">
    <cfRule type="expression" dxfId="100" priority="66">
      <formula>J122=Eq_Ord_Yes</formula>
    </cfRule>
  </conditionalFormatting>
  <conditionalFormatting sqref="J131:AS131">
    <cfRule type="expression" dxfId="99" priority="67">
      <formula>J122=Eq_Ord_Yes</formula>
    </cfRule>
  </conditionalFormatting>
  <conditionalFormatting sqref="J132:AS132">
    <cfRule type="expression" dxfId="98" priority="68">
      <formula>J122=Eq_Ord_Yes</formula>
    </cfRule>
  </conditionalFormatting>
  <conditionalFormatting sqref="J133:AS133">
    <cfRule type="expression" dxfId="97" priority="69">
      <formula>J122=Eq_Ord_Yes</formula>
    </cfRule>
  </conditionalFormatting>
  <conditionalFormatting sqref="J134:AS134">
    <cfRule type="expression" dxfId="96" priority="70">
      <formula>J122=Eq_Ord_Yes</formula>
    </cfRule>
  </conditionalFormatting>
  <conditionalFormatting sqref="J135:AS135">
    <cfRule type="expression" dxfId="95" priority="71">
      <formula>J122=Eq_Ord_Yes</formula>
    </cfRule>
  </conditionalFormatting>
  <conditionalFormatting sqref="J136:AS136">
    <cfRule type="expression" dxfId="94" priority="72">
      <formula>J122=Eq_Ord_Yes</formula>
    </cfRule>
  </conditionalFormatting>
  <conditionalFormatting sqref="J137:AS137">
    <cfRule type="expression" dxfId="93" priority="73">
      <formula>J122=Eq_Ord_Yes</formula>
    </cfRule>
  </conditionalFormatting>
  <conditionalFormatting sqref="J138:AS138">
    <cfRule type="expression" dxfId="92" priority="74">
      <formula>J122=Eq_Ord_Yes</formula>
    </cfRule>
  </conditionalFormatting>
  <conditionalFormatting sqref="J141:AS144">
    <cfRule type="cellIs" dxfId="91" priority="76" operator="notEqual">
      <formula>0</formula>
    </cfRule>
  </conditionalFormatting>
  <conditionalFormatting sqref="J146:AS148">
    <cfRule type="cellIs" dxfId="90" priority="80" operator="notEqual">
      <formula>0</formula>
    </cfRule>
  </conditionalFormatting>
  <dataValidations count="6">
    <dataValidation type="whole" operator="greaterThan" showDropDown="1" showErrorMessage="1" errorTitle="Opening Tax Payment Delay" error="The opening tax payment delay must be a whole number greater than zero." sqref="I94" xr:uid="{D7B10BA5-20AC-41BE-9C49-E918F42865BA}">
      <formula1>0</formula1>
    </dataValidation>
    <dataValidation type="custom" showDropDown="1" showErrorMessage="1" errorTitle="Check Box Cell Link" error="The value in a check box cell link must be either &quot;TRUE&quot; or &quot;FALSE&quot;" sqref="B106" xr:uid="{B810B08A-9799-4381-878C-8CAE6B3C096F}">
      <formula1>ISLOGICAL(B106)</formula1>
    </dataValidation>
    <dataValidation type="custom" showErrorMessage="1" errorTitle="Invalid Assumption" error="Assumption must be a number." sqref="J109:AS112 J102:AS103 J89:AS90 J40:AS40 J34:AS35 J66:AS66 J60:AS61" xr:uid="{C0D5A037-6C6B-4DF2-B6EB-540B1108C640}">
      <formula1>NOT(ISERROR(J34/1))</formula1>
    </dataValidation>
    <dataValidation type="list" showErrorMessage="1" errorTitle="Dividends Declaration Frequency" error="A dividends declaration frequency must be selected from the list of available frequencies." sqref="J98:AS98" xr:uid="{108F1636-3D44-4B02-A8C2-524FD3DDC4FF}">
      <formula1>LU_Eq_Ord_Div_Dec_Freq</formula1>
    </dataValidation>
    <dataValidation type="list" showErrorMessage="1" errorTitle="Dividend Determination Method" error="A dividend determination method must be selected from the list of available methods." sqref="J101:AS101" xr:uid="{19D960FF-017A-4ADE-BDA6-E21F0C7F8EF2}">
      <formula1>LU_Eq_Ord_Div_Meth</formula1>
    </dataValidation>
    <dataValidation type="whole" operator="greaterThan" showDropDown="1" showErrorMessage="1" errorTitle="Dividend Payment Delay" error="The dividend payment delay must be whole number of months greater than zero." sqref="J104:AS104" xr:uid="{DBB8FB03-C59A-4243-9A53-E79F53FF6DF1}">
      <formula1>0</formula1>
    </dataValidation>
  </dataValidations>
  <hyperlinks>
    <hyperlink ref="A1" location="HL_Home" tooltip="Go to Table of Contents" display="HL_Home" xr:uid="{7CA2B7D9-6D27-47FB-92F3-53B9090A6ED8}"/>
    <hyperlink ref="A2" location="HL_Err_Chk" tooltip="Go to Error Checks" display="HL_Err_Chk" xr:uid="{09731DE6-8ACE-49CD-8B8E-D9766E0F4357}"/>
  </hyperlinks>
  <pageMargins left="0.4" right="0.4" top="0.6" bottom="1" header="0" footer="0.3"/>
  <pageSetup scale="6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03" r:id="rId4" name="bpmCheckBoxEq_Ord1">
              <controlPr defaultSize="0" autoFill="0" autoLine="0" autoPict="0">
                <anchor moveWithCells="1" sizeWithCells="1">
                  <from>
                    <xdr:col>1</xdr:col>
                    <xdr:colOff>0</xdr:colOff>
                    <xdr:row>105</xdr:row>
                    <xdr:rowOff>0</xdr:rowOff>
                  </from>
                  <to>
                    <xdr:col>8</xdr:col>
                    <xdr:colOff>0</xdr:colOff>
                    <xdr:row>106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CBA6-B6E8-4757-9E8F-6CB07A19F43B}">
  <sheetPr codeName="Sheet10">
    <pageSetUpPr autoPageBreaks="0"/>
  </sheetPr>
  <dimension ref="A1:AS384"/>
  <sheetViews>
    <sheetView showGridLines="0" workbookViewId="0">
      <pane xSplit="9" ySplit="15" topLeftCell="J34" activePane="bottomRight" state="frozenSplit"/>
      <selection pane="topRight" activeCell="J1" sqref="J1"/>
      <selection pane="bottomLeft" activeCell="A16" sqref="A16"/>
      <selection pane="bottomRight" activeCell="I88" sqref="I88"/>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496</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outlineLevel="2" collapsed="1"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outlineLevel="2" collapsed="1"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7" spans="2:45" x14ac:dyDescent="0.15">
      <c r="B17" s="1" t="s">
        <v>497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2:45" outlineLevel="1" x14ac:dyDescent="0.15"/>
    <row r="19" spans="2:45" outlineLevel="1" x14ac:dyDescent="0.15">
      <c r="B19" s="108" t="s">
        <v>498</v>
      </c>
      <c r="C19" s="108"/>
      <c r="D19" s="108"/>
      <c r="E19" s="108"/>
      <c r="F19" s="108"/>
      <c r="G19" s="108"/>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row>
    <row r="20" spans="2:45" outlineLevel="1" x14ac:dyDescent="0.15"/>
    <row r="21" spans="2:45" outlineLevel="1" x14ac:dyDescent="0.15">
      <c r="B21" s="107" t="s">
        <v>499</v>
      </c>
      <c r="H21" s="4">
        <v>6</v>
      </c>
    </row>
    <row r="22" spans="2:45" outlineLevel="1" x14ac:dyDescent="0.15"/>
    <row r="23" spans="2:45" outlineLevel="1" x14ac:dyDescent="0.15">
      <c r="B23" s="108" t="s">
        <v>500</v>
      </c>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row>
    <row r="24" spans="2:45" outlineLevel="1" x14ac:dyDescent="0.15">
      <c r="I24" s="152">
        <f>Ts_Start_Date</f>
        <v>45139</v>
      </c>
    </row>
    <row r="25" spans="2:45" outlineLevel="1" x14ac:dyDescent="0.15">
      <c r="B25" s="107" t="s">
        <v>501</v>
      </c>
      <c r="I25" s="14">
        <f>OBS!J39</f>
        <v>0</v>
      </c>
    </row>
    <row r="26" spans="2:45" outlineLevel="1" x14ac:dyDescent="0.15">
      <c r="B26" s="107" t="str">
        <f>B25&amp;" Payment Delay (Months)"</f>
        <v>Opening VAT Payable Payment Delay (Months)</v>
      </c>
      <c r="I26" s="166">
        <v>1</v>
      </c>
    </row>
    <row r="27" spans="2:45" outlineLevel="1" x14ac:dyDescent="0.15">
      <c r="B27" s="107" t="str">
        <f>"% Paid During "&amp;TEXT(EDATE(Ts_Start_Date,I26-1),"mmmm yyyy")</f>
        <v>% Paid During August 2023</v>
      </c>
      <c r="I27" s="173">
        <v>1</v>
      </c>
    </row>
    <row r="28" spans="2:45" outlineLevel="1" x14ac:dyDescent="0.15"/>
    <row r="29" spans="2:45" outlineLevel="1" x14ac:dyDescent="0.15">
      <c r="B29" s="108" t="s">
        <v>502</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row>
    <row r="30" spans="2:45" outlineLevel="1" x14ac:dyDescent="0.15"/>
    <row r="31" spans="2:45" outlineLevel="1" x14ac:dyDescent="0.15">
      <c r="B31" s="16" t="s">
        <v>503</v>
      </c>
    </row>
    <row r="32" spans="2:45" outlineLevel="1" x14ac:dyDescent="0.15">
      <c r="B32" s="107" t="str">
        <f>B99</f>
        <v>VAT Year</v>
      </c>
      <c r="J32" s="28">
        <f t="shared" ref="J32:AS32" si="11">J99</f>
        <v>2024</v>
      </c>
      <c r="K32" s="28">
        <f t="shared" si="11"/>
        <v>2024</v>
      </c>
      <c r="L32" s="28">
        <f t="shared" si="11"/>
        <v>2024</v>
      </c>
      <c r="M32" s="28">
        <f t="shared" si="11"/>
        <v>2024</v>
      </c>
      <c r="N32" s="28">
        <f t="shared" si="11"/>
        <v>2024</v>
      </c>
      <c r="O32" s="28">
        <f t="shared" si="11"/>
        <v>2024</v>
      </c>
      <c r="P32" s="28">
        <f t="shared" si="11"/>
        <v>2024</v>
      </c>
      <c r="Q32" s="28">
        <f t="shared" si="11"/>
        <v>2024</v>
      </c>
      <c r="R32" s="28">
        <f t="shared" si="11"/>
        <v>2024</v>
      </c>
      <c r="S32" s="28">
        <f t="shared" si="11"/>
        <v>2024</v>
      </c>
      <c r="T32" s="28">
        <f t="shared" si="11"/>
        <v>2024</v>
      </c>
      <c r="U32" s="28">
        <f t="shared" si="11"/>
        <v>2025</v>
      </c>
      <c r="V32" s="28">
        <f t="shared" si="11"/>
        <v>2025</v>
      </c>
      <c r="W32" s="28">
        <f t="shared" si="11"/>
        <v>2025</v>
      </c>
      <c r="X32" s="28">
        <f t="shared" si="11"/>
        <v>2025</v>
      </c>
      <c r="Y32" s="28">
        <f t="shared" si="11"/>
        <v>2025</v>
      </c>
      <c r="Z32" s="28">
        <f t="shared" si="11"/>
        <v>2025</v>
      </c>
      <c r="AA32" s="28">
        <f t="shared" si="11"/>
        <v>2025</v>
      </c>
      <c r="AB32" s="28">
        <f t="shared" si="11"/>
        <v>2025</v>
      </c>
      <c r="AC32" s="28">
        <f t="shared" si="11"/>
        <v>2025</v>
      </c>
      <c r="AD32" s="28">
        <f t="shared" si="11"/>
        <v>2025</v>
      </c>
      <c r="AE32" s="28">
        <f t="shared" si="11"/>
        <v>2025</v>
      </c>
      <c r="AF32" s="28">
        <f t="shared" si="11"/>
        <v>2025</v>
      </c>
      <c r="AG32" s="28">
        <f t="shared" si="11"/>
        <v>2026</v>
      </c>
      <c r="AH32" s="28">
        <f t="shared" si="11"/>
        <v>2026</v>
      </c>
      <c r="AI32" s="28">
        <f t="shared" si="11"/>
        <v>2026</v>
      </c>
      <c r="AJ32" s="28">
        <f t="shared" si="11"/>
        <v>2026</v>
      </c>
      <c r="AK32" s="28">
        <f t="shared" si="11"/>
        <v>2026</v>
      </c>
      <c r="AL32" s="28">
        <f t="shared" si="11"/>
        <v>2026</v>
      </c>
      <c r="AM32" s="28">
        <f t="shared" si="11"/>
        <v>2026</v>
      </c>
      <c r="AN32" s="28">
        <f t="shared" si="11"/>
        <v>2026</v>
      </c>
      <c r="AO32" s="28">
        <f t="shared" si="11"/>
        <v>2026</v>
      </c>
      <c r="AP32" s="28">
        <f t="shared" si="11"/>
        <v>2026</v>
      </c>
      <c r="AQ32" s="28">
        <f t="shared" si="11"/>
        <v>2026</v>
      </c>
      <c r="AR32" s="28">
        <f t="shared" si="11"/>
        <v>2026</v>
      </c>
      <c r="AS32" s="28">
        <f t="shared" si="11"/>
        <v>2027</v>
      </c>
    </row>
    <row r="33" spans="2:45" hidden="1" outlineLevel="2" x14ac:dyDescent="0.15">
      <c r="B33" s="107" t="str">
        <f>B100</f>
        <v>VAT Year Month Number</v>
      </c>
      <c r="J33" s="17">
        <f t="shared" ref="J33:AS33" si="12">J100</f>
        <v>2</v>
      </c>
      <c r="K33" s="17">
        <f t="shared" si="12"/>
        <v>3</v>
      </c>
      <c r="L33" s="17">
        <f t="shared" si="12"/>
        <v>4</v>
      </c>
      <c r="M33" s="17">
        <f t="shared" si="12"/>
        <v>5</v>
      </c>
      <c r="N33" s="17">
        <f t="shared" si="12"/>
        <v>6</v>
      </c>
      <c r="O33" s="17">
        <f t="shared" si="12"/>
        <v>7</v>
      </c>
      <c r="P33" s="17">
        <f t="shared" si="12"/>
        <v>8</v>
      </c>
      <c r="Q33" s="17">
        <f t="shared" si="12"/>
        <v>9</v>
      </c>
      <c r="R33" s="17">
        <f t="shared" si="12"/>
        <v>10</v>
      </c>
      <c r="S33" s="17">
        <f t="shared" si="12"/>
        <v>11</v>
      </c>
      <c r="T33" s="17">
        <f t="shared" si="12"/>
        <v>12</v>
      </c>
      <c r="U33" s="17">
        <f t="shared" si="12"/>
        <v>1</v>
      </c>
      <c r="V33" s="17">
        <f t="shared" si="12"/>
        <v>2</v>
      </c>
      <c r="W33" s="17">
        <f t="shared" si="12"/>
        <v>3</v>
      </c>
      <c r="X33" s="17">
        <f t="shared" si="12"/>
        <v>4</v>
      </c>
      <c r="Y33" s="17">
        <f t="shared" si="12"/>
        <v>5</v>
      </c>
      <c r="Z33" s="17">
        <f t="shared" si="12"/>
        <v>6</v>
      </c>
      <c r="AA33" s="17">
        <f t="shared" si="12"/>
        <v>7</v>
      </c>
      <c r="AB33" s="17">
        <f t="shared" si="12"/>
        <v>8</v>
      </c>
      <c r="AC33" s="17">
        <f t="shared" si="12"/>
        <v>9</v>
      </c>
      <c r="AD33" s="17">
        <f t="shared" si="12"/>
        <v>10</v>
      </c>
      <c r="AE33" s="17">
        <f t="shared" si="12"/>
        <v>11</v>
      </c>
      <c r="AF33" s="17">
        <f t="shared" si="12"/>
        <v>12</v>
      </c>
      <c r="AG33" s="17">
        <f t="shared" si="12"/>
        <v>1</v>
      </c>
      <c r="AH33" s="17">
        <f t="shared" si="12"/>
        <v>2</v>
      </c>
      <c r="AI33" s="17">
        <f t="shared" si="12"/>
        <v>3</v>
      </c>
      <c r="AJ33" s="17">
        <f t="shared" si="12"/>
        <v>4</v>
      </c>
      <c r="AK33" s="17">
        <f t="shared" si="12"/>
        <v>5</v>
      </c>
      <c r="AL33" s="17">
        <f t="shared" si="12"/>
        <v>6</v>
      </c>
      <c r="AM33" s="17">
        <f t="shared" si="12"/>
        <v>7</v>
      </c>
      <c r="AN33" s="17">
        <f t="shared" si="12"/>
        <v>8</v>
      </c>
      <c r="AO33" s="17">
        <f t="shared" si="12"/>
        <v>9</v>
      </c>
      <c r="AP33" s="17">
        <f t="shared" si="12"/>
        <v>10</v>
      </c>
      <c r="AQ33" s="17">
        <f t="shared" si="12"/>
        <v>11</v>
      </c>
      <c r="AR33" s="17">
        <f t="shared" si="12"/>
        <v>12</v>
      </c>
      <c r="AS33" s="17">
        <f t="shared" si="12"/>
        <v>1</v>
      </c>
    </row>
    <row r="34" spans="2:45" outlineLevel="1" collapsed="1" x14ac:dyDescent="0.15">
      <c r="B34" s="107" t="s">
        <v>504</v>
      </c>
      <c r="J34" s="171" t="s">
        <v>505</v>
      </c>
      <c r="K34" s="171" t="s">
        <v>505</v>
      </c>
      <c r="L34" s="171" t="s">
        <v>505</v>
      </c>
      <c r="M34" s="171" t="s">
        <v>505</v>
      </c>
      <c r="N34" s="171" t="s">
        <v>505</v>
      </c>
      <c r="O34" s="171" t="s">
        <v>505</v>
      </c>
      <c r="P34" s="171" t="s">
        <v>505</v>
      </c>
      <c r="Q34" s="171" t="s">
        <v>505</v>
      </c>
      <c r="R34" s="171" t="s">
        <v>505</v>
      </c>
      <c r="S34" s="171" t="s">
        <v>505</v>
      </c>
      <c r="T34" s="171" t="s">
        <v>505</v>
      </c>
      <c r="U34" s="171" t="s">
        <v>505</v>
      </c>
      <c r="V34" s="171" t="s">
        <v>505</v>
      </c>
      <c r="W34" s="171" t="s">
        <v>505</v>
      </c>
      <c r="X34" s="171" t="s">
        <v>505</v>
      </c>
      <c r="Y34" s="171" t="s">
        <v>505</v>
      </c>
      <c r="Z34" s="171" t="s">
        <v>505</v>
      </c>
      <c r="AA34" s="171" t="s">
        <v>505</v>
      </c>
      <c r="AB34" s="171" t="s">
        <v>505</v>
      </c>
      <c r="AC34" s="171" t="s">
        <v>505</v>
      </c>
      <c r="AD34" s="171" t="s">
        <v>505</v>
      </c>
      <c r="AE34" s="171" t="s">
        <v>505</v>
      </c>
      <c r="AF34" s="171" t="s">
        <v>505</v>
      </c>
      <c r="AG34" s="171" t="s">
        <v>505</v>
      </c>
      <c r="AH34" s="171" t="s">
        <v>505</v>
      </c>
      <c r="AI34" s="171" t="s">
        <v>505</v>
      </c>
      <c r="AJ34" s="171" t="s">
        <v>505</v>
      </c>
      <c r="AK34" s="171" t="s">
        <v>505</v>
      </c>
      <c r="AL34" s="171" t="s">
        <v>505</v>
      </c>
      <c r="AM34" s="171" t="s">
        <v>505</v>
      </c>
      <c r="AN34" s="171" t="s">
        <v>505</v>
      </c>
      <c r="AO34" s="171" t="s">
        <v>505</v>
      </c>
      <c r="AP34" s="171" t="s">
        <v>505</v>
      </c>
      <c r="AQ34" s="171" t="s">
        <v>505</v>
      </c>
      <c r="AR34" s="171" t="s">
        <v>505</v>
      </c>
      <c r="AS34" s="171" t="s">
        <v>505</v>
      </c>
    </row>
    <row r="35" spans="2:45" outlineLevel="1" x14ac:dyDescent="0.15"/>
    <row r="36" spans="2:45" outlineLevel="1" x14ac:dyDescent="0.15">
      <c r="B36" s="16" t="s">
        <v>506</v>
      </c>
    </row>
    <row r="37" spans="2:45" outlineLevel="1" x14ac:dyDescent="0.15">
      <c r="B37" s="107" t="s">
        <v>507</v>
      </c>
      <c r="J37" s="167">
        <v>0.2</v>
      </c>
      <c r="K37" s="167">
        <v>0.2</v>
      </c>
      <c r="L37" s="167">
        <v>0.2</v>
      </c>
      <c r="M37" s="167">
        <v>0.2</v>
      </c>
      <c r="N37" s="167">
        <v>0.2</v>
      </c>
      <c r="O37" s="167">
        <v>0.2</v>
      </c>
      <c r="P37" s="167">
        <v>0.2</v>
      </c>
      <c r="Q37" s="167">
        <v>0.2</v>
      </c>
      <c r="R37" s="167">
        <v>0.2</v>
      </c>
      <c r="S37" s="167">
        <v>0.2</v>
      </c>
      <c r="T37" s="167">
        <v>0.2</v>
      </c>
      <c r="U37" s="167">
        <v>0.2</v>
      </c>
      <c r="V37" s="167">
        <v>0.2</v>
      </c>
      <c r="W37" s="167">
        <v>0.2</v>
      </c>
      <c r="X37" s="167">
        <v>0.2</v>
      </c>
      <c r="Y37" s="167">
        <v>0.2</v>
      </c>
      <c r="Z37" s="167">
        <v>0.2</v>
      </c>
      <c r="AA37" s="167">
        <v>0.2</v>
      </c>
      <c r="AB37" s="167">
        <v>0.2</v>
      </c>
      <c r="AC37" s="167">
        <v>0.2</v>
      </c>
      <c r="AD37" s="167">
        <v>0.2</v>
      </c>
      <c r="AE37" s="167">
        <v>0.2</v>
      </c>
      <c r="AF37" s="167">
        <v>0.2</v>
      </c>
      <c r="AG37" s="167">
        <v>0.2</v>
      </c>
      <c r="AH37" s="167">
        <v>0.2</v>
      </c>
      <c r="AI37" s="167">
        <v>0.2</v>
      </c>
      <c r="AJ37" s="167">
        <v>0.2</v>
      </c>
      <c r="AK37" s="167">
        <v>0.2</v>
      </c>
      <c r="AL37" s="167">
        <v>0.2</v>
      </c>
      <c r="AM37" s="167">
        <v>0.2</v>
      </c>
      <c r="AN37" s="167">
        <v>0.2</v>
      </c>
      <c r="AO37" s="167">
        <v>0.2</v>
      </c>
      <c r="AP37" s="167">
        <v>0.2</v>
      </c>
      <c r="AQ37" s="167">
        <v>0.2</v>
      </c>
      <c r="AR37" s="167">
        <v>0.2</v>
      </c>
      <c r="AS37" s="167">
        <v>0.2</v>
      </c>
    </row>
    <row r="38" spans="2:45" outlineLevel="1" x14ac:dyDescent="0.15"/>
    <row r="39" spans="2:45" outlineLevel="1" x14ac:dyDescent="0.15">
      <c r="B39" s="16" t="s">
        <v>508</v>
      </c>
    </row>
    <row r="40" spans="2:45" outlineLevel="1" x14ac:dyDescent="0.15">
      <c r="B40" s="107" t="str">
        <f>B113</f>
        <v>Assessment Period</v>
      </c>
      <c r="J40" s="29" t="str">
        <f t="shared" ref="J40:AS40" si="13">J113</f>
        <v>No</v>
      </c>
      <c r="K40" s="29" t="str">
        <f t="shared" si="13"/>
        <v>Yes</v>
      </c>
      <c r="L40" s="29" t="str">
        <f t="shared" si="13"/>
        <v>No</v>
      </c>
      <c r="M40" s="29" t="str">
        <f t="shared" si="13"/>
        <v>No</v>
      </c>
      <c r="N40" s="29" t="str">
        <f t="shared" si="13"/>
        <v>Yes</v>
      </c>
      <c r="O40" s="29" t="str">
        <f t="shared" si="13"/>
        <v>No</v>
      </c>
      <c r="P40" s="29" t="str">
        <f t="shared" si="13"/>
        <v>No</v>
      </c>
      <c r="Q40" s="29" t="str">
        <f t="shared" si="13"/>
        <v>Yes</v>
      </c>
      <c r="R40" s="29" t="str">
        <f t="shared" si="13"/>
        <v>No</v>
      </c>
      <c r="S40" s="29" t="str">
        <f t="shared" si="13"/>
        <v>No</v>
      </c>
      <c r="T40" s="29" t="str">
        <f t="shared" si="13"/>
        <v>Yes</v>
      </c>
      <c r="U40" s="29" t="str">
        <f t="shared" si="13"/>
        <v>No</v>
      </c>
      <c r="V40" s="29" t="str">
        <f t="shared" si="13"/>
        <v>No</v>
      </c>
      <c r="W40" s="29" t="str">
        <f t="shared" si="13"/>
        <v>Yes</v>
      </c>
      <c r="X40" s="29" t="str">
        <f t="shared" si="13"/>
        <v>No</v>
      </c>
      <c r="Y40" s="29" t="str">
        <f t="shared" si="13"/>
        <v>No</v>
      </c>
      <c r="Z40" s="29" t="str">
        <f t="shared" si="13"/>
        <v>Yes</v>
      </c>
      <c r="AA40" s="29" t="str">
        <f t="shared" si="13"/>
        <v>No</v>
      </c>
      <c r="AB40" s="29" t="str">
        <f t="shared" si="13"/>
        <v>No</v>
      </c>
      <c r="AC40" s="29" t="str">
        <f t="shared" si="13"/>
        <v>Yes</v>
      </c>
      <c r="AD40" s="29" t="str">
        <f t="shared" si="13"/>
        <v>No</v>
      </c>
      <c r="AE40" s="29" t="str">
        <f t="shared" si="13"/>
        <v>No</v>
      </c>
      <c r="AF40" s="29" t="str">
        <f t="shared" si="13"/>
        <v>Yes</v>
      </c>
      <c r="AG40" s="29" t="str">
        <f t="shared" si="13"/>
        <v>No</v>
      </c>
      <c r="AH40" s="29" t="str">
        <f t="shared" si="13"/>
        <v>No</v>
      </c>
      <c r="AI40" s="29" t="str">
        <f t="shared" si="13"/>
        <v>Yes</v>
      </c>
      <c r="AJ40" s="29" t="str">
        <f t="shared" si="13"/>
        <v>No</v>
      </c>
      <c r="AK40" s="29" t="str">
        <f t="shared" si="13"/>
        <v>No</v>
      </c>
      <c r="AL40" s="29" t="str">
        <f t="shared" si="13"/>
        <v>Yes</v>
      </c>
      <c r="AM40" s="29" t="str">
        <f t="shared" si="13"/>
        <v>No</v>
      </c>
      <c r="AN40" s="29" t="str">
        <f t="shared" si="13"/>
        <v>No</v>
      </c>
      <c r="AO40" s="29" t="str">
        <f t="shared" si="13"/>
        <v>Yes</v>
      </c>
      <c r="AP40" s="29" t="str">
        <f t="shared" si="13"/>
        <v>No</v>
      </c>
      <c r="AQ40" s="29" t="str">
        <f t="shared" si="13"/>
        <v>No</v>
      </c>
      <c r="AR40" s="29" t="str">
        <f t="shared" si="13"/>
        <v>Yes</v>
      </c>
      <c r="AS40" s="29" t="str">
        <f t="shared" si="13"/>
        <v>No</v>
      </c>
    </row>
    <row r="41" spans="2:45" outlineLevel="1" x14ac:dyDescent="0.15">
      <c r="B41" s="107" t="s">
        <v>509</v>
      </c>
      <c r="J41" s="171" t="s">
        <v>89</v>
      </c>
      <c r="K41" s="171" t="s">
        <v>89</v>
      </c>
      <c r="L41" s="171" t="s">
        <v>89</v>
      </c>
      <c r="M41" s="171" t="s">
        <v>89</v>
      </c>
      <c r="N41" s="171" t="s">
        <v>89</v>
      </c>
      <c r="O41" s="171" t="s">
        <v>89</v>
      </c>
      <c r="P41" s="171" t="s">
        <v>89</v>
      </c>
      <c r="Q41" s="171" t="s">
        <v>89</v>
      </c>
      <c r="R41" s="171" t="s">
        <v>89</v>
      </c>
      <c r="S41" s="171" t="s">
        <v>89</v>
      </c>
      <c r="T41" s="171" t="s">
        <v>89</v>
      </c>
      <c r="U41" s="171" t="s">
        <v>89</v>
      </c>
      <c r="V41" s="171" t="s">
        <v>89</v>
      </c>
      <c r="W41" s="171" t="s">
        <v>89</v>
      </c>
      <c r="X41" s="171" t="s">
        <v>89</v>
      </c>
      <c r="Y41" s="171" t="s">
        <v>89</v>
      </c>
      <c r="Z41" s="171" t="s">
        <v>89</v>
      </c>
      <c r="AA41" s="171" t="s">
        <v>89</v>
      </c>
      <c r="AB41" s="171" t="s">
        <v>89</v>
      </c>
      <c r="AC41" s="171" t="s">
        <v>89</v>
      </c>
      <c r="AD41" s="171" t="s">
        <v>89</v>
      </c>
      <c r="AE41" s="171" t="s">
        <v>89</v>
      </c>
      <c r="AF41" s="171" t="s">
        <v>89</v>
      </c>
      <c r="AG41" s="171" t="s">
        <v>89</v>
      </c>
      <c r="AH41" s="171" t="s">
        <v>89</v>
      </c>
      <c r="AI41" s="171" t="s">
        <v>89</v>
      </c>
      <c r="AJ41" s="171" t="s">
        <v>89</v>
      </c>
      <c r="AK41" s="171" t="s">
        <v>89</v>
      </c>
      <c r="AL41" s="171" t="s">
        <v>89</v>
      </c>
      <c r="AM41" s="171" t="s">
        <v>89</v>
      </c>
      <c r="AN41" s="171" t="s">
        <v>89</v>
      </c>
      <c r="AO41" s="171" t="s">
        <v>89</v>
      </c>
      <c r="AP41" s="171" t="s">
        <v>89</v>
      </c>
      <c r="AQ41" s="171" t="s">
        <v>89</v>
      </c>
      <c r="AR41" s="171" t="s">
        <v>89</v>
      </c>
      <c r="AS41" s="171" t="s">
        <v>89</v>
      </c>
    </row>
    <row r="42" spans="2:45" outlineLevel="1" x14ac:dyDescent="0.15">
      <c r="B42" s="107" t="str">
        <f>B119</f>
        <v>Assessment VAT Payable</v>
      </c>
      <c r="J42" s="14">
        <f t="shared" ref="J42:AS42" si="14">J119</f>
        <v>0</v>
      </c>
      <c r="K42" s="14">
        <f t="shared" ca="1" si="14"/>
        <v>-44377.22531862546</v>
      </c>
      <c r="L42" s="14">
        <f t="shared" si="14"/>
        <v>0</v>
      </c>
      <c r="M42" s="14">
        <f t="shared" si="14"/>
        <v>0</v>
      </c>
      <c r="N42" s="14">
        <f t="shared" ca="1" si="14"/>
        <v>-3653.5460204825827</v>
      </c>
      <c r="O42" s="14">
        <f t="shared" si="14"/>
        <v>0</v>
      </c>
      <c r="P42" s="14">
        <f t="shared" si="14"/>
        <v>0</v>
      </c>
      <c r="Q42" s="14">
        <f t="shared" ca="1" si="14"/>
        <v>-3942.779184356129</v>
      </c>
      <c r="R42" s="14">
        <f t="shared" si="14"/>
        <v>0</v>
      </c>
      <c r="S42" s="14">
        <f t="shared" si="14"/>
        <v>0</v>
      </c>
      <c r="T42" s="14">
        <f t="shared" ca="1" si="14"/>
        <v>-4095.9005239323878</v>
      </c>
      <c r="U42" s="14">
        <f t="shared" si="14"/>
        <v>0</v>
      </c>
      <c r="V42" s="14">
        <f t="shared" si="14"/>
        <v>0</v>
      </c>
      <c r="W42" s="14">
        <f t="shared" ca="1" si="14"/>
        <v>-4107.1450747486451</v>
      </c>
      <c r="X42" s="14">
        <f t="shared" si="14"/>
        <v>0</v>
      </c>
      <c r="Y42" s="14">
        <f t="shared" si="14"/>
        <v>0</v>
      </c>
      <c r="Z42" s="14">
        <f t="shared" ca="1" si="14"/>
        <v>-4118.0881535961289</v>
      </c>
      <c r="AA42" s="14">
        <f t="shared" si="14"/>
        <v>0</v>
      </c>
      <c r="AB42" s="14">
        <f t="shared" si="14"/>
        <v>0</v>
      </c>
      <c r="AC42" s="14">
        <f t="shared" ca="1" si="14"/>
        <v>-3938.3591485161296</v>
      </c>
      <c r="AD42" s="14">
        <f t="shared" si="14"/>
        <v>0</v>
      </c>
      <c r="AE42" s="14">
        <f t="shared" si="14"/>
        <v>0</v>
      </c>
      <c r="AF42" s="14">
        <f t="shared" ca="1" si="14"/>
        <v>-3855.4627967948372</v>
      </c>
      <c r="AG42" s="14">
        <f t="shared" si="14"/>
        <v>0</v>
      </c>
      <c r="AH42" s="14">
        <f t="shared" si="14"/>
        <v>0</v>
      </c>
      <c r="AI42" s="14">
        <f t="shared" ca="1" si="14"/>
        <v>-3867.964643770325</v>
      </c>
      <c r="AJ42" s="14">
        <f t="shared" si="14"/>
        <v>0</v>
      </c>
      <c r="AK42" s="14">
        <f t="shared" si="14"/>
        <v>0</v>
      </c>
      <c r="AL42" s="14">
        <f t="shared" ca="1" si="14"/>
        <v>-3877.9994136309679</v>
      </c>
      <c r="AM42" s="14">
        <f t="shared" si="14"/>
        <v>0</v>
      </c>
      <c r="AN42" s="14">
        <f t="shared" si="14"/>
        <v>0</v>
      </c>
      <c r="AO42" s="14">
        <f t="shared" ca="1" si="14"/>
        <v>-3857.9912172387103</v>
      </c>
      <c r="AP42" s="14">
        <f t="shared" si="14"/>
        <v>0</v>
      </c>
      <c r="AQ42" s="14">
        <f t="shared" si="14"/>
        <v>0</v>
      </c>
      <c r="AR42" s="14">
        <f t="shared" ca="1" si="14"/>
        <v>-3849.7950610379339</v>
      </c>
      <c r="AS42" s="14">
        <f t="shared" si="14"/>
        <v>0</v>
      </c>
    </row>
    <row r="43" spans="2:45" outlineLevel="1" x14ac:dyDescent="0.15">
      <c r="B43" s="107" t="s">
        <v>510</v>
      </c>
      <c r="J43" s="166">
        <v>1</v>
      </c>
      <c r="K43" s="166">
        <v>1</v>
      </c>
      <c r="L43" s="166">
        <v>1</v>
      </c>
      <c r="M43" s="166">
        <v>1</v>
      </c>
      <c r="N43" s="166">
        <v>1</v>
      </c>
      <c r="O43" s="166">
        <v>1</v>
      </c>
      <c r="P43" s="166">
        <v>1</v>
      </c>
      <c r="Q43" s="166">
        <v>1</v>
      </c>
      <c r="R43" s="166">
        <v>1</v>
      </c>
      <c r="S43" s="166">
        <v>1</v>
      </c>
      <c r="T43" s="166">
        <v>1</v>
      </c>
      <c r="U43" s="166">
        <v>1</v>
      </c>
      <c r="V43" s="166">
        <v>1</v>
      </c>
      <c r="W43" s="166">
        <v>1</v>
      </c>
      <c r="X43" s="166">
        <v>1</v>
      </c>
      <c r="Y43" s="166">
        <v>1</v>
      </c>
      <c r="Z43" s="166">
        <v>1</v>
      </c>
      <c r="AA43" s="166">
        <v>1</v>
      </c>
      <c r="AB43" s="166">
        <v>1</v>
      </c>
      <c r="AC43" s="166">
        <v>1</v>
      </c>
      <c r="AD43" s="166">
        <v>1</v>
      </c>
      <c r="AE43" s="166">
        <v>1</v>
      </c>
      <c r="AF43" s="166">
        <v>1</v>
      </c>
      <c r="AG43" s="166">
        <v>1</v>
      </c>
      <c r="AH43" s="166">
        <v>1</v>
      </c>
      <c r="AI43" s="166">
        <v>1</v>
      </c>
      <c r="AJ43" s="166">
        <v>1</v>
      </c>
      <c r="AK43" s="166">
        <v>1</v>
      </c>
      <c r="AL43" s="166">
        <v>1</v>
      </c>
      <c r="AM43" s="166">
        <v>1</v>
      </c>
      <c r="AN43" s="166">
        <v>1</v>
      </c>
      <c r="AO43" s="166">
        <v>1</v>
      </c>
      <c r="AP43" s="166">
        <v>1</v>
      </c>
      <c r="AQ43" s="166">
        <v>1</v>
      </c>
      <c r="AR43" s="166">
        <v>1</v>
      </c>
      <c r="AS43" s="166">
        <v>1</v>
      </c>
    </row>
    <row r="44" spans="2:45" outlineLevel="1" x14ac:dyDescent="0.15"/>
    <row r="45" spans="2:45" outlineLevel="1" x14ac:dyDescent="0.15">
      <c r="B45" s="16" t="s">
        <v>511</v>
      </c>
    </row>
    <row r="46" spans="2:45" outlineLevel="1" x14ac:dyDescent="0.15">
      <c r="B46" s="107" t="s">
        <v>512</v>
      </c>
      <c r="J46" s="166">
        <v>0</v>
      </c>
      <c r="K46" s="166">
        <v>0</v>
      </c>
      <c r="L46" s="166">
        <v>0</v>
      </c>
      <c r="M46" s="166">
        <v>0</v>
      </c>
      <c r="N46" s="166">
        <v>0</v>
      </c>
      <c r="O46" s="166">
        <v>0</v>
      </c>
      <c r="P46" s="166">
        <v>0</v>
      </c>
      <c r="Q46" s="166">
        <v>0</v>
      </c>
      <c r="R46" s="166">
        <v>0</v>
      </c>
      <c r="S46" s="166">
        <v>0</v>
      </c>
      <c r="T46" s="166">
        <v>0</v>
      </c>
      <c r="U46" s="166">
        <v>0</v>
      </c>
      <c r="V46" s="166">
        <v>0</v>
      </c>
      <c r="W46" s="166">
        <v>0</v>
      </c>
      <c r="X46" s="166">
        <v>0</v>
      </c>
      <c r="Y46" s="166">
        <v>0</v>
      </c>
      <c r="Z46" s="166">
        <v>0</v>
      </c>
      <c r="AA46" s="166">
        <v>0</v>
      </c>
      <c r="AB46" s="166">
        <v>0</v>
      </c>
      <c r="AC46" s="166">
        <v>0</v>
      </c>
      <c r="AD46" s="166">
        <v>0</v>
      </c>
      <c r="AE46" s="166">
        <v>0</v>
      </c>
      <c r="AF46" s="166">
        <v>0</v>
      </c>
      <c r="AG46" s="166">
        <v>0</v>
      </c>
      <c r="AH46" s="166">
        <v>0</v>
      </c>
      <c r="AI46" s="166">
        <v>0</v>
      </c>
      <c r="AJ46" s="166">
        <v>0</v>
      </c>
      <c r="AK46" s="166">
        <v>0</v>
      </c>
      <c r="AL46" s="166">
        <v>0</v>
      </c>
      <c r="AM46" s="166">
        <v>0</v>
      </c>
      <c r="AN46" s="166">
        <v>0</v>
      </c>
      <c r="AO46" s="166">
        <v>0</v>
      </c>
      <c r="AP46" s="166">
        <v>0</v>
      </c>
      <c r="AQ46" s="166">
        <v>0</v>
      </c>
      <c r="AR46" s="166">
        <v>0</v>
      </c>
      <c r="AS46" s="166">
        <v>0</v>
      </c>
    </row>
    <row r="47" spans="2:45" outlineLevel="1" x14ac:dyDescent="0.15">
      <c r="B47" s="107" t="s">
        <v>513</v>
      </c>
      <c r="J47" s="166">
        <v>0</v>
      </c>
      <c r="K47" s="166">
        <v>0</v>
      </c>
      <c r="L47" s="166">
        <v>0</v>
      </c>
      <c r="M47" s="166">
        <v>0</v>
      </c>
      <c r="N47" s="166">
        <v>0</v>
      </c>
      <c r="O47" s="166">
        <v>0</v>
      </c>
      <c r="P47" s="166">
        <v>0</v>
      </c>
      <c r="Q47" s="166">
        <v>0</v>
      </c>
      <c r="R47" s="166">
        <v>0</v>
      </c>
      <c r="S47" s="166">
        <v>0</v>
      </c>
      <c r="T47" s="166">
        <v>0</v>
      </c>
      <c r="U47" s="166">
        <v>0</v>
      </c>
      <c r="V47" s="166">
        <v>0</v>
      </c>
      <c r="W47" s="166">
        <v>0</v>
      </c>
      <c r="X47" s="166">
        <v>0</v>
      </c>
      <c r="Y47" s="166">
        <v>0</v>
      </c>
      <c r="Z47" s="166">
        <v>0</v>
      </c>
      <c r="AA47" s="166">
        <v>0</v>
      </c>
      <c r="AB47" s="166">
        <v>0</v>
      </c>
      <c r="AC47" s="166">
        <v>0</v>
      </c>
      <c r="AD47" s="166">
        <v>0</v>
      </c>
      <c r="AE47" s="166">
        <v>0</v>
      </c>
      <c r="AF47" s="166">
        <v>0</v>
      </c>
      <c r="AG47" s="166">
        <v>0</v>
      </c>
      <c r="AH47" s="166">
        <v>0</v>
      </c>
      <c r="AI47" s="166">
        <v>0</v>
      </c>
      <c r="AJ47" s="166">
        <v>0</v>
      </c>
      <c r="AK47" s="166">
        <v>0</v>
      </c>
      <c r="AL47" s="166">
        <v>0</v>
      </c>
      <c r="AM47" s="166">
        <v>0</v>
      </c>
      <c r="AN47" s="166">
        <v>0</v>
      </c>
      <c r="AO47" s="166">
        <v>0</v>
      </c>
      <c r="AP47" s="166">
        <v>0</v>
      </c>
      <c r="AQ47" s="166">
        <v>0</v>
      </c>
      <c r="AR47" s="166">
        <v>0</v>
      </c>
      <c r="AS47" s="166">
        <v>0</v>
      </c>
    </row>
    <row r="48" spans="2:45" outlineLevel="1" x14ac:dyDescent="0.15"/>
    <row r="49" spans="2:45" outlineLevel="1" x14ac:dyDescent="0.15">
      <c r="B49" s="108" t="s">
        <v>514</v>
      </c>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row>
    <row r="50" spans="2:45" outlineLevel="1" x14ac:dyDescent="0.15"/>
    <row r="51" spans="2:45" outlineLevel="1" x14ac:dyDescent="0.15">
      <c r="B51" s="16" t="s">
        <v>64</v>
      </c>
      <c r="I51" s="153" t="s">
        <v>515</v>
      </c>
      <c r="J51" s="16" t="str">
        <f>" "&amp;INDEX(LU_Ts_Denom,DD_Ts_Denom)&amp;" (Excluding VAT)"</f>
        <v xml:space="preserve"> £ (Excluding VAT)</v>
      </c>
    </row>
    <row r="52" spans="2:45" outlineLevel="1" x14ac:dyDescent="0.15">
      <c r="B52" s="339" t="str">
        <f>Rev_Exp!B73</f>
        <v>Membership Fees</v>
      </c>
      <c r="C52" s="339"/>
      <c r="D52" s="339"/>
      <c r="E52" s="339"/>
      <c r="F52" s="339"/>
      <c r="G52" s="339"/>
      <c r="I52" s="184">
        <v>0</v>
      </c>
      <c r="J52" s="14">
        <f>Rev_Exp!J73</f>
        <v>350</v>
      </c>
      <c r="K52" s="14">
        <f>Rev_Exp!K73</f>
        <v>350</v>
      </c>
      <c r="L52" s="14">
        <f>Rev_Exp!L73</f>
        <v>358.33333333333337</v>
      </c>
      <c r="M52" s="14">
        <f>Rev_Exp!M73</f>
        <v>366.66666666666663</v>
      </c>
      <c r="N52" s="14">
        <f>Rev_Exp!N73</f>
        <v>375</v>
      </c>
      <c r="O52" s="14">
        <f>Rev_Exp!O73</f>
        <v>383.33333333333337</v>
      </c>
      <c r="P52" s="14">
        <f>Rev_Exp!P73</f>
        <v>391.66666666666663</v>
      </c>
      <c r="Q52" s="14">
        <f>Rev_Exp!Q73</f>
        <v>400</v>
      </c>
      <c r="R52" s="14">
        <f>Rev_Exp!R73</f>
        <v>408.33333333333337</v>
      </c>
      <c r="S52" s="14">
        <f>Rev_Exp!S73</f>
        <v>416.66666666666663</v>
      </c>
      <c r="T52" s="14">
        <f>Rev_Exp!T73</f>
        <v>425</v>
      </c>
      <c r="U52" s="14">
        <f>Rev_Exp!U73</f>
        <v>433.33333333333337</v>
      </c>
      <c r="V52" s="14">
        <f>Rev_Exp!V73</f>
        <v>441.66666666666663</v>
      </c>
      <c r="W52" s="14">
        <f>Rev_Exp!W73</f>
        <v>450</v>
      </c>
      <c r="X52" s="14">
        <f>Rev_Exp!X73</f>
        <v>458.33333333333337</v>
      </c>
      <c r="Y52" s="14">
        <f>Rev_Exp!Y73</f>
        <v>466.66666666666663</v>
      </c>
      <c r="Z52" s="14">
        <f>Rev_Exp!Z73</f>
        <v>475</v>
      </c>
      <c r="AA52" s="14">
        <f>Rev_Exp!AA73</f>
        <v>483.33333333333337</v>
      </c>
      <c r="AB52" s="14">
        <f>Rev_Exp!AB73</f>
        <v>491.66666666666663</v>
      </c>
      <c r="AC52" s="14">
        <f>Rev_Exp!AC73</f>
        <v>500</v>
      </c>
      <c r="AD52" s="14">
        <f>Rev_Exp!AD73</f>
        <v>508.33333333333331</v>
      </c>
      <c r="AE52" s="14">
        <f>Rev_Exp!AE73</f>
        <v>516.66666666666674</v>
      </c>
      <c r="AF52" s="14">
        <f>Rev_Exp!AF73</f>
        <v>525</v>
      </c>
      <c r="AG52" s="14">
        <f>Rev_Exp!AG73</f>
        <v>533.33333333333326</v>
      </c>
      <c r="AH52" s="14">
        <f>Rev_Exp!AH73</f>
        <v>541.66666666666674</v>
      </c>
      <c r="AI52" s="14">
        <f>Rev_Exp!AI73</f>
        <v>550</v>
      </c>
      <c r="AJ52" s="14">
        <f>Rev_Exp!AJ73</f>
        <v>558.33333333333326</v>
      </c>
      <c r="AK52" s="14">
        <f>Rev_Exp!AK73</f>
        <v>566.66666666666674</v>
      </c>
      <c r="AL52" s="14">
        <f>Rev_Exp!AL73</f>
        <v>575</v>
      </c>
      <c r="AM52" s="14">
        <f>Rev_Exp!AM73</f>
        <v>583.33333333333326</v>
      </c>
      <c r="AN52" s="14">
        <f>Rev_Exp!AN73</f>
        <v>591.66666666666674</v>
      </c>
      <c r="AO52" s="14">
        <f>Rev_Exp!AO73</f>
        <v>600</v>
      </c>
      <c r="AP52" s="14">
        <f>Rev_Exp!AP73</f>
        <v>608.33333333333326</v>
      </c>
      <c r="AQ52" s="14">
        <f>Rev_Exp!AQ73</f>
        <v>616.66666666666674</v>
      </c>
      <c r="AR52" s="14">
        <f>Rev_Exp!AR73</f>
        <v>625</v>
      </c>
      <c r="AS52" s="14">
        <f>Rev_Exp!AS73</f>
        <v>633.33333333333326</v>
      </c>
    </row>
    <row r="53" spans="2:45" outlineLevel="1" x14ac:dyDescent="0.15">
      <c r="B53" s="339" t="str">
        <f>Rev_Exp!B74</f>
        <v>PAYG Fencing</v>
      </c>
      <c r="C53" s="339"/>
      <c r="D53" s="339"/>
      <c r="E53" s="339"/>
      <c r="F53" s="339"/>
      <c r="G53" s="339"/>
      <c r="I53" s="184">
        <v>0</v>
      </c>
      <c r="J53" s="14">
        <f>Rev_Exp!J74</f>
        <v>2481.0619354838709</v>
      </c>
      <c r="K53" s="14">
        <f>Rev_Exp!K74</f>
        <v>4567.1165399999991</v>
      </c>
      <c r="L53" s="14">
        <f>Rev_Exp!L74</f>
        <v>4753.2944516129037</v>
      </c>
      <c r="M53" s="14">
        <f>Rev_Exp!M74</f>
        <v>5821.4309999999996</v>
      </c>
      <c r="N53" s="14">
        <f>Rev_Exp!N74</f>
        <v>1969.8246580645155</v>
      </c>
      <c r="O53" s="14">
        <f>Rev_Exp!O74</f>
        <v>4324.5171290322578</v>
      </c>
      <c r="P53" s="14">
        <f>Rev_Exp!P74</f>
        <v>4722.8832000000002</v>
      </c>
      <c r="Q53" s="14">
        <f>Rev_Exp!Q74</f>
        <v>4681.505206451613</v>
      </c>
      <c r="R53" s="14">
        <f>Rev_Exp!R74</f>
        <v>3527.4685600000003</v>
      </c>
      <c r="S53" s="14">
        <f>Rev_Exp!S74</f>
        <v>4307.8396064516119</v>
      </c>
      <c r="T53" s="14">
        <f>Rev_Exp!T74</f>
        <v>4220.72</v>
      </c>
      <c r="U53" s="14">
        <f>Rev_Exp!U74</f>
        <v>3799.1097290322577</v>
      </c>
      <c r="V53" s="14">
        <f>Rev_Exp!V74</f>
        <v>3322.465548387097</v>
      </c>
      <c r="W53" s="14">
        <f>Rev_Exp!W74</f>
        <v>6335.03262</v>
      </c>
      <c r="X53" s="14">
        <f>Rev_Exp!X74</f>
        <v>6832.8607741935475</v>
      </c>
      <c r="Y53" s="14">
        <f>Rev_Exp!Y74</f>
        <v>7577.4824999999992</v>
      </c>
      <c r="Z53" s="14">
        <f>Rev_Exp!Z74</f>
        <v>2791.9643612903224</v>
      </c>
      <c r="AA53" s="14">
        <f>Rev_Exp!AA74</f>
        <v>5807.2087161290319</v>
      </c>
      <c r="AB53" s="14">
        <f>Rev_Exp!AB74</f>
        <v>5997.3119999999999</v>
      </c>
      <c r="AC53" s="14">
        <f>Rev_Exp!AC74</f>
        <v>6199.831219354839</v>
      </c>
      <c r="AD53" s="14">
        <f>Rev_Exp!AD74</f>
        <v>4641.4059999999999</v>
      </c>
      <c r="AE53" s="14">
        <f>Rev_Exp!AE74</f>
        <v>5388.4013806451612</v>
      </c>
      <c r="AF53" s="14">
        <f>Rev_Exp!AF74</f>
        <v>5761.2828000000009</v>
      </c>
      <c r="AG53" s="14">
        <f>Rev_Exp!AG74</f>
        <v>4911.0442838709669</v>
      </c>
      <c r="AH53" s="14">
        <f>Rev_Exp!AH74</f>
        <v>4077.5713548387102</v>
      </c>
      <c r="AI53" s="14">
        <f>Rev_Exp!AI74</f>
        <v>8488.8034000000007</v>
      </c>
      <c r="AJ53" s="14">
        <f>Rev_Exp!AJ74</f>
        <v>8696.3682580645163</v>
      </c>
      <c r="AK53" s="14">
        <f>Rev_Exp!AK74</f>
        <v>8640</v>
      </c>
      <c r="AL53" s="14">
        <f>Rev_Exp!AL74</f>
        <v>3680.3166580645147</v>
      </c>
      <c r="AM53" s="14">
        <f>Rev_Exp!AM74</f>
        <v>6972.9481161290332</v>
      </c>
      <c r="AN53" s="14">
        <f>Rev_Exp!AN74</f>
        <v>7496.6399999999994</v>
      </c>
      <c r="AO53" s="14">
        <f>Rev_Exp!AO74</f>
        <v>8085.6885290322589</v>
      </c>
      <c r="AP53" s="14">
        <f>Rev_Exp!AP74</f>
        <v>5755.3434400000006</v>
      </c>
      <c r="AQ53" s="14">
        <f>Rev_Exp!AQ74</f>
        <v>6353.7032322580644</v>
      </c>
      <c r="AR53" s="14">
        <f>Rev_Exp!AR74</f>
        <v>7428.467200000001</v>
      </c>
      <c r="AS53" s="14">
        <f>Rev_Exp!AS74</f>
        <v>6022.9788387096769</v>
      </c>
    </row>
    <row r="54" spans="2:45" outlineLevel="1" x14ac:dyDescent="0.15">
      <c r="B54" s="339" t="str">
        <f>Rev_Exp!B75</f>
        <v>Private Hire</v>
      </c>
      <c r="C54" s="339"/>
      <c r="D54" s="339"/>
      <c r="E54" s="339"/>
      <c r="F54" s="339"/>
      <c r="G54" s="339"/>
      <c r="I54" s="184">
        <v>1</v>
      </c>
      <c r="J54" s="14">
        <f>Rev_Exp!J75</f>
        <v>400</v>
      </c>
      <c r="K54" s="14">
        <f>Rev_Exp!K75</f>
        <v>400</v>
      </c>
      <c r="L54" s="14">
        <f>Rev_Exp!L75</f>
        <v>400</v>
      </c>
      <c r="M54" s="14">
        <f>Rev_Exp!M75</f>
        <v>400</v>
      </c>
      <c r="N54" s="14">
        <f>Rev_Exp!N75</f>
        <v>400</v>
      </c>
      <c r="O54" s="14">
        <f>Rev_Exp!O75</f>
        <v>400</v>
      </c>
      <c r="P54" s="14">
        <f>Rev_Exp!P75</f>
        <v>800</v>
      </c>
      <c r="Q54" s="14">
        <f>Rev_Exp!Q75</f>
        <v>800</v>
      </c>
      <c r="R54" s="14">
        <f>Rev_Exp!R75</f>
        <v>800</v>
      </c>
      <c r="S54" s="14">
        <f>Rev_Exp!S75</f>
        <v>800</v>
      </c>
      <c r="T54" s="14">
        <f>Rev_Exp!T75</f>
        <v>800</v>
      </c>
      <c r="U54" s="14">
        <f>Rev_Exp!U75</f>
        <v>800</v>
      </c>
      <c r="V54" s="14">
        <f>Rev_Exp!V75</f>
        <v>800</v>
      </c>
      <c r="W54" s="14">
        <f>Rev_Exp!W75</f>
        <v>800</v>
      </c>
      <c r="X54" s="14">
        <f>Rev_Exp!X75</f>
        <v>800</v>
      </c>
      <c r="Y54" s="14">
        <f>Rev_Exp!Y75</f>
        <v>800</v>
      </c>
      <c r="Z54" s="14">
        <f>Rev_Exp!Z75</f>
        <v>800</v>
      </c>
      <c r="AA54" s="14">
        <f>Rev_Exp!AA75</f>
        <v>800</v>
      </c>
      <c r="AB54" s="14">
        <f>Rev_Exp!AB75</f>
        <v>1200</v>
      </c>
      <c r="AC54" s="14">
        <f>Rev_Exp!AC75</f>
        <v>1200</v>
      </c>
      <c r="AD54" s="14">
        <f>Rev_Exp!AD75</f>
        <v>1200</v>
      </c>
      <c r="AE54" s="14">
        <f>Rev_Exp!AE75</f>
        <v>1200</v>
      </c>
      <c r="AF54" s="14">
        <f>Rev_Exp!AF75</f>
        <v>1200</v>
      </c>
      <c r="AG54" s="14">
        <f>Rev_Exp!AG75</f>
        <v>1200</v>
      </c>
      <c r="AH54" s="14">
        <f>Rev_Exp!AH75</f>
        <v>1200</v>
      </c>
      <c r="AI54" s="14">
        <f>Rev_Exp!AI75</f>
        <v>1200</v>
      </c>
      <c r="AJ54" s="14">
        <f>Rev_Exp!AJ75</f>
        <v>1200</v>
      </c>
      <c r="AK54" s="14">
        <f>Rev_Exp!AK75</f>
        <v>1200</v>
      </c>
      <c r="AL54" s="14">
        <f>Rev_Exp!AL75</f>
        <v>1200</v>
      </c>
      <c r="AM54" s="14">
        <f>Rev_Exp!AM75</f>
        <v>1200</v>
      </c>
      <c r="AN54" s="14">
        <f>Rev_Exp!AN75</f>
        <v>1200</v>
      </c>
      <c r="AO54" s="14">
        <f>Rev_Exp!AO75</f>
        <v>1200</v>
      </c>
      <c r="AP54" s="14">
        <f>Rev_Exp!AP75</f>
        <v>1200</v>
      </c>
      <c r="AQ54" s="14">
        <f>Rev_Exp!AQ75</f>
        <v>1200</v>
      </c>
      <c r="AR54" s="14">
        <f>Rev_Exp!AR75</f>
        <v>1200</v>
      </c>
      <c r="AS54" s="14">
        <f>Rev_Exp!AS75</f>
        <v>1200</v>
      </c>
    </row>
    <row r="55" spans="2:45" outlineLevel="1" x14ac:dyDescent="0.15">
      <c r="B55" s="339" t="str">
        <f>Rev_Exp!B76</f>
        <v>Book a Piste</v>
      </c>
      <c r="C55" s="339"/>
      <c r="D55" s="339"/>
      <c r="E55" s="339"/>
      <c r="F55" s="339"/>
      <c r="G55" s="339"/>
      <c r="I55" s="184">
        <v>1</v>
      </c>
      <c r="J55" s="14">
        <f>Rev_Exp!J76</f>
        <v>40</v>
      </c>
      <c r="K55" s="14">
        <f>Rev_Exp!K76</f>
        <v>40</v>
      </c>
      <c r="L55" s="14">
        <f>Rev_Exp!L76</f>
        <v>40</v>
      </c>
      <c r="M55" s="14">
        <f>Rev_Exp!M76</f>
        <v>40</v>
      </c>
      <c r="N55" s="14">
        <f>Rev_Exp!N76</f>
        <v>40</v>
      </c>
      <c r="O55" s="14">
        <f>Rev_Exp!O76</f>
        <v>40</v>
      </c>
      <c r="P55" s="14">
        <f>Rev_Exp!P76</f>
        <v>40</v>
      </c>
      <c r="Q55" s="14">
        <f>Rev_Exp!Q76</f>
        <v>40</v>
      </c>
      <c r="R55" s="14">
        <f>Rev_Exp!R76</f>
        <v>40</v>
      </c>
      <c r="S55" s="14">
        <f>Rev_Exp!S76</f>
        <v>40</v>
      </c>
      <c r="T55" s="14">
        <f>Rev_Exp!T76</f>
        <v>40</v>
      </c>
      <c r="U55" s="14">
        <f>Rev_Exp!U76</f>
        <v>40</v>
      </c>
      <c r="V55" s="14">
        <f>Rev_Exp!V76</f>
        <v>40</v>
      </c>
      <c r="W55" s="14">
        <f>Rev_Exp!W76</f>
        <v>40</v>
      </c>
      <c r="X55" s="14">
        <f>Rev_Exp!X76</f>
        <v>40</v>
      </c>
      <c r="Y55" s="14">
        <f>Rev_Exp!Y76</f>
        <v>40</v>
      </c>
      <c r="Z55" s="14">
        <f>Rev_Exp!Z76</f>
        <v>40</v>
      </c>
      <c r="AA55" s="14">
        <f>Rev_Exp!AA76</f>
        <v>40</v>
      </c>
      <c r="AB55" s="14">
        <f>Rev_Exp!AB76</f>
        <v>40</v>
      </c>
      <c r="AC55" s="14">
        <f>Rev_Exp!AC76</f>
        <v>40</v>
      </c>
      <c r="AD55" s="14">
        <f>Rev_Exp!AD76</f>
        <v>40</v>
      </c>
      <c r="AE55" s="14">
        <f>Rev_Exp!AE76</f>
        <v>40</v>
      </c>
      <c r="AF55" s="14">
        <f>Rev_Exp!AF76</f>
        <v>40</v>
      </c>
      <c r="AG55" s="14">
        <f>Rev_Exp!AG76</f>
        <v>40</v>
      </c>
      <c r="AH55" s="14">
        <f>Rev_Exp!AH76</f>
        <v>40</v>
      </c>
      <c r="AI55" s="14">
        <f>Rev_Exp!AI76</f>
        <v>40</v>
      </c>
      <c r="AJ55" s="14">
        <f>Rev_Exp!AJ76</f>
        <v>40</v>
      </c>
      <c r="AK55" s="14">
        <f>Rev_Exp!AK76</f>
        <v>40</v>
      </c>
      <c r="AL55" s="14">
        <f>Rev_Exp!AL76</f>
        <v>40</v>
      </c>
      <c r="AM55" s="14">
        <f>Rev_Exp!AM76</f>
        <v>40</v>
      </c>
      <c r="AN55" s="14">
        <f>Rev_Exp!AN76</f>
        <v>40</v>
      </c>
      <c r="AO55" s="14">
        <f>Rev_Exp!AO76</f>
        <v>40</v>
      </c>
      <c r="AP55" s="14">
        <f>Rev_Exp!AP76</f>
        <v>40</v>
      </c>
      <c r="AQ55" s="14">
        <f>Rev_Exp!AQ76</f>
        <v>40</v>
      </c>
      <c r="AR55" s="14">
        <f>Rev_Exp!AR76</f>
        <v>40</v>
      </c>
      <c r="AS55" s="14">
        <f>Rev_Exp!AS76</f>
        <v>40</v>
      </c>
    </row>
    <row r="56" spans="2:45" outlineLevel="1" x14ac:dyDescent="0.15">
      <c r="B56" s="339" t="str">
        <f>Rev_Exp!B77</f>
        <v>Merch Sales</v>
      </c>
      <c r="C56" s="339"/>
      <c r="D56" s="339"/>
      <c r="E56" s="339"/>
      <c r="F56" s="339"/>
      <c r="G56" s="339"/>
      <c r="I56" s="184">
        <v>1</v>
      </c>
      <c r="J56" s="14">
        <f>Rev_Exp!J77</f>
        <v>100</v>
      </c>
      <c r="K56" s="14">
        <f>Rev_Exp!K77</f>
        <v>103.33333333333334</v>
      </c>
      <c r="L56" s="14">
        <f>Rev_Exp!L77</f>
        <v>106.66666666666667</v>
      </c>
      <c r="M56" s="14">
        <f>Rev_Exp!M77</f>
        <v>110</v>
      </c>
      <c r="N56" s="14">
        <f>Rev_Exp!N77</f>
        <v>113.33333333333334</v>
      </c>
      <c r="O56" s="14">
        <f>Rev_Exp!O77</f>
        <v>116.66666666666667</v>
      </c>
      <c r="P56" s="14">
        <f>Rev_Exp!P77</f>
        <v>120</v>
      </c>
      <c r="Q56" s="14">
        <f>Rev_Exp!Q77</f>
        <v>123.33333333333334</v>
      </c>
      <c r="R56" s="14">
        <f>Rev_Exp!R77</f>
        <v>126.66666666666667</v>
      </c>
      <c r="S56" s="14">
        <f>Rev_Exp!S77</f>
        <v>130</v>
      </c>
      <c r="T56" s="14">
        <f>Rev_Exp!T77</f>
        <v>133.33333333333334</v>
      </c>
      <c r="U56" s="14">
        <f>Rev_Exp!U77</f>
        <v>136.66666666666669</v>
      </c>
      <c r="V56" s="14">
        <f>Rev_Exp!V77</f>
        <v>140</v>
      </c>
      <c r="W56" s="14">
        <f>Rev_Exp!W77</f>
        <v>143.33333333333334</v>
      </c>
      <c r="X56" s="14">
        <f>Rev_Exp!X77</f>
        <v>146.66666666666669</v>
      </c>
      <c r="Y56" s="14">
        <f>Rev_Exp!Y77</f>
        <v>150</v>
      </c>
      <c r="Z56" s="14">
        <f>Rev_Exp!Z77</f>
        <v>153.33333333333334</v>
      </c>
      <c r="AA56" s="14">
        <f>Rev_Exp!AA77</f>
        <v>156.66666666666669</v>
      </c>
      <c r="AB56" s="14">
        <f>Rev_Exp!AB77</f>
        <v>160</v>
      </c>
      <c r="AC56" s="14">
        <f>Rev_Exp!AC77</f>
        <v>163.33333333333334</v>
      </c>
      <c r="AD56" s="14">
        <f>Rev_Exp!AD77</f>
        <v>166.66666666666669</v>
      </c>
      <c r="AE56" s="14">
        <f>Rev_Exp!AE77</f>
        <v>170</v>
      </c>
      <c r="AF56" s="14">
        <f>Rev_Exp!AF77</f>
        <v>173.33333333333334</v>
      </c>
      <c r="AG56" s="14">
        <f>Rev_Exp!AG77</f>
        <v>176.66666666666669</v>
      </c>
      <c r="AH56" s="14">
        <f>Rev_Exp!AH77</f>
        <v>180</v>
      </c>
      <c r="AI56" s="14">
        <f>Rev_Exp!AI77</f>
        <v>183.33333333333334</v>
      </c>
      <c r="AJ56" s="14">
        <f>Rev_Exp!AJ77</f>
        <v>186.66666666666669</v>
      </c>
      <c r="AK56" s="14">
        <f>Rev_Exp!AK77</f>
        <v>190</v>
      </c>
      <c r="AL56" s="14">
        <f>Rev_Exp!AL77</f>
        <v>193.33333333333334</v>
      </c>
      <c r="AM56" s="14">
        <f>Rev_Exp!AM77</f>
        <v>196.66666666666669</v>
      </c>
      <c r="AN56" s="14">
        <f>Rev_Exp!AN77</f>
        <v>200</v>
      </c>
      <c r="AO56" s="14">
        <f>Rev_Exp!AO77</f>
        <v>203.33333333333334</v>
      </c>
      <c r="AP56" s="14">
        <f>Rev_Exp!AP77</f>
        <v>206.66666666666669</v>
      </c>
      <c r="AQ56" s="14">
        <f>Rev_Exp!AQ77</f>
        <v>210</v>
      </c>
      <c r="AR56" s="14">
        <f>Rev_Exp!AR77</f>
        <v>213.33333333333334</v>
      </c>
      <c r="AS56" s="14">
        <f>Rev_Exp!AS77</f>
        <v>216.66666666666669</v>
      </c>
    </row>
    <row r="57" spans="2:45" outlineLevel="1" x14ac:dyDescent="0.15">
      <c r="B57" s="341" t="str">
        <f>"Total "&amp;B51</f>
        <v>Total Revenue</v>
      </c>
      <c r="C57" s="341"/>
      <c r="D57" s="341"/>
      <c r="E57" s="341"/>
      <c r="F57" s="341"/>
      <c r="G57" s="341"/>
      <c r="I57" s="25"/>
      <c r="J57" s="37">
        <f t="shared" ref="J57:AS57" si="15">SUM(J52:J56)</f>
        <v>3371.0619354838709</v>
      </c>
      <c r="K57" s="18">
        <f t="shared" si="15"/>
        <v>5460.4498733333321</v>
      </c>
      <c r="L57" s="18">
        <f t="shared" si="15"/>
        <v>5658.2944516129037</v>
      </c>
      <c r="M57" s="18">
        <f t="shared" si="15"/>
        <v>6738.0976666666666</v>
      </c>
      <c r="N57" s="18">
        <f t="shared" si="15"/>
        <v>2898.1579913978489</v>
      </c>
      <c r="O57" s="18">
        <f t="shared" si="15"/>
        <v>5264.5171290322578</v>
      </c>
      <c r="P57" s="18">
        <f t="shared" si="15"/>
        <v>6074.5498666666672</v>
      </c>
      <c r="Q57" s="18">
        <f t="shared" si="15"/>
        <v>6044.8385397849461</v>
      </c>
      <c r="R57" s="18">
        <f t="shared" si="15"/>
        <v>4902.4685600000003</v>
      </c>
      <c r="S57" s="18">
        <f t="shared" si="15"/>
        <v>5694.5062731182788</v>
      </c>
      <c r="T57" s="18">
        <f t="shared" si="15"/>
        <v>5619.0533333333333</v>
      </c>
      <c r="U57" s="18">
        <f t="shared" si="15"/>
        <v>5209.1097290322577</v>
      </c>
      <c r="V57" s="18">
        <f t="shared" si="15"/>
        <v>4744.1322150537635</v>
      </c>
      <c r="W57" s="18">
        <f t="shared" si="15"/>
        <v>7768.365953333333</v>
      </c>
      <c r="X57" s="18">
        <f t="shared" si="15"/>
        <v>8277.8607741935466</v>
      </c>
      <c r="Y57" s="18">
        <f t="shared" si="15"/>
        <v>9034.1491666666661</v>
      </c>
      <c r="Z57" s="18">
        <f t="shared" si="15"/>
        <v>4260.2976946236549</v>
      </c>
      <c r="AA57" s="18">
        <f t="shared" si="15"/>
        <v>7287.2087161290319</v>
      </c>
      <c r="AB57" s="18">
        <f t="shared" si="15"/>
        <v>7888.9786666666669</v>
      </c>
      <c r="AC57" s="18">
        <f t="shared" si="15"/>
        <v>8103.1645526881721</v>
      </c>
      <c r="AD57" s="18">
        <f t="shared" si="15"/>
        <v>6556.4059999999999</v>
      </c>
      <c r="AE57" s="18">
        <f t="shared" si="15"/>
        <v>7315.0680473118282</v>
      </c>
      <c r="AF57" s="18">
        <f t="shared" si="15"/>
        <v>7699.6161333333339</v>
      </c>
      <c r="AG57" s="18">
        <f t="shared" si="15"/>
        <v>6861.0442838709669</v>
      </c>
      <c r="AH57" s="18">
        <f t="shared" si="15"/>
        <v>6039.2380215053772</v>
      </c>
      <c r="AI57" s="18">
        <f t="shared" si="15"/>
        <v>10462.136733333335</v>
      </c>
      <c r="AJ57" s="18">
        <f t="shared" si="15"/>
        <v>10681.368258064516</v>
      </c>
      <c r="AK57" s="18">
        <f t="shared" si="15"/>
        <v>10636.666666666666</v>
      </c>
      <c r="AL57" s="18">
        <f t="shared" si="15"/>
        <v>5688.6499913978478</v>
      </c>
      <c r="AM57" s="18">
        <f t="shared" si="15"/>
        <v>8992.9481161290332</v>
      </c>
      <c r="AN57" s="18">
        <f t="shared" si="15"/>
        <v>9528.3066666666673</v>
      </c>
      <c r="AO57" s="18">
        <f t="shared" si="15"/>
        <v>10129.021862365593</v>
      </c>
      <c r="AP57" s="18">
        <f t="shared" si="15"/>
        <v>7810.3434400000006</v>
      </c>
      <c r="AQ57" s="18">
        <f t="shared" si="15"/>
        <v>8420.3698989247314</v>
      </c>
      <c r="AR57" s="18">
        <f t="shared" si="15"/>
        <v>9506.8005333333349</v>
      </c>
      <c r="AS57" s="18">
        <f t="shared" si="15"/>
        <v>8112.9788387096769</v>
      </c>
    </row>
    <row r="58" spans="2:45" outlineLevel="1" x14ac:dyDescent="0.15"/>
    <row r="59" spans="2:45" outlineLevel="1" x14ac:dyDescent="0.15">
      <c r="B59" s="16" t="s">
        <v>269</v>
      </c>
      <c r="I59" s="153" t="s">
        <v>515</v>
      </c>
      <c r="J59" s="16" t="str">
        <f>" "&amp;INDEX(LU_Ts_Denom,DD_Ts_Denom)&amp;" (Excluding VAT)"</f>
        <v xml:space="preserve"> £ (Excluding VAT)</v>
      </c>
    </row>
    <row r="60" spans="2:45" outlineLevel="1" x14ac:dyDescent="0.15">
      <c r="B60" s="339" t="str">
        <f>Rev_Exp!B180</f>
        <v>Grant Income A</v>
      </c>
      <c r="C60" s="339"/>
      <c r="D60" s="339"/>
      <c r="E60" s="339"/>
      <c r="F60" s="339"/>
      <c r="G60" s="339"/>
      <c r="I60" s="184">
        <v>0</v>
      </c>
      <c r="J60" s="14">
        <f>Rev_Exp!J180</f>
        <v>0</v>
      </c>
      <c r="K60" s="14">
        <f>Rev_Exp!K180</f>
        <v>0</v>
      </c>
      <c r="L60" s="14">
        <f>Rev_Exp!L180</f>
        <v>0</v>
      </c>
      <c r="M60" s="14">
        <f>Rev_Exp!M180</f>
        <v>0</v>
      </c>
      <c r="N60" s="14">
        <f>Rev_Exp!N180</f>
        <v>0</v>
      </c>
      <c r="O60" s="14">
        <f>Rev_Exp!O180</f>
        <v>0</v>
      </c>
      <c r="P60" s="14">
        <f>Rev_Exp!P180</f>
        <v>0</v>
      </c>
      <c r="Q60" s="14">
        <f>Rev_Exp!Q180</f>
        <v>0</v>
      </c>
      <c r="R60" s="14">
        <f>Rev_Exp!R180</f>
        <v>0</v>
      </c>
      <c r="S60" s="14">
        <f>Rev_Exp!S180</f>
        <v>0</v>
      </c>
      <c r="T60" s="14">
        <f>Rev_Exp!T180</f>
        <v>0</v>
      </c>
      <c r="U60" s="14">
        <f>Rev_Exp!U180</f>
        <v>0</v>
      </c>
      <c r="V60" s="14">
        <f>Rev_Exp!V180</f>
        <v>0</v>
      </c>
      <c r="W60" s="14">
        <f>Rev_Exp!W180</f>
        <v>0</v>
      </c>
      <c r="X60" s="14">
        <f>Rev_Exp!X180</f>
        <v>0</v>
      </c>
      <c r="Y60" s="14">
        <f>Rev_Exp!Y180</f>
        <v>0</v>
      </c>
      <c r="Z60" s="14">
        <f>Rev_Exp!Z180</f>
        <v>0</v>
      </c>
      <c r="AA60" s="14">
        <f>Rev_Exp!AA180</f>
        <v>0</v>
      </c>
      <c r="AB60" s="14">
        <f>Rev_Exp!AB180</f>
        <v>0</v>
      </c>
      <c r="AC60" s="14">
        <f>Rev_Exp!AC180</f>
        <v>0</v>
      </c>
      <c r="AD60" s="14">
        <f>Rev_Exp!AD180</f>
        <v>0</v>
      </c>
      <c r="AE60" s="14">
        <f>Rev_Exp!AE180</f>
        <v>0</v>
      </c>
      <c r="AF60" s="14">
        <f>Rev_Exp!AF180</f>
        <v>0</v>
      </c>
      <c r="AG60" s="14">
        <f>Rev_Exp!AG180</f>
        <v>0</v>
      </c>
      <c r="AH60" s="14">
        <f>Rev_Exp!AH180</f>
        <v>0</v>
      </c>
      <c r="AI60" s="14">
        <f>Rev_Exp!AI180</f>
        <v>0</v>
      </c>
      <c r="AJ60" s="14">
        <f>Rev_Exp!AJ180</f>
        <v>0</v>
      </c>
      <c r="AK60" s="14">
        <f>Rev_Exp!AK180</f>
        <v>0</v>
      </c>
      <c r="AL60" s="14">
        <f>Rev_Exp!AL180</f>
        <v>0</v>
      </c>
      <c r="AM60" s="14">
        <f>Rev_Exp!AM180</f>
        <v>0</v>
      </c>
      <c r="AN60" s="14">
        <f>Rev_Exp!AN180</f>
        <v>0</v>
      </c>
      <c r="AO60" s="14">
        <f>Rev_Exp!AO180</f>
        <v>0</v>
      </c>
      <c r="AP60" s="14">
        <f>Rev_Exp!AP180</f>
        <v>0</v>
      </c>
      <c r="AQ60" s="14">
        <f>Rev_Exp!AQ180</f>
        <v>0</v>
      </c>
      <c r="AR60" s="14">
        <f>Rev_Exp!AR180</f>
        <v>0</v>
      </c>
      <c r="AS60" s="14">
        <f>Rev_Exp!AS180</f>
        <v>0</v>
      </c>
    </row>
    <row r="61" spans="2:45" outlineLevel="1" x14ac:dyDescent="0.15">
      <c r="B61" s="339" t="str">
        <f>Rev_Exp!B181</f>
        <v>Grant Income B</v>
      </c>
      <c r="C61" s="339"/>
      <c r="D61" s="339"/>
      <c r="E61" s="339"/>
      <c r="F61" s="339"/>
      <c r="G61" s="339"/>
      <c r="I61" s="184">
        <v>0</v>
      </c>
      <c r="J61" s="14">
        <f>Rev_Exp!J181</f>
        <v>0</v>
      </c>
      <c r="K61" s="14">
        <f>Rev_Exp!K181</f>
        <v>0</v>
      </c>
      <c r="L61" s="14">
        <f>Rev_Exp!L181</f>
        <v>0</v>
      </c>
      <c r="M61" s="14">
        <f>Rev_Exp!M181</f>
        <v>0</v>
      </c>
      <c r="N61" s="14">
        <f>Rev_Exp!N181</f>
        <v>0</v>
      </c>
      <c r="O61" s="14">
        <f>Rev_Exp!O181</f>
        <v>0</v>
      </c>
      <c r="P61" s="14">
        <f>Rev_Exp!P181</f>
        <v>0</v>
      </c>
      <c r="Q61" s="14">
        <f>Rev_Exp!Q181</f>
        <v>0</v>
      </c>
      <c r="R61" s="14">
        <f>Rev_Exp!R181</f>
        <v>0</v>
      </c>
      <c r="S61" s="14">
        <f>Rev_Exp!S181</f>
        <v>0</v>
      </c>
      <c r="T61" s="14">
        <f>Rev_Exp!T181</f>
        <v>0</v>
      </c>
      <c r="U61" s="14">
        <f>Rev_Exp!U181</f>
        <v>0</v>
      </c>
      <c r="V61" s="14">
        <f>Rev_Exp!V181</f>
        <v>0</v>
      </c>
      <c r="W61" s="14">
        <f>Rev_Exp!W181</f>
        <v>0</v>
      </c>
      <c r="X61" s="14">
        <f>Rev_Exp!X181</f>
        <v>0</v>
      </c>
      <c r="Y61" s="14">
        <f>Rev_Exp!Y181</f>
        <v>0</v>
      </c>
      <c r="Z61" s="14">
        <f>Rev_Exp!Z181</f>
        <v>0</v>
      </c>
      <c r="AA61" s="14">
        <f>Rev_Exp!AA181</f>
        <v>0</v>
      </c>
      <c r="AB61" s="14">
        <f>Rev_Exp!AB181</f>
        <v>0</v>
      </c>
      <c r="AC61" s="14">
        <f>Rev_Exp!AC181</f>
        <v>0</v>
      </c>
      <c r="AD61" s="14">
        <f>Rev_Exp!AD181</f>
        <v>0</v>
      </c>
      <c r="AE61" s="14">
        <f>Rev_Exp!AE181</f>
        <v>0</v>
      </c>
      <c r="AF61" s="14">
        <f>Rev_Exp!AF181</f>
        <v>0</v>
      </c>
      <c r="AG61" s="14">
        <f>Rev_Exp!AG181</f>
        <v>0</v>
      </c>
      <c r="AH61" s="14">
        <f>Rev_Exp!AH181</f>
        <v>0</v>
      </c>
      <c r="AI61" s="14">
        <f>Rev_Exp!AI181</f>
        <v>0</v>
      </c>
      <c r="AJ61" s="14">
        <f>Rev_Exp!AJ181</f>
        <v>0</v>
      </c>
      <c r="AK61" s="14">
        <f>Rev_Exp!AK181</f>
        <v>0</v>
      </c>
      <c r="AL61" s="14">
        <f>Rev_Exp!AL181</f>
        <v>0</v>
      </c>
      <c r="AM61" s="14">
        <f>Rev_Exp!AM181</f>
        <v>0</v>
      </c>
      <c r="AN61" s="14">
        <f>Rev_Exp!AN181</f>
        <v>0</v>
      </c>
      <c r="AO61" s="14">
        <f>Rev_Exp!AO181</f>
        <v>0</v>
      </c>
      <c r="AP61" s="14">
        <f>Rev_Exp!AP181</f>
        <v>0</v>
      </c>
      <c r="AQ61" s="14">
        <f>Rev_Exp!AQ181</f>
        <v>0</v>
      </c>
      <c r="AR61" s="14">
        <f>Rev_Exp!AR181</f>
        <v>0</v>
      </c>
      <c r="AS61" s="14">
        <f>Rev_Exp!AS181</f>
        <v>0</v>
      </c>
    </row>
    <row r="62" spans="2:45" outlineLevel="1" x14ac:dyDescent="0.15">
      <c r="B62" s="341" t="str">
        <f>"Total "&amp;B59</f>
        <v>Total Other Revenue</v>
      </c>
      <c r="C62" s="341"/>
      <c r="D62" s="341"/>
      <c r="E62" s="341"/>
      <c r="F62" s="341"/>
      <c r="G62" s="341"/>
      <c r="I62" s="25"/>
      <c r="J62" s="37">
        <f t="shared" ref="J62:AS62" si="16">SUM(J60:J61)</f>
        <v>0</v>
      </c>
      <c r="K62" s="18">
        <f t="shared" si="16"/>
        <v>0</v>
      </c>
      <c r="L62" s="18">
        <f t="shared" si="16"/>
        <v>0</v>
      </c>
      <c r="M62" s="18">
        <f t="shared" si="16"/>
        <v>0</v>
      </c>
      <c r="N62" s="18">
        <f t="shared" si="16"/>
        <v>0</v>
      </c>
      <c r="O62" s="18">
        <f t="shared" si="16"/>
        <v>0</v>
      </c>
      <c r="P62" s="18">
        <f t="shared" si="16"/>
        <v>0</v>
      </c>
      <c r="Q62" s="18">
        <f t="shared" si="16"/>
        <v>0</v>
      </c>
      <c r="R62" s="18">
        <f t="shared" si="16"/>
        <v>0</v>
      </c>
      <c r="S62" s="18">
        <f t="shared" si="16"/>
        <v>0</v>
      </c>
      <c r="T62" s="18">
        <f t="shared" si="16"/>
        <v>0</v>
      </c>
      <c r="U62" s="18">
        <f t="shared" si="16"/>
        <v>0</v>
      </c>
      <c r="V62" s="18">
        <f t="shared" si="16"/>
        <v>0</v>
      </c>
      <c r="W62" s="18">
        <f t="shared" si="16"/>
        <v>0</v>
      </c>
      <c r="X62" s="18">
        <f t="shared" si="16"/>
        <v>0</v>
      </c>
      <c r="Y62" s="18">
        <f t="shared" si="16"/>
        <v>0</v>
      </c>
      <c r="Z62" s="18">
        <f t="shared" si="16"/>
        <v>0</v>
      </c>
      <c r="AA62" s="18">
        <f t="shared" si="16"/>
        <v>0</v>
      </c>
      <c r="AB62" s="18">
        <f t="shared" si="16"/>
        <v>0</v>
      </c>
      <c r="AC62" s="18">
        <f t="shared" si="16"/>
        <v>0</v>
      </c>
      <c r="AD62" s="18">
        <f t="shared" si="16"/>
        <v>0</v>
      </c>
      <c r="AE62" s="18">
        <f t="shared" si="16"/>
        <v>0</v>
      </c>
      <c r="AF62" s="18">
        <f t="shared" si="16"/>
        <v>0</v>
      </c>
      <c r="AG62" s="18">
        <f t="shared" si="16"/>
        <v>0</v>
      </c>
      <c r="AH62" s="18">
        <f t="shared" si="16"/>
        <v>0</v>
      </c>
      <c r="AI62" s="18">
        <f t="shared" si="16"/>
        <v>0</v>
      </c>
      <c r="AJ62" s="18">
        <f t="shared" si="16"/>
        <v>0</v>
      </c>
      <c r="AK62" s="18">
        <f t="shared" si="16"/>
        <v>0</v>
      </c>
      <c r="AL62" s="18">
        <f t="shared" si="16"/>
        <v>0</v>
      </c>
      <c r="AM62" s="18">
        <f t="shared" si="16"/>
        <v>0</v>
      </c>
      <c r="AN62" s="18">
        <f t="shared" si="16"/>
        <v>0</v>
      </c>
      <c r="AO62" s="18">
        <f t="shared" si="16"/>
        <v>0</v>
      </c>
      <c r="AP62" s="18">
        <f t="shared" si="16"/>
        <v>0</v>
      </c>
      <c r="AQ62" s="18">
        <f t="shared" si="16"/>
        <v>0</v>
      </c>
      <c r="AR62" s="18">
        <f t="shared" si="16"/>
        <v>0</v>
      </c>
      <c r="AS62" s="18">
        <f t="shared" si="16"/>
        <v>0</v>
      </c>
    </row>
    <row r="63" spans="2:45" outlineLevel="1" x14ac:dyDescent="0.15"/>
    <row r="64" spans="2:45" outlineLevel="1" x14ac:dyDescent="0.15">
      <c r="B64" s="108" t="s">
        <v>516</v>
      </c>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row>
    <row r="65" spans="2:45" outlineLevel="1" x14ac:dyDescent="0.15"/>
    <row r="66" spans="2:45" outlineLevel="1" x14ac:dyDescent="0.15">
      <c r="B66" s="16" t="s">
        <v>65</v>
      </c>
      <c r="I66" s="153" t="s">
        <v>515</v>
      </c>
      <c r="J66" s="16" t="str">
        <f>" "&amp;INDEX(LU_Ts_Denom,DD_Ts_Denom)&amp;" (Excluding VAT)"</f>
        <v xml:space="preserve"> £ (Excluding VAT)</v>
      </c>
    </row>
    <row r="67" spans="2:45" outlineLevel="1" x14ac:dyDescent="0.15">
      <c r="B67" s="339" t="str">
        <f>Rev_Exp!B105</f>
        <v>Instructor Grants</v>
      </c>
      <c r="C67" s="339"/>
      <c r="D67" s="339"/>
      <c r="E67" s="339"/>
      <c r="F67" s="339"/>
      <c r="G67" s="339"/>
      <c r="I67" s="185">
        <v>0</v>
      </c>
      <c r="J67" s="14">
        <f>Rev_Exp!J105</f>
        <v>769.57999999999981</v>
      </c>
      <c r="K67" s="14">
        <f>Rev_Exp!K105</f>
        <v>702.66</v>
      </c>
      <c r="L67" s="14">
        <f>Rev_Exp!L105</f>
        <v>736.12</v>
      </c>
      <c r="M67" s="14">
        <f>Rev_Exp!M105</f>
        <v>736.12</v>
      </c>
      <c r="N67" s="14">
        <f>Rev_Exp!N105</f>
        <v>702.66</v>
      </c>
      <c r="O67" s="14">
        <f>Rev_Exp!O105</f>
        <v>769.57999999999981</v>
      </c>
      <c r="P67" s="14">
        <f>Rev_Exp!P105</f>
        <v>702.66</v>
      </c>
      <c r="Q67" s="14">
        <f>Rev_Exp!Q105</f>
        <v>702.66</v>
      </c>
      <c r="R67" s="14">
        <f>Rev_Exp!R105</f>
        <v>736.12</v>
      </c>
      <c r="S67" s="14">
        <f>Rev_Exp!S105</f>
        <v>769.57999999999981</v>
      </c>
      <c r="T67" s="14">
        <f>Rev_Exp!T105</f>
        <v>669.19999999999993</v>
      </c>
      <c r="U67" s="14">
        <f>Rev_Exp!U105</f>
        <v>769.57999999999981</v>
      </c>
      <c r="V67" s="14">
        <f>Rev_Exp!V105</f>
        <v>841.28</v>
      </c>
      <c r="W67" s="14">
        <f>Rev_Exp!W105</f>
        <v>803.04</v>
      </c>
      <c r="X67" s="14">
        <f>Rev_Exp!X105</f>
        <v>879.51999999999987</v>
      </c>
      <c r="Y67" s="14">
        <f>Rev_Exp!Y105</f>
        <v>803.04</v>
      </c>
      <c r="Z67" s="14">
        <f>Rev_Exp!Z105</f>
        <v>841.28</v>
      </c>
      <c r="AA67" s="14">
        <f>Rev_Exp!AA105</f>
        <v>879.51999999999987</v>
      </c>
      <c r="AB67" s="14">
        <f>Rev_Exp!AB105</f>
        <v>764.8</v>
      </c>
      <c r="AC67" s="14">
        <f>Rev_Exp!AC105</f>
        <v>903.42000000000007</v>
      </c>
      <c r="AD67" s="14">
        <f>Rev_Exp!AD105</f>
        <v>946.43999999999994</v>
      </c>
      <c r="AE67" s="14">
        <f>Rev_Exp!AE105</f>
        <v>946.43999999999994</v>
      </c>
      <c r="AF67" s="14">
        <f>Rev_Exp!AF105</f>
        <v>903.42000000000007</v>
      </c>
      <c r="AG67" s="14">
        <f>Rev_Exp!AG105</f>
        <v>989.45999999999992</v>
      </c>
      <c r="AH67" s="14">
        <f>Rev_Exp!AH105</f>
        <v>903.42000000000007</v>
      </c>
      <c r="AI67" s="14">
        <f>Rev_Exp!AI105</f>
        <v>946.43999999999994</v>
      </c>
      <c r="AJ67" s="14">
        <f>Rev_Exp!AJ105</f>
        <v>989.45999999999992</v>
      </c>
      <c r="AK67" s="14">
        <f>Rev_Exp!AK105</f>
        <v>860.4</v>
      </c>
      <c r="AL67" s="14">
        <f>Rev_Exp!AL105</f>
        <v>989.45999999999992</v>
      </c>
      <c r="AM67" s="14">
        <f>Rev_Exp!AM105</f>
        <v>1051.5999999999999</v>
      </c>
      <c r="AN67" s="14">
        <f>Rev_Exp!AN105</f>
        <v>956</v>
      </c>
      <c r="AO67" s="14">
        <f>Rev_Exp!AO105</f>
        <v>1051.5999999999999</v>
      </c>
      <c r="AP67" s="14">
        <f>Rev_Exp!AP105</f>
        <v>1051.5999999999999</v>
      </c>
      <c r="AQ67" s="14">
        <f>Rev_Exp!AQ105</f>
        <v>1003.8</v>
      </c>
      <c r="AR67" s="14">
        <f>Rev_Exp!AR105</f>
        <v>1051.5999999999999</v>
      </c>
      <c r="AS67" s="14">
        <f>Rev_Exp!AS105</f>
        <v>1099.3999999999999</v>
      </c>
    </row>
    <row r="68" spans="2:45" outlineLevel="1" x14ac:dyDescent="0.15">
      <c r="B68" s="339" t="str">
        <f>Rev_Exp!B106</f>
        <v>Merch CoGS</v>
      </c>
      <c r="C68" s="339"/>
      <c r="D68" s="339"/>
      <c r="E68" s="339"/>
      <c r="F68" s="339"/>
      <c r="G68" s="339"/>
      <c r="I68" s="185">
        <v>0</v>
      </c>
      <c r="J68" s="14">
        <f>Rev_Exp!J106</f>
        <v>50</v>
      </c>
      <c r="K68" s="14">
        <f>Rev_Exp!K106</f>
        <v>51.666666666666671</v>
      </c>
      <c r="L68" s="14">
        <f>Rev_Exp!L106</f>
        <v>53.333333333333336</v>
      </c>
      <c r="M68" s="14">
        <f>Rev_Exp!M106</f>
        <v>55</v>
      </c>
      <c r="N68" s="14">
        <f>Rev_Exp!N106</f>
        <v>56.666666666666671</v>
      </c>
      <c r="O68" s="14">
        <f>Rev_Exp!O106</f>
        <v>58.333333333333336</v>
      </c>
      <c r="P68" s="14">
        <f>Rev_Exp!P106</f>
        <v>60</v>
      </c>
      <c r="Q68" s="14">
        <f>Rev_Exp!Q106</f>
        <v>61.666666666666671</v>
      </c>
      <c r="R68" s="14">
        <f>Rev_Exp!R106</f>
        <v>63.333333333333336</v>
      </c>
      <c r="S68" s="14">
        <f>Rev_Exp!S106</f>
        <v>65</v>
      </c>
      <c r="T68" s="14">
        <f>Rev_Exp!T106</f>
        <v>66.666666666666671</v>
      </c>
      <c r="U68" s="14">
        <f>Rev_Exp!U106</f>
        <v>68.333333333333343</v>
      </c>
      <c r="V68" s="14">
        <f>Rev_Exp!V106</f>
        <v>70</v>
      </c>
      <c r="W68" s="14">
        <f>Rev_Exp!W106</f>
        <v>71.666666666666671</v>
      </c>
      <c r="X68" s="14">
        <f>Rev_Exp!X106</f>
        <v>73.333333333333343</v>
      </c>
      <c r="Y68" s="14">
        <f>Rev_Exp!Y106</f>
        <v>75</v>
      </c>
      <c r="Z68" s="14">
        <f>Rev_Exp!Z106</f>
        <v>76.666666666666671</v>
      </c>
      <c r="AA68" s="14">
        <f>Rev_Exp!AA106</f>
        <v>78.333333333333343</v>
      </c>
      <c r="AB68" s="14">
        <f>Rev_Exp!AB106</f>
        <v>80</v>
      </c>
      <c r="AC68" s="14">
        <f>Rev_Exp!AC106</f>
        <v>81.666666666666671</v>
      </c>
      <c r="AD68" s="14">
        <f>Rev_Exp!AD106</f>
        <v>83.333333333333343</v>
      </c>
      <c r="AE68" s="14">
        <f>Rev_Exp!AE106</f>
        <v>85</v>
      </c>
      <c r="AF68" s="14">
        <f>Rev_Exp!AF106</f>
        <v>86.666666666666671</v>
      </c>
      <c r="AG68" s="14">
        <f>Rev_Exp!AG106</f>
        <v>88.333333333333343</v>
      </c>
      <c r="AH68" s="14">
        <f>Rev_Exp!AH106</f>
        <v>90</v>
      </c>
      <c r="AI68" s="14">
        <f>Rev_Exp!AI106</f>
        <v>91.666666666666671</v>
      </c>
      <c r="AJ68" s="14">
        <f>Rev_Exp!AJ106</f>
        <v>93.333333333333343</v>
      </c>
      <c r="AK68" s="14">
        <f>Rev_Exp!AK106</f>
        <v>95</v>
      </c>
      <c r="AL68" s="14">
        <f>Rev_Exp!AL106</f>
        <v>96.666666666666671</v>
      </c>
      <c r="AM68" s="14">
        <f>Rev_Exp!AM106</f>
        <v>98.333333333333343</v>
      </c>
      <c r="AN68" s="14">
        <f>Rev_Exp!AN106</f>
        <v>100</v>
      </c>
      <c r="AO68" s="14">
        <f>Rev_Exp!AO106</f>
        <v>101.66666666666667</v>
      </c>
      <c r="AP68" s="14">
        <f>Rev_Exp!AP106</f>
        <v>103.33333333333334</v>
      </c>
      <c r="AQ68" s="14">
        <f>Rev_Exp!AQ106</f>
        <v>105</v>
      </c>
      <c r="AR68" s="14">
        <f>Rev_Exp!AR106</f>
        <v>106.66666666666667</v>
      </c>
      <c r="AS68" s="14">
        <f>Rev_Exp!AS106</f>
        <v>108.33333333333334</v>
      </c>
    </row>
    <row r="69" spans="2:45" outlineLevel="1" x14ac:dyDescent="0.15">
      <c r="B69" s="339" t="str">
        <f>Rev_Exp!B107</f>
        <v>Discounts (Gift Cards)</v>
      </c>
      <c r="C69" s="339"/>
      <c r="D69" s="339"/>
      <c r="E69" s="339"/>
      <c r="F69" s="339"/>
      <c r="G69" s="339"/>
      <c r="I69" s="185">
        <v>0</v>
      </c>
      <c r="J69" s="14">
        <f>Rev_Exp!J107</f>
        <v>34.734867096774195</v>
      </c>
      <c r="K69" s="14">
        <f>Rev_Exp!K107</f>
        <v>63.939631559999988</v>
      </c>
      <c r="L69" s="14">
        <f>Rev_Exp!L107</f>
        <v>66.546122322580658</v>
      </c>
      <c r="M69" s="14">
        <f>Rev_Exp!M107</f>
        <v>81.500033999999999</v>
      </c>
      <c r="N69" s="14">
        <f>Rev_Exp!N107</f>
        <v>27.577545212903217</v>
      </c>
      <c r="O69" s="14">
        <f>Rev_Exp!O107</f>
        <v>60.543239806451609</v>
      </c>
      <c r="P69" s="14">
        <f>Rev_Exp!P107</f>
        <v>66.120364800000004</v>
      </c>
      <c r="Q69" s="14">
        <f>Rev_Exp!Q107</f>
        <v>65.541072890322582</v>
      </c>
      <c r="R69" s="14">
        <f>Rev_Exp!R107</f>
        <v>49.384559840000001</v>
      </c>
      <c r="S69" s="14">
        <f>Rev_Exp!S107</f>
        <v>60.309754490322568</v>
      </c>
      <c r="T69" s="14">
        <f>Rev_Exp!T107</f>
        <v>59.090080000000007</v>
      </c>
      <c r="U69" s="14">
        <f>Rev_Exp!U107</f>
        <v>53.187536206451611</v>
      </c>
      <c r="V69" s="14">
        <f>Rev_Exp!V107</f>
        <v>46.514517677419356</v>
      </c>
      <c r="W69" s="14">
        <f>Rev_Exp!W107</f>
        <v>88.690456679999997</v>
      </c>
      <c r="X69" s="14">
        <f>Rev_Exp!X107</f>
        <v>95.660050838709665</v>
      </c>
      <c r="Y69" s="14">
        <f>Rev_Exp!Y107</f>
        <v>106.08475499999999</v>
      </c>
      <c r="Z69" s="14">
        <f>Rev_Exp!Z107</f>
        <v>39.087501058064511</v>
      </c>
      <c r="AA69" s="14">
        <f>Rev_Exp!AA107</f>
        <v>81.300922025806443</v>
      </c>
      <c r="AB69" s="14">
        <f>Rev_Exp!AB107</f>
        <v>83.962367999999998</v>
      </c>
      <c r="AC69" s="14">
        <f>Rev_Exp!AC107</f>
        <v>86.797637070967752</v>
      </c>
      <c r="AD69" s="14">
        <f>Rev_Exp!AD107</f>
        <v>64.979684000000006</v>
      </c>
      <c r="AE69" s="14">
        <f>Rev_Exp!AE107</f>
        <v>75.437619329032259</v>
      </c>
      <c r="AF69" s="14">
        <f>Rev_Exp!AF107</f>
        <v>80.657959200000008</v>
      </c>
      <c r="AG69" s="14">
        <f>Rev_Exp!AG107</f>
        <v>68.754619974193531</v>
      </c>
      <c r="AH69" s="14">
        <f>Rev_Exp!AH107</f>
        <v>57.085998967741943</v>
      </c>
      <c r="AI69" s="14">
        <f>Rev_Exp!AI107</f>
        <v>118.84324760000001</v>
      </c>
      <c r="AJ69" s="14">
        <f>Rev_Exp!AJ107</f>
        <v>121.74915561290324</v>
      </c>
      <c r="AK69" s="14">
        <f>Rev_Exp!AK107</f>
        <v>120.96000000000001</v>
      </c>
      <c r="AL69" s="14">
        <f>Rev_Exp!AL107</f>
        <v>51.524433212903205</v>
      </c>
      <c r="AM69" s="14">
        <f>Rev_Exp!AM107</f>
        <v>97.621273625806467</v>
      </c>
      <c r="AN69" s="14">
        <f>Rev_Exp!AN107</f>
        <v>104.95295999999999</v>
      </c>
      <c r="AO69" s="14">
        <f>Rev_Exp!AO107</f>
        <v>113.19963940645162</v>
      </c>
      <c r="AP69" s="14">
        <f>Rev_Exp!AP107</f>
        <v>80.574808160000003</v>
      </c>
      <c r="AQ69" s="14">
        <f>Rev_Exp!AQ107</f>
        <v>88.951845251612909</v>
      </c>
      <c r="AR69" s="14">
        <f>Rev_Exp!AR107</f>
        <v>103.99854080000001</v>
      </c>
      <c r="AS69" s="14">
        <f>Rev_Exp!AS107</f>
        <v>84.32170374193548</v>
      </c>
    </row>
    <row r="70" spans="2:45" outlineLevel="1" x14ac:dyDescent="0.15">
      <c r="B70" s="341" t="str">
        <f>"Total "&amp;B66</f>
        <v>Total Cost of Goods Sold</v>
      </c>
      <c r="C70" s="341"/>
      <c r="D70" s="341"/>
      <c r="E70" s="341"/>
      <c r="F70" s="341"/>
      <c r="G70" s="341"/>
      <c r="I70" s="25"/>
      <c r="J70" s="37">
        <f t="shared" ref="J70:AS70" si="17">SUM(J67:J69)</f>
        <v>854.31486709677404</v>
      </c>
      <c r="K70" s="18">
        <f t="shared" si="17"/>
        <v>818.26629822666655</v>
      </c>
      <c r="L70" s="18">
        <f t="shared" si="17"/>
        <v>855.99945565591406</v>
      </c>
      <c r="M70" s="18">
        <f t="shared" si="17"/>
        <v>872.62003400000003</v>
      </c>
      <c r="N70" s="18">
        <f t="shared" si="17"/>
        <v>786.90421187956986</v>
      </c>
      <c r="O70" s="18">
        <f t="shared" si="17"/>
        <v>888.45657313978484</v>
      </c>
      <c r="P70" s="18">
        <f t="shared" si="17"/>
        <v>828.78036479999992</v>
      </c>
      <c r="Q70" s="18">
        <f t="shared" si="17"/>
        <v>829.86773955698914</v>
      </c>
      <c r="R70" s="18">
        <f t="shared" si="17"/>
        <v>848.83789317333333</v>
      </c>
      <c r="S70" s="18">
        <f t="shared" si="17"/>
        <v>894.88975449032239</v>
      </c>
      <c r="T70" s="18">
        <f t="shared" si="17"/>
        <v>794.95674666666662</v>
      </c>
      <c r="U70" s="18">
        <f t="shared" si="17"/>
        <v>891.10086953978475</v>
      </c>
      <c r="V70" s="18">
        <f t="shared" si="17"/>
        <v>957.79451767741932</v>
      </c>
      <c r="W70" s="18">
        <f t="shared" si="17"/>
        <v>963.3971233466666</v>
      </c>
      <c r="X70" s="18">
        <f t="shared" si="17"/>
        <v>1048.5133841720428</v>
      </c>
      <c r="Y70" s="18">
        <f t="shared" si="17"/>
        <v>984.12475499999994</v>
      </c>
      <c r="Z70" s="18">
        <f t="shared" si="17"/>
        <v>957.03416772473111</v>
      </c>
      <c r="AA70" s="18">
        <f t="shared" si="17"/>
        <v>1039.1542553591396</v>
      </c>
      <c r="AB70" s="18">
        <f t="shared" si="17"/>
        <v>928.76236799999992</v>
      </c>
      <c r="AC70" s="18">
        <f t="shared" si="17"/>
        <v>1071.8843037376344</v>
      </c>
      <c r="AD70" s="18">
        <f t="shared" si="17"/>
        <v>1094.7530173333332</v>
      </c>
      <c r="AE70" s="18">
        <f t="shared" si="17"/>
        <v>1106.8776193290323</v>
      </c>
      <c r="AF70" s="18">
        <f t="shared" si="17"/>
        <v>1070.7446258666666</v>
      </c>
      <c r="AG70" s="18">
        <f t="shared" si="17"/>
        <v>1146.5479533075268</v>
      </c>
      <c r="AH70" s="18">
        <f t="shared" si="17"/>
        <v>1050.505998967742</v>
      </c>
      <c r="AI70" s="18">
        <f t="shared" si="17"/>
        <v>1156.9499142666666</v>
      </c>
      <c r="AJ70" s="18">
        <f t="shared" si="17"/>
        <v>1204.5424889462365</v>
      </c>
      <c r="AK70" s="18">
        <f t="shared" si="17"/>
        <v>1076.3599999999999</v>
      </c>
      <c r="AL70" s="18">
        <f t="shared" si="17"/>
        <v>1137.6510998795698</v>
      </c>
      <c r="AM70" s="18">
        <f t="shared" si="17"/>
        <v>1247.5546069591396</v>
      </c>
      <c r="AN70" s="18">
        <f t="shared" si="17"/>
        <v>1160.9529600000001</v>
      </c>
      <c r="AO70" s="18">
        <f t="shared" si="17"/>
        <v>1266.4663060731182</v>
      </c>
      <c r="AP70" s="18">
        <f t="shared" si="17"/>
        <v>1235.5081414933331</v>
      </c>
      <c r="AQ70" s="18">
        <f t="shared" si="17"/>
        <v>1197.7518452516128</v>
      </c>
      <c r="AR70" s="18">
        <f t="shared" si="17"/>
        <v>1262.2652074666667</v>
      </c>
      <c r="AS70" s="18">
        <f t="shared" si="17"/>
        <v>1292.0550370752685</v>
      </c>
    </row>
    <row r="71" spans="2:45" outlineLevel="1" x14ac:dyDescent="0.15"/>
    <row r="72" spans="2:45" outlineLevel="1" x14ac:dyDescent="0.15">
      <c r="B72" s="16" t="s">
        <v>394</v>
      </c>
      <c r="I72" s="153" t="s">
        <v>515</v>
      </c>
      <c r="J72" s="16" t="str">
        <f>" "&amp;INDEX(LU_Ts_Denom,DD_Ts_Denom)&amp;" (Excluding VAT)"</f>
        <v xml:space="preserve"> £ (Excluding VAT)</v>
      </c>
    </row>
    <row r="73" spans="2:45" outlineLevel="1" x14ac:dyDescent="0.15">
      <c r="B73" s="339" t="str">
        <f>WC!B121</f>
        <v>Inventory</v>
      </c>
      <c r="C73" s="339"/>
      <c r="D73" s="339"/>
      <c r="E73" s="339"/>
      <c r="F73" s="339"/>
      <c r="G73" s="339"/>
      <c r="I73" s="184">
        <v>1</v>
      </c>
      <c r="J73" s="14">
        <f ca="1">WC!J121</f>
        <v>-279</v>
      </c>
      <c r="K73" s="14">
        <f ca="1">WC!K121</f>
        <v>0</v>
      </c>
      <c r="L73" s="14">
        <f ca="1">WC!L121</f>
        <v>0</v>
      </c>
      <c r="M73" s="14">
        <f ca="1">WC!M121</f>
        <v>0</v>
      </c>
      <c r="N73" s="14">
        <f ca="1">WC!N121</f>
        <v>0</v>
      </c>
      <c r="O73" s="14">
        <f ca="1">WC!O121</f>
        <v>0</v>
      </c>
      <c r="P73" s="14">
        <f ca="1">WC!P121</f>
        <v>0</v>
      </c>
      <c r="Q73" s="14">
        <f ca="1">WC!Q121</f>
        <v>0</v>
      </c>
      <c r="R73" s="14">
        <f ca="1">WC!R121</f>
        <v>0</v>
      </c>
      <c r="S73" s="14">
        <f ca="1">WC!S121</f>
        <v>0</v>
      </c>
      <c r="T73" s="14">
        <f ca="1">WC!T121</f>
        <v>0</v>
      </c>
      <c r="U73" s="14">
        <f ca="1">WC!U121</f>
        <v>0</v>
      </c>
      <c r="V73" s="14">
        <f ca="1">WC!V121</f>
        <v>0</v>
      </c>
      <c r="W73" s="14">
        <f ca="1">WC!W121</f>
        <v>0</v>
      </c>
      <c r="X73" s="14">
        <f ca="1">WC!X121</f>
        <v>0</v>
      </c>
      <c r="Y73" s="14">
        <f ca="1">WC!Y121</f>
        <v>0</v>
      </c>
      <c r="Z73" s="14">
        <f ca="1">WC!Z121</f>
        <v>0</v>
      </c>
      <c r="AA73" s="14">
        <f ca="1">WC!AA121</f>
        <v>0</v>
      </c>
      <c r="AB73" s="14">
        <f ca="1">WC!AB121</f>
        <v>0</v>
      </c>
      <c r="AC73" s="14">
        <f ca="1">WC!AC121</f>
        <v>0</v>
      </c>
      <c r="AD73" s="14">
        <f ca="1">WC!AD121</f>
        <v>0</v>
      </c>
      <c r="AE73" s="14">
        <f ca="1">WC!AE121</f>
        <v>0</v>
      </c>
      <c r="AF73" s="14">
        <f ca="1">WC!AF121</f>
        <v>0</v>
      </c>
      <c r="AG73" s="14">
        <f ca="1">WC!AG121</f>
        <v>0</v>
      </c>
      <c r="AH73" s="14">
        <f ca="1">WC!AH121</f>
        <v>0</v>
      </c>
      <c r="AI73" s="14">
        <f ca="1">WC!AI121</f>
        <v>0</v>
      </c>
      <c r="AJ73" s="14">
        <f ca="1">WC!AJ121</f>
        <v>0</v>
      </c>
      <c r="AK73" s="14">
        <f ca="1">WC!AK121</f>
        <v>0</v>
      </c>
      <c r="AL73" s="14">
        <f ca="1">WC!AL121</f>
        <v>0</v>
      </c>
      <c r="AM73" s="14">
        <f ca="1">WC!AM121</f>
        <v>0</v>
      </c>
      <c r="AN73" s="14">
        <f ca="1">WC!AN121</f>
        <v>0</v>
      </c>
      <c r="AO73" s="14">
        <f ca="1">WC!AO121</f>
        <v>0</v>
      </c>
      <c r="AP73" s="14">
        <f ca="1">WC!AP121</f>
        <v>0</v>
      </c>
      <c r="AQ73" s="14">
        <f ca="1">WC!AQ121</f>
        <v>0</v>
      </c>
      <c r="AR73" s="14">
        <f ca="1">WC!AR121</f>
        <v>0</v>
      </c>
      <c r="AS73" s="14">
        <f ca="1">WC!AS121</f>
        <v>0</v>
      </c>
    </row>
    <row r="74" spans="2:45" outlineLevel="1" x14ac:dyDescent="0.15">
      <c r="B74" s="341" t="str">
        <f>"Total "&amp;B72</f>
        <v>Total Inventory Purchases</v>
      </c>
      <c r="C74" s="341"/>
      <c r="D74" s="341"/>
      <c r="E74" s="341"/>
      <c r="F74" s="341"/>
      <c r="G74" s="341"/>
      <c r="I74" s="14"/>
      <c r="J74" s="37">
        <f t="shared" ref="J74:AS74" ca="1" si="18">SUM(J73:J73)</f>
        <v>-279</v>
      </c>
      <c r="K74" s="18">
        <f t="shared" ca="1" si="18"/>
        <v>0</v>
      </c>
      <c r="L74" s="18">
        <f t="shared" ca="1" si="18"/>
        <v>0</v>
      </c>
      <c r="M74" s="18">
        <f t="shared" ca="1" si="18"/>
        <v>0</v>
      </c>
      <c r="N74" s="18">
        <f t="shared" ca="1" si="18"/>
        <v>0</v>
      </c>
      <c r="O74" s="18">
        <f t="shared" ca="1" si="18"/>
        <v>0</v>
      </c>
      <c r="P74" s="18">
        <f t="shared" ca="1" si="18"/>
        <v>0</v>
      </c>
      <c r="Q74" s="18">
        <f t="shared" ca="1" si="18"/>
        <v>0</v>
      </c>
      <c r="R74" s="18">
        <f t="shared" ca="1" si="18"/>
        <v>0</v>
      </c>
      <c r="S74" s="18">
        <f t="shared" ca="1" si="18"/>
        <v>0</v>
      </c>
      <c r="T74" s="18">
        <f t="shared" ca="1" si="18"/>
        <v>0</v>
      </c>
      <c r="U74" s="18">
        <f t="shared" ca="1" si="18"/>
        <v>0</v>
      </c>
      <c r="V74" s="18">
        <f t="shared" ca="1" si="18"/>
        <v>0</v>
      </c>
      <c r="W74" s="18">
        <f t="shared" ca="1" si="18"/>
        <v>0</v>
      </c>
      <c r="X74" s="18">
        <f t="shared" ca="1" si="18"/>
        <v>0</v>
      </c>
      <c r="Y74" s="18">
        <f t="shared" ca="1" si="18"/>
        <v>0</v>
      </c>
      <c r="Z74" s="18">
        <f t="shared" ca="1" si="18"/>
        <v>0</v>
      </c>
      <c r="AA74" s="18">
        <f t="shared" ca="1" si="18"/>
        <v>0</v>
      </c>
      <c r="AB74" s="18">
        <f t="shared" ca="1" si="18"/>
        <v>0</v>
      </c>
      <c r="AC74" s="18">
        <f t="shared" ca="1" si="18"/>
        <v>0</v>
      </c>
      <c r="AD74" s="18">
        <f t="shared" ca="1" si="18"/>
        <v>0</v>
      </c>
      <c r="AE74" s="18">
        <f t="shared" ca="1" si="18"/>
        <v>0</v>
      </c>
      <c r="AF74" s="18">
        <f t="shared" ca="1" si="18"/>
        <v>0</v>
      </c>
      <c r="AG74" s="18">
        <f t="shared" ca="1" si="18"/>
        <v>0</v>
      </c>
      <c r="AH74" s="18">
        <f t="shared" ca="1" si="18"/>
        <v>0</v>
      </c>
      <c r="AI74" s="18">
        <f t="shared" ca="1" si="18"/>
        <v>0</v>
      </c>
      <c r="AJ74" s="18">
        <f t="shared" ca="1" si="18"/>
        <v>0</v>
      </c>
      <c r="AK74" s="18">
        <f t="shared" ca="1" si="18"/>
        <v>0</v>
      </c>
      <c r="AL74" s="18">
        <f t="shared" ca="1" si="18"/>
        <v>0</v>
      </c>
      <c r="AM74" s="18">
        <f t="shared" ca="1" si="18"/>
        <v>0</v>
      </c>
      <c r="AN74" s="18">
        <f t="shared" ca="1" si="18"/>
        <v>0</v>
      </c>
      <c r="AO74" s="18">
        <f t="shared" ca="1" si="18"/>
        <v>0</v>
      </c>
      <c r="AP74" s="18">
        <f t="shared" ca="1" si="18"/>
        <v>0</v>
      </c>
      <c r="AQ74" s="18">
        <f t="shared" ca="1" si="18"/>
        <v>0</v>
      </c>
      <c r="AR74" s="18">
        <f t="shared" ca="1" si="18"/>
        <v>0</v>
      </c>
      <c r="AS74" s="18">
        <f t="shared" ca="1" si="18"/>
        <v>0</v>
      </c>
    </row>
    <row r="75" spans="2:45" outlineLevel="1" x14ac:dyDescent="0.15"/>
    <row r="76" spans="2:45" outlineLevel="1" x14ac:dyDescent="0.15">
      <c r="B76" s="16" t="s">
        <v>68</v>
      </c>
      <c r="I76" s="153" t="s">
        <v>515</v>
      </c>
      <c r="J76" s="16" t="str">
        <f>" "&amp;INDEX(LU_Ts_Denom,DD_Ts_Denom)&amp;" (Excluding VAT)"</f>
        <v xml:space="preserve"> £ (Excluding VAT)</v>
      </c>
    </row>
    <row r="77" spans="2:45" outlineLevel="1" x14ac:dyDescent="0.15">
      <c r="B77" s="339" t="str">
        <f>Rev_Exp!B151</f>
        <v>Rent</v>
      </c>
      <c r="C77" s="339"/>
      <c r="D77" s="339"/>
      <c r="E77" s="339"/>
      <c r="F77" s="339"/>
      <c r="G77" s="339"/>
      <c r="I77" s="184">
        <v>1</v>
      </c>
      <c r="J77" s="14">
        <f>Rev_Exp!J151</f>
        <v>5833.3333333333339</v>
      </c>
      <c r="K77" s="14">
        <f>Rev_Exp!K151</f>
        <v>5833.3333333333339</v>
      </c>
      <c r="L77" s="14">
        <f>Rev_Exp!L151</f>
        <v>5833.3333333333339</v>
      </c>
      <c r="M77" s="14">
        <f>Rev_Exp!M151</f>
        <v>5833.3333333333339</v>
      </c>
      <c r="N77" s="14">
        <f>Rev_Exp!N151</f>
        <v>5833.3333333333339</v>
      </c>
      <c r="O77" s="14">
        <f>Rev_Exp!O151</f>
        <v>5833.3333333333339</v>
      </c>
      <c r="P77" s="14">
        <f>Rev_Exp!P151</f>
        <v>5833.3333333333339</v>
      </c>
      <c r="Q77" s="14">
        <f>Rev_Exp!Q151</f>
        <v>5833.3333333333339</v>
      </c>
      <c r="R77" s="14">
        <f>Rev_Exp!R151</f>
        <v>5833.3333333333339</v>
      </c>
      <c r="S77" s="14">
        <f>Rev_Exp!S151</f>
        <v>5833.3333333333339</v>
      </c>
      <c r="T77" s="14">
        <f>Rev_Exp!T151</f>
        <v>5833.3333333333339</v>
      </c>
      <c r="U77" s="14">
        <f>Rev_Exp!U151</f>
        <v>5833.3333333333339</v>
      </c>
      <c r="V77" s="14">
        <f>Rev_Exp!V151</f>
        <v>5833.3333333333339</v>
      </c>
      <c r="W77" s="14">
        <f>Rev_Exp!W151</f>
        <v>5833.3333333333339</v>
      </c>
      <c r="X77" s="14">
        <f>Rev_Exp!X151</f>
        <v>5833.3333333333339</v>
      </c>
      <c r="Y77" s="14">
        <f>Rev_Exp!Y151</f>
        <v>5833.3333333333339</v>
      </c>
      <c r="Z77" s="14">
        <f>Rev_Exp!Z151</f>
        <v>5833.3333333333339</v>
      </c>
      <c r="AA77" s="14">
        <f>Rev_Exp!AA151</f>
        <v>5833.3333333333339</v>
      </c>
      <c r="AB77" s="14">
        <f>Rev_Exp!AB151</f>
        <v>5833.3333333333339</v>
      </c>
      <c r="AC77" s="14">
        <f>Rev_Exp!AC151</f>
        <v>5833.3333333333339</v>
      </c>
      <c r="AD77" s="14">
        <f>Rev_Exp!AD151</f>
        <v>5833.3333333333339</v>
      </c>
      <c r="AE77" s="14">
        <f>Rev_Exp!AE151</f>
        <v>5833.3333333333339</v>
      </c>
      <c r="AF77" s="14">
        <f>Rev_Exp!AF151</f>
        <v>5833.3333333333339</v>
      </c>
      <c r="AG77" s="14">
        <f>Rev_Exp!AG151</f>
        <v>5833.3333333333339</v>
      </c>
      <c r="AH77" s="14">
        <f>Rev_Exp!AH151</f>
        <v>5833.3333333333339</v>
      </c>
      <c r="AI77" s="14">
        <f>Rev_Exp!AI151</f>
        <v>5833.3333333333339</v>
      </c>
      <c r="AJ77" s="14">
        <f>Rev_Exp!AJ151</f>
        <v>5833.3333333333339</v>
      </c>
      <c r="AK77" s="14">
        <f>Rev_Exp!AK151</f>
        <v>5833.3333333333339</v>
      </c>
      <c r="AL77" s="14">
        <f>Rev_Exp!AL151</f>
        <v>5833.3333333333339</v>
      </c>
      <c r="AM77" s="14">
        <f>Rev_Exp!AM151</f>
        <v>5833.3333333333339</v>
      </c>
      <c r="AN77" s="14">
        <f>Rev_Exp!AN151</f>
        <v>5833.3333333333339</v>
      </c>
      <c r="AO77" s="14">
        <f>Rev_Exp!AO151</f>
        <v>5833.3333333333339</v>
      </c>
      <c r="AP77" s="14">
        <f>Rev_Exp!AP151</f>
        <v>5833.3333333333339</v>
      </c>
      <c r="AQ77" s="14">
        <f>Rev_Exp!AQ151</f>
        <v>5833.3333333333339</v>
      </c>
      <c r="AR77" s="14">
        <f>Rev_Exp!AR151</f>
        <v>5833.3333333333339</v>
      </c>
      <c r="AS77" s="14">
        <f>Rev_Exp!AS151</f>
        <v>5833.3333333333339</v>
      </c>
    </row>
    <row r="78" spans="2:45" outlineLevel="1" x14ac:dyDescent="0.15">
      <c r="B78" s="339" t="str">
        <f>Rev_Exp!B152</f>
        <v>Rates</v>
      </c>
      <c r="C78" s="339"/>
      <c r="D78" s="339"/>
      <c r="E78" s="339"/>
      <c r="F78" s="339"/>
      <c r="G78" s="339"/>
      <c r="I78" s="184">
        <v>1</v>
      </c>
      <c r="J78" s="14">
        <f>Rev_Exp!J152</f>
        <v>227.08333333333337</v>
      </c>
      <c r="K78" s="14">
        <f>Rev_Exp!K152</f>
        <v>227.08333333333337</v>
      </c>
      <c r="L78" s="14">
        <f>Rev_Exp!L152</f>
        <v>227.08333333333337</v>
      </c>
      <c r="M78" s="14">
        <f>Rev_Exp!M152</f>
        <v>227.08333333333337</v>
      </c>
      <c r="N78" s="14">
        <f>Rev_Exp!N152</f>
        <v>227.08333333333337</v>
      </c>
      <c r="O78" s="14">
        <f>Rev_Exp!O152</f>
        <v>227.08333333333337</v>
      </c>
      <c r="P78" s="14">
        <f>Rev_Exp!P152</f>
        <v>227.08333333333337</v>
      </c>
      <c r="Q78" s="14">
        <f>Rev_Exp!Q152</f>
        <v>227.08333333333337</v>
      </c>
      <c r="R78" s="14">
        <f>Rev_Exp!R152</f>
        <v>227.08333333333337</v>
      </c>
      <c r="S78" s="14">
        <f>Rev_Exp!S152</f>
        <v>227.08333333333337</v>
      </c>
      <c r="T78" s="14">
        <f>Rev_Exp!T152</f>
        <v>227.08333333333337</v>
      </c>
      <c r="U78" s="14">
        <f>Rev_Exp!U152</f>
        <v>227.08333333333337</v>
      </c>
      <c r="V78" s="14">
        <f>Rev_Exp!V152</f>
        <v>227.08333333333337</v>
      </c>
      <c r="W78" s="14">
        <f>Rev_Exp!W152</f>
        <v>227.08333333333337</v>
      </c>
      <c r="X78" s="14">
        <f>Rev_Exp!X152</f>
        <v>227.08333333333337</v>
      </c>
      <c r="Y78" s="14">
        <f>Rev_Exp!Y152</f>
        <v>227.08333333333337</v>
      </c>
      <c r="Z78" s="14">
        <f>Rev_Exp!Z152</f>
        <v>227.08333333333337</v>
      </c>
      <c r="AA78" s="14">
        <f>Rev_Exp!AA152</f>
        <v>227.08333333333337</v>
      </c>
      <c r="AB78" s="14">
        <f>Rev_Exp!AB152</f>
        <v>227.08333333333337</v>
      </c>
      <c r="AC78" s="14">
        <f>Rev_Exp!AC152</f>
        <v>227.08333333333337</v>
      </c>
      <c r="AD78" s="14">
        <f>Rev_Exp!AD152</f>
        <v>227.08333333333337</v>
      </c>
      <c r="AE78" s="14">
        <f>Rev_Exp!AE152</f>
        <v>227.08333333333337</v>
      </c>
      <c r="AF78" s="14">
        <f>Rev_Exp!AF152</f>
        <v>227.08333333333337</v>
      </c>
      <c r="AG78" s="14">
        <f>Rev_Exp!AG152</f>
        <v>227.08333333333337</v>
      </c>
      <c r="AH78" s="14">
        <f>Rev_Exp!AH152</f>
        <v>227.08333333333337</v>
      </c>
      <c r="AI78" s="14">
        <f>Rev_Exp!AI152</f>
        <v>227.08333333333337</v>
      </c>
      <c r="AJ78" s="14">
        <f>Rev_Exp!AJ152</f>
        <v>227.08333333333337</v>
      </c>
      <c r="AK78" s="14">
        <f>Rev_Exp!AK152</f>
        <v>227.08333333333337</v>
      </c>
      <c r="AL78" s="14">
        <f>Rev_Exp!AL152</f>
        <v>227.08333333333337</v>
      </c>
      <c r="AM78" s="14">
        <f>Rev_Exp!AM152</f>
        <v>227.08333333333337</v>
      </c>
      <c r="AN78" s="14">
        <f>Rev_Exp!AN152</f>
        <v>227.08333333333337</v>
      </c>
      <c r="AO78" s="14">
        <f>Rev_Exp!AO152</f>
        <v>227.08333333333337</v>
      </c>
      <c r="AP78" s="14">
        <f>Rev_Exp!AP152</f>
        <v>227.08333333333337</v>
      </c>
      <c r="AQ78" s="14">
        <f>Rev_Exp!AQ152</f>
        <v>227.08333333333337</v>
      </c>
      <c r="AR78" s="14">
        <f>Rev_Exp!AR152</f>
        <v>227.08333333333337</v>
      </c>
      <c r="AS78" s="14">
        <f>Rev_Exp!AS152</f>
        <v>227.08333333333337</v>
      </c>
    </row>
    <row r="79" spans="2:45" outlineLevel="1" x14ac:dyDescent="0.15">
      <c r="B79" s="339" t="str">
        <f>Rev_Exp!B153</f>
        <v>Staff Cost</v>
      </c>
      <c r="C79" s="339"/>
      <c r="D79" s="339"/>
      <c r="E79" s="339"/>
      <c r="F79" s="339"/>
      <c r="G79" s="339"/>
      <c r="I79" s="184">
        <v>1</v>
      </c>
      <c r="J79" s="14">
        <f>Rev_Exp!J153</f>
        <v>0</v>
      </c>
      <c r="K79" s="14">
        <f>Rev_Exp!K153</f>
        <v>0</v>
      </c>
      <c r="L79" s="14">
        <f>Rev_Exp!L153</f>
        <v>0</v>
      </c>
      <c r="M79" s="14">
        <f>Rev_Exp!M153</f>
        <v>0</v>
      </c>
      <c r="N79" s="14">
        <f>Rev_Exp!N153</f>
        <v>0</v>
      </c>
      <c r="O79" s="14">
        <f>Rev_Exp!O153</f>
        <v>0</v>
      </c>
      <c r="P79" s="14">
        <f>Rev_Exp!P153</f>
        <v>1115.1000000000001</v>
      </c>
      <c r="Q79" s="14">
        <f>Rev_Exp!Q153</f>
        <v>1115.1000000000001</v>
      </c>
      <c r="R79" s="14">
        <f>Rev_Exp!R153</f>
        <v>1168.2</v>
      </c>
      <c r="S79" s="14">
        <f>Rev_Exp!S153</f>
        <v>1221.3</v>
      </c>
      <c r="T79" s="14">
        <f>Rev_Exp!T153</f>
        <v>1062</v>
      </c>
      <c r="U79" s="14">
        <f>Rev_Exp!U153</f>
        <v>1221.3</v>
      </c>
      <c r="V79" s="14">
        <f>Rev_Exp!V153</f>
        <v>1168.2</v>
      </c>
      <c r="W79" s="14">
        <f>Rev_Exp!W153</f>
        <v>1115.1000000000001</v>
      </c>
      <c r="X79" s="14">
        <f>Rev_Exp!X153</f>
        <v>1221.3</v>
      </c>
      <c r="Y79" s="14">
        <f>Rev_Exp!Y153</f>
        <v>1115.1000000000001</v>
      </c>
      <c r="Z79" s="14">
        <f>Rev_Exp!Z153</f>
        <v>1168.2</v>
      </c>
      <c r="AA79" s="14">
        <f>Rev_Exp!AA153</f>
        <v>1221.3</v>
      </c>
      <c r="AB79" s="14">
        <f>Rev_Exp!AB153</f>
        <v>1062</v>
      </c>
      <c r="AC79" s="14">
        <f>Rev_Exp!AC153</f>
        <v>1115.1000000000001</v>
      </c>
      <c r="AD79" s="14">
        <f>Rev_Exp!AD153</f>
        <v>1168.2</v>
      </c>
      <c r="AE79" s="14">
        <f>Rev_Exp!AE153</f>
        <v>1168.2</v>
      </c>
      <c r="AF79" s="14">
        <f>Rev_Exp!AF153</f>
        <v>1115.1000000000001</v>
      </c>
      <c r="AG79" s="14">
        <f>Rev_Exp!AG153</f>
        <v>1221.3</v>
      </c>
      <c r="AH79" s="14">
        <f>Rev_Exp!AH153</f>
        <v>1115.1000000000001</v>
      </c>
      <c r="AI79" s="14">
        <f>Rev_Exp!AI153</f>
        <v>1168.2</v>
      </c>
      <c r="AJ79" s="14">
        <f>Rev_Exp!AJ153</f>
        <v>1221.3</v>
      </c>
      <c r="AK79" s="14">
        <f>Rev_Exp!AK153</f>
        <v>1062</v>
      </c>
      <c r="AL79" s="14">
        <f>Rev_Exp!AL153</f>
        <v>1221.3</v>
      </c>
      <c r="AM79" s="14">
        <f>Rev_Exp!AM153</f>
        <v>1168.2</v>
      </c>
      <c r="AN79" s="14">
        <f>Rev_Exp!AN153</f>
        <v>1062</v>
      </c>
      <c r="AO79" s="14">
        <f>Rev_Exp!AO153</f>
        <v>1168.2</v>
      </c>
      <c r="AP79" s="14">
        <f>Rev_Exp!AP153</f>
        <v>1168.2</v>
      </c>
      <c r="AQ79" s="14">
        <f>Rev_Exp!AQ153</f>
        <v>1115.1000000000001</v>
      </c>
      <c r="AR79" s="14">
        <f>Rev_Exp!AR153</f>
        <v>1168.2</v>
      </c>
      <c r="AS79" s="14">
        <f>Rev_Exp!AS153</f>
        <v>1221.3</v>
      </c>
    </row>
    <row r="80" spans="2:45" outlineLevel="1" x14ac:dyDescent="0.15">
      <c r="B80" s="339" t="str">
        <f>Rev_Exp!B154</f>
        <v>Utilities</v>
      </c>
      <c r="C80" s="339"/>
      <c r="D80" s="339"/>
      <c r="E80" s="339"/>
      <c r="F80" s="339"/>
      <c r="G80" s="339"/>
      <c r="I80" s="184">
        <v>1</v>
      </c>
      <c r="J80" s="14">
        <f>Rev_Exp!J154</f>
        <v>100</v>
      </c>
      <c r="K80" s="14">
        <f>Rev_Exp!K154</f>
        <v>100</v>
      </c>
      <c r="L80" s="14">
        <f>Rev_Exp!L154</f>
        <v>100</v>
      </c>
      <c r="M80" s="14">
        <f>Rev_Exp!M154</f>
        <v>100</v>
      </c>
      <c r="N80" s="14">
        <f>Rev_Exp!N154</f>
        <v>100</v>
      </c>
      <c r="O80" s="14">
        <f>Rev_Exp!O154</f>
        <v>100</v>
      </c>
      <c r="P80" s="14">
        <f>Rev_Exp!P154</f>
        <v>100</v>
      </c>
      <c r="Q80" s="14">
        <f>Rev_Exp!Q154</f>
        <v>100</v>
      </c>
      <c r="R80" s="14">
        <f>Rev_Exp!R154</f>
        <v>100</v>
      </c>
      <c r="S80" s="14">
        <f>Rev_Exp!S154</f>
        <v>100</v>
      </c>
      <c r="T80" s="14">
        <f>Rev_Exp!T154</f>
        <v>100</v>
      </c>
      <c r="U80" s="14">
        <f>Rev_Exp!U154</f>
        <v>100</v>
      </c>
      <c r="V80" s="14">
        <f>Rev_Exp!V154</f>
        <v>100</v>
      </c>
      <c r="W80" s="14">
        <f>Rev_Exp!W154</f>
        <v>100</v>
      </c>
      <c r="X80" s="14">
        <f>Rev_Exp!X154</f>
        <v>100</v>
      </c>
      <c r="Y80" s="14">
        <f>Rev_Exp!Y154</f>
        <v>100</v>
      </c>
      <c r="Z80" s="14">
        <f>Rev_Exp!Z154</f>
        <v>100</v>
      </c>
      <c r="AA80" s="14">
        <f>Rev_Exp!AA154</f>
        <v>100</v>
      </c>
      <c r="AB80" s="14">
        <f>Rev_Exp!AB154</f>
        <v>100</v>
      </c>
      <c r="AC80" s="14">
        <f>Rev_Exp!AC154</f>
        <v>100</v>
      </c>
      <c r="AD80" s="14">
        <f>Rev_Exp!AD154</f>
        <v>100</v>
      </c>
      <c r="AE80" s="14">
        <f>Rev_Exp!AE154</f>
        <v>100</v>
      </c>
      <c r="AF80" s="14">
        <f>Rev_Exp!AF154</f>
        <v>100</v>
      </c>
      <c r="AG80" s="14">
        <f>Rev_Exp!AG154</f>
        <v>100</v>
      </c>
      <c r="AH80" s="14">
        <f>Rev_Exp!AH154</f>
        <v>100</v>
      </c>
      <c r="AI80" s="14">
        <f>Rev_Exp!AI154</f>
        <v>100</v>
      </c>
      <c r="AJ80" s="14">
        <f>Rev_Exp!AJ154</f>
        <v>100</v>
      </c>
      <c r="AK80" s="14">
        <f>Rev_Exp!AK154</f>
        <v>100</v>
      </c>
      <c r="AL80" s="14">
        <f>Rev_Exp!AL154</f>
        <v>100</v>
      </c>
      <c r="AM80" s="14">
        <f>Rev_Exp!AM154</f>
        <v>100</v>
      </c>
      <c r="AN80" s="14">
        <f>Rev_Exp!AN154</f>
        <v>100</v>
      </c>
      <c r="AO80" s="14">
        <f>Rev_Exp!AO154</f>
        <v>100</v>
      </c>
      <c r="AP80" s="14">
        <f>Rev_Exp!AP154</f>
        <v>100</v>
      </c>
      <c r="AQ80" s="14">
        <f>Rev_Exp!AQ154</f>
        <v>100</v>
      </c>
      <c r="AR80" s="14">
        <f>Rev_Exp!AR154</f>
        <v>100</v>
      </c>
      <c r="AS80" s="14">
        <f>Rev_Exp!AS154</f>
        <v>100</v>
      </c>
    </row>
    <row r="81" spans="2:45" outlineLevel="1" x14ac:dyDescent="0.15">
      <c r="B81" s="339" t="str">
        <f>Rev_Exp!B155</f>
        <v>Insurance</v>
      </c>
      <c r="C81" s="339"/>
      <c r="D81" s="339"/>
      <c r="E81" s="339"/>
      <c r="F81" s="339"/>
      <c r="G81" s="339"/>
      <c r="I81" s="184">
        <v>1</v>
      </c>
      <c r="J81" s="14">
        <f>Rev_Exp!J155</f>
        <v>166.66666666666666</v>
      </c>
      <c r="K81" s="14">
        <f>Rev_Exp!K155</f>
        <v>166.66666666666666</v>
      </c>
      <c r="L81" s="14">
        <f>Rev_Exp!L155</f>
        <v>166.66666666666666</v>
      </c>
      <c r="M81" s="14">
        <f>Rev_Exp!M155</f>
        <v>166.66666666666666</v>
      </c>
      <c r="N81" s="14">
        <f>Rev_Exp!N155</f>
        <v>166.66666666666666</v>
      </c>
      <c r="O81" s="14">
        <f>Rev_Exp!O155</f>
        <v>166.66666666666666</v>
      </c>
      <c r="P81" s="14">
        <f>Rev_Exp!P155</f>
        <v>166.66666666666666</v>
      </c>
      <c r="Q81" s="14">
        <f>Rev_Exp!Q155</f>
        <v>166.66666666666666</v>
      </c>
      <c r="R81" s="14">
        <f>Rev_Exp!R155</f>
        <v>166.66666666666666</v>
      </c>
      <c r="S81" s="14">
        <f>Rev_Exp!S155</f>
        <v>166.66666666666666</v>
      </c>
      <c r="T81" s="14">
        <f>Rev_Exp!T155</f>
        <v>166.66666666666666</v>
      </c>
      <c r="U81" s="14">
        <f>Rev_Exp!U155</f>
        <v>166.66666666666666</v>
      </c>
      <c r="V81" s="14">
        <f>Rev_Exp!V155</f>
        <v>166.66666666666666</v>
      </c>
      <c r="W81" s="14">
        <f>Rev_Exp!W155</f>
        <v>166.66666666666666</v>
      </c>
      <c r="X81" s="14">
        <f>Rev_Exp!X155</f>
        <v>166.66666666666666</v>
      </c>
      <c r="Y81" s="14">
        <f>Rev_Exp!Y155</f>
        <v>166.66666666666666</v>
      </c>
      <c r="Z81" s="14">
        <f>Rev_Exp!Z155</f>
        <v>166.66666666666666</v>
      </c>
      <c r="AA81" s="14">
        <f>Rev_Exp!AA155</f>
        <v>166.66666666666666</v>
      </c>
      <c r="AB81" s="14">
        <f>Rev_Exp!AB155</f>
        <v>166.66666666666666</v>
      </c>
      <c r="AC81" s="14">
        <f>Rev_Exp!AC155</f>
        <v>166.66666666666666</v>
      </c>
      <c r="AD81" s="14">
        <f>Rev_Exp!AD155</f>
        <v>166.66666666666666</v>
      </c>
      <c r="AE81" s="14">
        <f>Rev_Exp!AE155</f>
        <v>166.66666666666666</v>
      </c>
      <c r="AF81" s="14">
        <f>Rev_Exp!AF155</f>
        <v>166.66666666666666</v>
      </c>
      <c r="AG81" s="14">
        <f>Rev_Exp!AG155</f>
        <v>166.66666666666666</v>
      </c>
      <c r="AH81" s="14">
        <f>Rev_Exp!AH155</f>
        <v>166.66666666666666</v>
      </c>
      <c r="AI81" s="14">
        <f>Rev_Exp!AI155</f>
        <v>166.66666666666666</v>
      </c>
      <c r="AJ81" s="14">
        <f>Rev_Exp!AJ155</f>
        <v>166.66666666666666</v>
      </c>
      <c r="AK81" s="14">
        <f>Rev_Exp!AK155</f>
        <v>166.66666666666666</v>
      </c>
      <c r="AL81" s="14">
        <f>Rev_Exp!AL155</f>
        <v>166.66666666666666</v>
      </c>
      <c r="AM81" s="14">
        <f>Rev_Exp!AM155</f>
        <v>166.66666666666666</v>
      </c>
      <c r="AN81" s="14">
        <f>Rev_Exp!AN155</f>
        <v>166.66666666666666</v>
      </c>
      <c r="AO81" s="14">
        <f>Rev_Exp!AO155</f>
        <v>166.66666666666666</v>
      </c>
      <c r="AP81" s="14">
        <f>Rev_Exp!AP155</f>
        <v>166.66666666666666</v>
      </c>
      <c r="AQ81" s="14">
        <f>Rev_Exp!AQ155</f>
        <v>166.66666666666666</v>
      </c>
      <c r="AR81" s="14">
        <f>Rev_Exp!AR155</f>
        <v>166.66666666666666</v>
      </c>
      <c r="AS81" s="14">
        <f>Rev_Exp!AS155</f>
        <v>166.66666666666666</v>
      </c>
    </row>
    <row r="82" spans="2:45" outlineLevel="1" x14ac:dyDescent="0.15">
      <c r="B82" s="339" t="str">
        <f>Rev_Exp!B156</f>
        <v>HEMA Insurance</v>
      </c>
      <c r="C82" s="339"/>
      <c r="D82" s="339"/>
      <c r="E82" s="339"/>
      <c r="F82" s="339"/>
      <c r="G82" s="339"/>
      <c r="I82" s="184">
        <v>0</v>
      </c>
      <c r="J82" s="14">
        <f>Rev_Exp!J156</f>
        <v>75</v>
      </c>
      <c r="K82" s="14">
        <f>Rev_Exp!K156</f>
        <v>77.5</v>
      </c>
      <c r="L82" s="14">
        <f>Rev_Exp!L156</f>
        <v>80</v>
      </c>
      <c r="M82" s="14">
        <f>Rev_Exp!M156</f>
        <v>82.5</v>
      </c>
      <c r="N82" s="14">
        <f>Rev_Exp!N156</f>
        <v>85</v>
      </c>
      <c r="O82" s="14">
        <f>Rev_Exp!O156</f>
        <v>87.5</v>
      </c>
      <c r="P82" s="14">
        <f>Rev_Exp!P156</f>
        <v>90</v>
      </c>
      <c r="Q82" s="14">
        <f>Rev_Exp!Q156</f>
        <v>92.5</v>
      </c>
      <c r="R82" s="14">
        <f>Rev_Exp!R156</f>
        <v>95</v>
      </c>
      <c r="S82" s="14">
        <f>Rev_Exp!S156</f>
        <v>97.5</v>
      </c>
      <c r="T82" s="14">
        <f>Rev_Exp!T156</f>
        <v>100</v>
      </c>
      <c r="U82" s="14">
        <f>Rev_Exp!U156</f>
        <v>102.5</v>
      </c>
      <c r="V82" s="14">
        <f>Rev_Exp!V156</f>
        <v>105</v>
      </c>
      <c r="W82" s="14">
        <f>Rev_Exp!W156</f>
        <v>107.5</v>
      </c>
      <c r="X82" s="14">
        <f>Rev_Exp!X156</f>
        <v>110</v>
      </c>
      <c r="Y82" s="14">
        <f>Rev_Exp!Y156</f>
        <v>112.5</v>
      </c>
      <c r="Z82" s="14">
        <f>Rev_Exp!Z156</f>
        <v>115</v>
      </c>
      <c r="AA82" s="14">
        <f>Rev_Exp!AA156</f>
        <v>117.5</v>
      </c>
      <c r="AB82" s="14">
        <f>Rev_Exp!AB156</f>
        <v>120</v>
      </c>
      <c r="AC82" s="14">
        <f>Rev_Exp!AC156</f>
        <v>122.5</v>
      </c>
      <c r="AD82" s="14">
        <f>Rev_Exp!AD156</f>
        <v>125</v>
      </c>
      <c r="AE82" s="14">
        <f>Rev_Exp!AE156</f>
        <v>127.5</v>
      </c>
      <c r="AF82" s="14">
        <f>Rev_Exp!AF156</f>
        <v>130</v>
      </c>
      <c r="AG82" s="14">
        <f>Rev_Exp!AG156</f>
        <v>132.5</v>
      </c>
      <c r="AH82" s="14">
        <f>Rev_Exp!AH156</f>
        <v>135</v>
      </c>
      <c r="AI82" s="14">
        <f>Rev_Exp!AI156</f>
        <v>137.5</v>
      </c>
      <c r="AJ82" s="14">
        <f>Rev_Exp!AJ156</f>
        <v>140</v>
      </c>
      <c r="AK82" s="14">
        <f>Rev_Exp!AK156</f>
        <v>142.5</v>
      </c>
      <c r="AL82" s="14">
        <f>Rev_Exp!AL156</f>
        <v>145</v>
      </c>
      <c r="AM82" s="14">
        <f>Rev_Exp!AM156</f>
        <v>147.5</v>
      </c>
      <c r="AN82" s="14">
        <f>Rev_Exp!AN156</f>
        <v>150</v>
      </c>
      <c r="AO82" s="14">
        <f>Rev_Exp!AO156</f>
        <v>152.5</v>
      </c>
      <c r="AP82" s="14">
        <f>Rev_Exp!AP156</f>
        <v>155</v>
      </c>
      <c r="AQ82" s="14">
        <f>Rev_Exp!AQ156</f>
        <v>157.5</v>
      </c>
      <c r="AR82" s="14">
        <f>Rev_Exp!AR156</f>
        <v>160</v>
      </c>
      <c r="AS82" s="14">
        <f>Rev_Exp!AS156</f>
        <v>162.5</v>
      </c>
    </row>
    <row r="83" spans="2:45" outlineLevel="1" x14ac:dyDescent="0.15">
      <c r="B83" s="339" t="str">
        <f>Rev_Exp!B157</f>
        <v>Credit Card Fees</v>
      </c>
      <c r="C83" s="339"/>
      <c r="D83" s="339"/>
      <c r="E83" s="339"/>
      <c r="F83" s="339"/>
      <c r="G83" s="339"/>
      <c r="I83" s="184">
        <v>1</v>
      </c>
      <c r="J83" s="14">
        <f>Rev_Exp!J157</f>
        <v>74.163362580645156</v>
      </c>
      <c r="K83" s="14">
        <f>Rev_Exp!K157</f>
        <v>120.12989721333329</v>
      </c>
      <c r="L83" s="14">
        <f>Rev_Exp!L157</f>
        <v>124.48247793548387</v>
      </c>
      <c r="M83" s="14">
        <f>Rev_Exp!M157</f>
        <v>148.23814866666666</v>
      </c>
      <c r="N83" s="14">
        <f>Rev_Exp!N157</f>
        <v>63.759475810752676</v>
      </c>
      <c r="O83" s="14">
        <f>Rev_Exp!O157</f>
        <v>115.81937683870966</v>
      </c>
      <c r="P83" s="14">
        <f>Rev_Exp!P157</f>
        <v>133.64009706666667</v>
      </c>
      <c r="Q83" s="14">
        <f>Rev_Exp!Q157</f>
        <v>132.98644787526879</v>
      </c>
      <c r="R83" s="14">
        <f>Rev_Exp!R157</f>
        <v>107.85430832</v>
      </c>
      <c r="S83" s="14">
        <f>Rev_Exp!S157</f>
        <v>125.27913800860213</v>
      </c>
      <c r="T83" s="14">
        <f>Rev_Exp!T157</f>
        <v>123.61917333333332</v>
      </c>
      <c r="U83" s="14">
        <f>Rev_Exp!U157</f>
        <v>114.60041403870966</v>
      </c>
      <c r="V83" s="14">
        <f>Rev_Exp!V157</f>
        <v>104.37090873118279</v>
      </c>
      <c r="W83" s="14">
        <f>Rev_Exp!W157</f>
        <v>170.90405097333331</v>
      </c>
      <c r="X83" s="14">
        <f>Rev_Exp!X157</f>
        <v>182.112937032258</v>
      </c>
      <c r="Y83" s="14">
        <f>Rev_Exp!Y157</f>
        <v>198.75128166666664</v>
      </c>
      <c r="Z83" s="14">
        <f>Rev_Exp!Z157</f>
        <v>93.726549281720409</v>
      </c>
      <c r="AA83" s="14">
        <f>Rev_Exp!AA157</f>
        <v>160.31859175483871</v>
      </c>
      <c r="AB83" s="14">
        <f>Rev_Exp!AB157</f>
        <v>173.55753066666665</v>
      </c>
      <c r="AC83" s="14">
        <f>Rev_Exp!AC157</f>
        <v>178.26962015913978</v>
      </c>
      <c r="AD83" s="14">
        <f>Rev_Exp!AD157</f>
        <v>144.24093199999999</v>
      </c>
      <c r="AE83" s="14">
        <f>Rev_Exp!AE157</f>
        <v>160.93149704086022</v>
      </c>
      <c r="AF83" s="14">
        <f>Rev_Exp!AF157</f>
        <v>169.39155493333334</v>
      </c>
      <c r="AG83" s="14">
        <f>Rev_Exp!AG157</f>
        <v>150.94297424516125</v>
      </c>
      <c r="AH83" s="14">
        <f>Rev_Exp!AH157</f>
        <v>132.86323647311829</v>
      </c>
      <c r="AI83" s="14">
        <f>Rev_Exp!AI157</f>
        <v>230.16700813333335</v>
      </c>
      <c r="AJ83" s="14">
        <f>Rev_Exp!AJ157</f>
        <v>234.99010167741935</v>
      </c>
      <c r="AK83" s="14">
        <f>Rev_Exp!AK157</f>
        <v>234.00666666666663</v>
      </c>
      <c r="AL83" s="14">
        <f>Rev_Exp!AL157</f>
        <v>125.15029981075264</v>
      </c>
      <c r="AM83" s="14">
        <f>Rev_Exp!AM157</f>
        <v>197.84485855483871</v>
      </c>
      <c r="AN83" s="14">
        <f>Rev_Exp!AN157</f>
        <v>209.62274666666667</v>
      </c>
      <c r="AO83" s="14">
        <f>Rev_Exp!AO157</f>
        <v>222.83848097204302</v>
      </c>
      <c r="AP83" s="14">
        <f>Rev_Exp!AP157</f>
        <v>171.82755567999999</v>
      </c>
      <c r="AQ83" s="14">
        <f>Rev_Exp!AQ157</f>
        <v>185.24813777634407</v>
      </c>
      <c r="AR83" s="14">
        <f>Rev_Exp!AR157</f>
        <v>209.14961173333336</v>
      </c>
      <c r="AS83" s="14">
        <f>Rev_Exp!AS157</f>
        <v>178.48553445161289</v>
      </c>
    </row>
    <row r="84" spans="2:45" outlineLevel="1" x14ac:dyDescent="0.15">
      <c r="B84" s="339" t="str">
        <f>Rev_Exp!B158</f>
        <v>Cleaning &amp; Other</v>
      </c>
      <c r="C84" s="339"/>
      <c r="D84" s="339"/>
      <c r="E84" s="339"/>
      <c r="F84" s="339"/>
      <c r="G84" s="339"/>
      <c r="I84" s="184">
        <v>1</v>
      </c>
      <c r="J84" s="14">
        <f>Rev_Exp!J158</f>
        <v>200</v>
      </c>
      <c r="K84" s="14">
        <f>Rev_Exp!K158</f>
        <v>200</v>
      </c>
      <c r="L84" s="14">
        <f>Rev_Exp!L158</f>
        <v>200</v>
      </c>
      <c r="M84" s="14">
        <f>Rev_Exp!M158</f>
        <v>200</v>
      </c>
      <c r="N84" s="14">
        <f>Rev_Exp!N158</f>
        <v>200</v>
      </c>
      <c r="O84" s="14">
        <f>Rev_Exp!O158</f>
        <v>200</v>
      </c>
      <c r="P84" s="14">
        <f>Rev_Exp!P158</f>
        <v>200</v>
      </c>
      <c r="Q84" s="14">
        <f>Rev_Exp!Q158</f>
        <v>200</v>
      </c>
      <c r="R84" s="14">
        <f>Rev_Exp!R158</f>
        <v>200</v>
      </c>
      <c r="S84" s="14">
        <f>Rev_Exp!S158</f>
        <v>200</v>
      </c>
      <c r="T84" s="14">
        <f>Rev_Exp!T158</f>
        <v>200</v>
      </c>
      <c r="U84" s="14">
        <f>Rev_Exp!U158</f>
        <v>200</v>
      </c>
      <c r="V84" s="14">
        <f>Rev_Exp!V158</f>
        <v>200</v>
      </c>
      <c r="W84" s="14">
        <f>Rev_Exp!W158</f>
        <v>200</v>
      </c>
      <c r="X84" s="14">
        <f>Rev_Exp!X158</f>
        <v>200</v>
      </c>
      <c r="Y84" s="14">
        <f>Rev_Exp!Y158</f>
        <v>200</v>
      </c>
      <c r="Z84" s="14">
        <f>Rev_Exp!Z158</f>
        <v>200</v>
      </c>
      <c r="AA84" s="14">
        <f>Rev_Exp!AA158</f>
        <v>200</v>
      </c>
      <c r="AB84" s="14">
        <f>Rev_Exp!AB158</f>
        <v>200</v>
      </c>
      <c r="AC84" s="14">
        <f>Rev_Exp!AC158</f>
        <v>200</v>
      </c>
      <c r="AD84" s="14">
        <f>Rev_Exp!AD158</f>
        <v>200</v>
      </c>
      <c r="AE84" s="14">
        <f>Rev_Exp!AE158</f>
        <v>200</v>
      </c>
      <c r="AF84" s="14">
        <f>Rev_Exp!AF158</f>
        <v>200</v>
      </c>
      <c r="AG84" s="14">
        <f>Rev_Exp!AG158</f>
        <v>200</v>
      </c>
      <c r="AH84" s="14">
        <f>Rev_Exp!AH158</f>
        <v>200</v>
      </c>
      <c r="AI84" s="14">
        <f>Rev_Exp!AI158</f>
        <v>200</v>
      </c>
      <c r="AJ84" s="14">
        <f>Rev_Exp!AJ158</f>
        <v>200</v>
      </c>
      <c r="AK84" s="14">
        <f>Rev_Exp!AK158</f>
        <v>200</v>
      </c>
      <c r="AL84" s="14">
        <f>Rev_Exp!AL158</f>
        <v>200</v>
      </c>
      <c r="AM84" s="14">
        <f>Rev_Exp!AM158</f>
        <v>200</v>
      </c>
      <c r="AN84" s="14">
        <f>Rev_Exp!AN158</f>
        <v>200</v>
      </c>
      <c r="AO84" s="14">
        <f>Rev_Exp!AO158</f>
        <v>200</v>
      </c>
      <c r="AP84" s="14">
        <f>Rev_Exp!AP158</f>
        <v>200</v>
      </c>
      <c r="AQ84" s="14">
        <f>Rev_Exp!AQ158</f>
        <v>200</v>
      </c>
      <c r="AR84" s="14">
        <f>Rev_Exp!AR158</f>
        <v>200</v>
      </c>
      <c r="AS84" s="14">
        <f>Rev_Exp!AS158</f>
        <v>200</v>
      </c>
    </row>
    <row r="85" spans="2:45" outlineLevel="1" x14ac:dyDescent="0.15">
      <c r="B85" s="341" t="str">
        <f>"Total "&amp;B76</f>
        <v>Total Operating Expenditure</v>
      </c>
      <c r="C85" s="341"/>
      <c r="D85" s="341"/>
      <c r="E85" s="341"/>
      <c r="F85" s="341"/>
      <c r="G85" s="341"/>
      <c r="I85" s="14"/>
      <c r="J85" s="37">
        <f t="shared" ref="J85:AS85" si="19">SUM(J77:J84)</f>
        <v>6676.2466959139792</v>
      </c>
      <c r="K85" s="18">
        <f t="shared" si="19"/>
        <v>6724.7132305466675</v>
      </c>
      <c r="L85" s="18">
        <f t="shared" si="19"/>
        <v>6731.5658112688179</v>
      </c>
      <c r="M85" s="18">
        <f t="shared" si="19"/>
        <v>6757.8214820000003</v>
      </c>
      <c r="N85" s="18">
        <f t="shared" si="19"/>
        <v>6675.8428091440865</v>
      </c>
      <c r="O85" s="18">
        <f t="shared" si="19"/>
        <v>6730.402710172044</v>
      </c>
      <c r="P85" s="18">
        <f t="shared" si="19"/>
        <v>7865.8234304000007</v>
      </c>
      <c r="Q85" s="18">
        <f t="shared" si="19"/>
        <v>7867.6697812086031</v>
      </c>
      <c r="R85" s="18">
        <f t="shared" si="19"/>
        <v>7898.137641653334</v>
      </c>
      <c r="S85" s="18">
        <f t="shared" si="19"/>
        <v>7971.162471341936</v>
      </c>
      <c r="T85" s="18">
        <f t="shared" si="19"/>
        <v>7812.7025066666674</v>
      </c>
      <c r="U85" s="18">
        <f t="shared" si="19"/>
        <v>7965.4837473720436</v>
      </c>
      <c r="V85" s="18">
        <f t="shared" si="19"/>
        <v>7904.6542420645164</v>
      </c>
      <c r="W85" s="18">
        <f t="shared" si="19"/>
        <v>7920.5873843066674</v>
      </c>
      <c r="X85" s="18">
        <f t="shared" si="19"/>
        <v>8040.496270365592</v>
      </c>
      <c r="Y85" s="18">
        <f t="shared" si="19"/>
        <v>7953.434615000001</v>
      </c>
      <c r="Z85" s="18">
        <f t="shared" si="19"/>
        <v>7904.0098826150543</v>
      </c>
      <c r="AA85" s="18">
        <f t="shared" si="19"/>
        <v>8026.2019250881731</v>
      </c>
      <c r="AB85" s="18">
        <f t="shared" si="19"/>
        <v>7882.6408640000009</v>
      </c>
      <c r="AC85" s="18">
        <f t="shared" si="19"/>
        <v>7942.9529534924741</v>
      </c>
      <c r="AD85" s="18">
        <f t="shared" si="19"/>
        <v>7964.5242653333335</v>
      </c>
      <c r="AE85" s="18">
        <f t="shared" si="19"/>
        <v>7983.7148303741942</v>
      </c>
      <c r="AF85" s="18">
        <f t="shared" si="19"/>
        <v>7941.5748882666676</v>
      </c>
      <c r="AG85" s="18">
        <f t="shared" si="19"/>
        <v>8031.8263075784953</v>
      </c>
      <c r="AH85" s="18">
        <f t="shared" si="19"/>
        <v>7910.0465698064527</v>
      </c>
      <c r="AI85" s="18">
        <f t="shared" si="19"/>
        <v>8062.9503414666669</v>
      </c>
      <c r="AJ85" s="18">
        <f t="shared" si="19"/>
        <v>8123.3734350107534</v>
      </c>
      <c r="AK85" s="18">
        <f t="shared" si="19"/>
        <v>7965.59</v>
      </c>
      <c r="AL85" s="18">
        <f t="shared" si="19"/>
        <v>8018.5336331440867</v>
      </c>
      <c r="AM85" s="18">
        <f t="shared" si="19"/>
        <v>8040.6281918881723</v>
      </c>
      <c r="AN85" s="18">
        <f t="shared" si="19"/>
        <v>7948.7060800000008</v>
      </c>
      <c r="AO85" s="18">
        <f t="shared" si="19"/>
        <v>8070.6218143053766</v>
      </c>
      <c r="AP85" s="18">
        <f t="shared" si="19"/>
        <v>8022.1108890133337</v>
      </c>
      <c r="AQ85" s="18">
        <f t="shared" si="19"/>
        <v>7984.9314711096786</v>
      </c>
      <c r="AR85" s="18">
        <f t="shared" si="19"/>
        <v>8064.4329450666673</v>
      </c>
      <c r="AS85" s="18">
        <f t="shared" si="19"/>
        <v>8089.3688677849468</v>
      </c>
    </row>
    <row r="86" spans="2:45" outlineLevel="1" x14ac:dyDescent="0.15"/>
    <row r="87" spans="2:45" outlineLevel="1" x14ac:dyDescent="0.15">
      <c r="B87" s="16" t="s">
        <v>362</v>
      </c>
      <c r="I87" s="153" t="s">
        <v>515</v>
      </c>
      <c r="J87" s="16" t="str">
        <f>" "&amp;INDEX(LU_Ts_Denom,DD_Ts_Denom)&amp;" (Excluding VAT)"</f>
        <v xml:space="preserve"> £ (Excluding VAT)</v>
      </c>
    </row>
    <row r="88" spans="2:45" outlineLevel="1" x14ac:dyDescent="0.15">
      <c r="B88" s="339" t="str">
        <f>Rev_Exp!B200</f>
        <v>Other Expenses Category</v>
      </c>
      <c r="C88" s="339"/>
      <c r="D88" s="339"/>
      <c r="E88" s="339"/>
      <c r="F88" s="339"/>
      <c r="G88" s="339"/>
      <c r="I88" s="184">
        <v>1</v>
      </c>
      <c r="J88" s="14">
        <f>Rev_Exp!J200</f>
        <v>0</v>
      </c>
      <c r="K88" s="14">
        <f>Rev_Exp!K200</f>
        <v>0</v>
      </c>
      <c r="L88" s="14">
        <f>Rev_Exp!L200</f>
        <v>0</v>
      </c>
      <c r="M88" s="14">
        <f>Rev_Exp!M200</f>
        <v>0</v>
      </c>
      <c r="N88" s="14">
        <f>Rev_Exp!N200</f>
        <v>0</v>
      </c>
      <c r="O88" s="14">
        <f>Rev_Exp!O200</f>
        <v>0</v>
      </c>
      <c r="P88" s="14">
        <f>Rev_Exp!P200</f>
        <v>0</v>
      </c>
      <c r="Q88" s="14">
        <f>Rev_Exp!Q200</f>
        <v>0</v>
      </c>
      <c r="R88" s="14">
        <f>Rev_Exp!R200</f>
        <v>0</v>
      </c>
      <c r="S88" s="14">
        <f>Rev_Exp!S200</f>
        <v>0</v>
      </c>
      <c r="T88" s="14">
        <f>Rev_Exp!T200</f>
        <v>0</v>
      </c>
      <c r="U88" s="14">
        <f>Rev_Exp!U200</f>
        <v>0</v>
      </c>
      <c r="V88" s="14">
        <f>Rev_Exp!V200</f>
        <v>0</v>
      </c>
      <c r="W88" s="14">
        <f>Rev_Exp!W200</f>
        <v>0</v>
      </c>
      <c r="X88" s="14">
        <f>Rev_Exp!X200</f>
        <v>0</v>
      </c>
      <c r="Y88" s="14">
        <f>Rev_Exp!Y200</f>
        <v>0</v>
      </c>
      <c r="Z88" s="14">
        <f>Rev_Exp!Z200</f>
        <v>0</v>
      </c>
      <c r="AA88" s="14">
        <f>Rev_Exp!AA200</f>
        <v>0</v>
      </c>
      <c r="AB88" s="14">
        <f>Rev_Exp!AB200</f>
        <v>0</v>
      </c>
      <c r="AC88" s="14">
        <f>Rev_Exp!AC200</f>
        <v>0</v>
      </c>
      <c r="AD88" s="14">
        <f>Rev_Exp!AD200</f>
        <v>0</v>
      </c>
      <c r="AE88" s="14">
        <f>Rev_Exp!AE200</f>
        <v>0</v>
      </c>
      <c r="AF88" s="14">
        <f>Rev_Exp!AF200</f>
        <v>0</v>
      </c>
      <c r="AG88" s="14">
        <f>Rev_Exp!AG200</f>
        <v>0</v>
      </c>
      <c r="AH88" s="14">
        <f>Rev_Exp!AH200</f>
        <v>0</v>
      </c>
      <c r="AI88" s="14">
        <f>Rev_Exp!AI200</f>
        <v>0</v>
      </c>
      <c r="AJ88" s="14">
        <f>Rev_Exp!AJ200</f>
        <v>0</v>
      </c>
      <c r="AK88" s="14">
        <f>Rev_Exp!AK200</f>
        <v>0</v>
      </c>
      <c r="AL88" s="14">
        <f>Rev_Exp!AL200</f>
        <v>0</v>
      </c>
      <c r="AM88" s="14">
        <f>Rev_Exp!AM200</f>
        <v>0</v>
      </c>
      <c r="AN88" s="14">
        <f>Rev_Exp!AN200</f>
        <v>0</v>
      </c>
      <c r="AO88" s="14">
        <f>Rev_Exp!AO200</f>
        <v>0</v>
      </c>
      <c r="AP88" s="14">
        <f>Rev_Exp!AP200</f>
        <v>0</v>
      </c>
      <c r="AQ88" s="14">
        <f>Rev_Exp!AQ200</f>
        <v>0</v>
      </c>
      <c r="AR88" s="14">
        <f>Rev_Exp!AR200</f>
        <v>0</v>
      </c>
      <c r="AS88" s="14">
        <f>Rev_Exp!AS200</f>
        <v>0</v>
      </c>
    </row>
    <row r="89" spans="2:45" outlineLevel="1" x14ac:dyDescent="0.15">
      <c r="B89" s="341" t="str">
        <f>"Total "&amp;B87</f>
        <v>Total Other Expenses</v>
      </c>
      <c r="C89" s="341"/>
      <c r="D89" s="341"/>
      <c r="E89" s="341"/>
      <c r="F89" s="341"/>
      <c r="G89" s="341"/>
      <c r="I89" s="14"/>
      <c r="J89" s="37">
        <f t="shared" ref="J89:AS89" si="20">SUM(J88:J88)</f>
        <v>0</v>
      </c>
      <c r="K89" s="18">
        <f t="shared" si="20"/>
        <v>0</v>
      </c>
      <c r="L89" s="18">
        <f t="shared" si="20"/>
        <v>0</v>
      </c>
      <c r="M89" s="18">
        <f t="shared" si="20"/>
        <v>0</v>
      </c>
      <c r="N89" s="18">
        <f t="shared" si="20"/>
        <v>0</v>
      </c>
      <c r="O89" s="18">
        <f t="shared" si="20"/>
        <v>0</v>
      </c>
      <c r="P89" s="18">
        <f t="shared" si="20"/>
        <v>0</v>
      </c>
      <c r="Q89" s="18">
        <f t="shared" si="20"/>
        <v>0</v>
      </c>
      <c r="R89" s="18">
        <f t="shared" si="20"/>
        <v>0</v>
      </c>
      <c r="S89" s="18">
        <f t="shared" si="20"/>
        <v>0</v>
      </c>
      <c r="T89" s="18">
        <f t="shared" si="20"/>
        <v>0</v>
      </c>
      <c r="U89" s="18">
        <f t="shared" si="20"/>
        <v>0</v>
      </c>
      <c r="V89" s="18">
        <f t="shared" si="20"/>
        <v>0</v>
      </c>
      <c r="W89" s="18">
        <f t="shared" si="20"/>
        <v>0</v>
      </c>
      <c r="X89" s="18">
        <f t="shared" si="20"/>
        <v>0</v>
      </c>
      <c r="Y89" s="18">
        <f t="shared" si="20"/>
        <v>0</v>
      </c>
      <c r="Z89" s="18">
        <f t="shared" si="20"/>
        <v>0</v>
      </c>
      <c r="AA89" s="18">
        <f t="shared" si="20"/>
        <v>0</v>
      </c>
      <c r="AB89" s="18">
        <f t="shared" si="20"/>
        <v>0</v>
      </c>
      <c r="AC89" s="18">
        <f t="shared" si="20"/>
        <v>0</v>
      </c>
      <c r="AD89" s="18">
        <f t="shared" si="20"/>
        <v>0</v>
      </c>
      <c r="AE89" s="18">
        <f t="shared" si="20"/>
        <v>0</v>
      </c>
      <c r="AF89" s="18">
        <f t="shared" si="20"/>
        <v>0</v>
      </c>
      <c r="AG89" s="18">
        <f t="shared" si="20"/>
        <v>0</v>
      </c>
      <c r="AH89" s="18">
        <f t="shared" si="20"/>
        <v>0</v>
      </c>
      <c r="AI89" s="18">
        <f t="shared" si="20"/>
        <v>0</v>
      </c>
      <c r="AJ89" s="18">
        <f t="shared" si="20"/>
        <v>0</v>
      </c>
      <c r="AK89" s="18">
        <f t="shared" si="20"/>
        <v>0</v>
      </c>
      <c r="AL89" s="18">
        <f t="shared" si="20"/>
        <v>0</v>
      </c>
      <c r="AM89" s="18">
        <f t="shared" si="20"/>
        <v>0</v>
      </c>
      <c r="AN89" s="18">
        <f t="shared" si="20"/>
        <v>0</v>
      </c>
      <c r="AO89" s="18">
        <f t="shared" si="20"/>
        <v>0</v>
      </c>
      <c r="AP89" s="18">
        <f t="shared" si="20"/>
        <v>0</v>
      </c>
      <c r="AQ89" s="18">
        <f t="shared" si="20"/>
        <v>0</v>
      </c>
      <c r="AR89" s="18">
        <f t="shared" si="20"/>
        <v>0</v>
      </c>
      <c r="AS89" s="18">
        <f t="shared" si="20"/>
        <v>0</v>
      </c>
    </row>
    <row r="90" spans="2:45" outlineLevel="1" x14ac:dyDescent="0.15"/>
    <row r="91" spans="2:45" outlineLevel="1" x14ac:dyDescent="0.15">
      <c r="B91" s="16" t="s">
        <v>133</v>
      </c>
      <c r="I91" s="153" t="s">
        <v>515</v>
      </c>
      <c r="J91" s="16" t="str">
        <f>" "&amp;INDEX(LU_Ts_Denom,DD_Ts_Denom)&amp;" (Excluding VAT)"</f>
        <v xml:space="preserve"> £ (Excluding VAT)</v>
      </c>
    </row>
    <row r="92" spans="2:45" outlineLevel="1" x14ac:dyDescent="0.15">
      <c r="B92" s="339" t="str">
        <f>Assets!B75</f>
        <v>Fencing Equipment</v>
      </c>
      <c r="C92" s="339"/>
      <c r="D92" s="339"/>
      <c r="E92" s="339"/>
      <c r="F92" s="339"/>
      <c r="G92" s="339"/>
      <c r="I92" s="184">
        <v>1</v>
      </c>
      <c r="J92" s="14">
        <f>Assets!J75</f>
        <v>10000</v>
      </c>
      <c r="K92" s="14">
        <f>Assets!K75</f>
        <v>0</v>
      </c>
      <c r="L92" s="14">
        <f>Assets!L75</f>
        <v>0</v>
      </c>
      <c r="M92" s="14">
        <f>Assets!M75</f>
        <v>0</v>
      </c>
      <c r="N92" s="14">
        <f>Assets!N75</f>
        <v>0</v>
      </c>
      <c r="O92" s="14">
        <f>Assets!O75</f>
        <v>0</v>
      </c>
      <c r="P92" s="14">
        <f>Assets!P75</f>
        <v>0</v>
      </c>
      <c r="Q92" s="14">
        <f>Assets!Q75</f>
        <v>0</v>
      </c>
      <c r="R92" s="14">
        <f>Assets!R75</f>
        <v>0</v>
      </c>
      <c r="S92" s="14">
        <f>Assets!S75</f>
        <v>0</v>
      </c>
      <c r="T92" s="14">
        <f>Assets!T75</f>
        <v>0</v>
      </c>
      <c r="U92" s="14">
        <f>Assets!U75</f>
        <v>0</v>
      </c>
      <c r="V92" s="14">
        <f>Assets!V75</f>
        <v>0</v>
      </c>
      <c r="W92" s="14">
        <f>Assets!W75</f>
        <v>0</v>
      </c>
      <c r="X92" s="14">
        <f>Assets!X75</f>
        <v>0</v>
      </c>
      <c r="Y92" s="14">
        <f>Assets!Y75</f>
        <v>0</v>
      </c>
      <c r="Z92" s="14">
        <f>Assets!Z75</f>
        <v>0</v>
      </c>
      <c r="AA92" s="14">
        <f>Assets!AA75</f>
        <v>0</v>
      </c>
      <c r="AB92" s="14">
        <f>Assets!AB75</f>
        <v>0</v>
      </c>
      <c r="AC92" s="14">
        <f>Assets!AC75</f>
        <v>0</v>
      </c>
      <c r="AD92" s="14">
        <f>Assets!AD75</f>
        <v>0</v>
      </c>
      <c r="AE92" s="14">
        <f>Assets!AE75</f>
        <v>0</v>
      </c>
      <c r="AF92" s="14">
        <f>Assets!AF75</f>
        <v>0</v>
      </c>
      <c r="AG92" s="14">
        <f>Assets!AG75</f>
        <v>0</v>
      </c>
      <c r="AH92" s="14">
        <f>Assets!AH75</f>
        <v>0</v>
      </c>
      <c r="AI92" s="14">
        <f>Assets!AI75</f>
        <v>0</v>
      </c>
      <c r="AJ92" s="14">
        <f>Assets!AJ75</f>
        <v>0</v>
      </c>
      <c r="AK92" s="14">
        <f>Assets!AK75</f>
        <v>0</v>
      </c>
      <c r="AL92" s="14">
        <f>Assets!AL75</f>
        <v>0</v>
      </c>
      <c r="AM92" s="14">
        <f>Assets!AM75</f>
        <v>0</v>
      </c>
      <c r="AN92" s="14">
        <f>Assets!AN75</f>
        <v>0</v>
      </c>
      <c r="AO92" s="14">
        <f>Assets!AO75</f>
        <v>0</v>
      </c>
      <c r="AP92" s="14">
        <f>Assets!AP75</f>
        <v>0</v>
      </c>
      <c r="AQ92" s="14">
        <f>Assets!AQ75</f>
        <v>0</v>
      </c>
      <c r="AR92" s="14">
        <f>Assets!AR75</f>
        <v>0</v>
      </c>
      <c r="AS92" s="14">
        <f>Assets!AS75</f>
        <v>0</v>
      </c>
    </row>
    <row r="93" spans="2:45" outlineLevel="1" x14ac:dyDescent="0.15">
      <c r="B93" s="339" t="str">
        <f>Assets!B76</f>
        <v>Leashold Improvements</v>
      </c>
      <c r="C93" s="339"/>
      <c r="D93" s="339"/>
      <c r="E93" s="339"/>
      <c r="F93" s="339"/>
      <c r="G93" s="339"/>
      <c r="I93" s="184">
        <v>1</v>
      </c>
      <c r="J93" s="14">
        <f>Assets!J76</f>
        <v>200000</v>
      </c>
      <c r="K93" s="14">
        <f>Assets!K76</f>
        <v>0</v>
      </c>
      <c r="L93" s="14">
        <f>Assets!L76</f>
        <v>0</v>
      </c>
      <c r="M93" s="14">
        <f>Assets!M76</f>
        <v>0</v>
      </c>
      <c r="N93" s="14">
        <f>Assets!N76</f>
        <v>0</v>
      </c>
      <c r="O93" s="14">
        <f>Assets!O76</f>
        <v>0</v>
      </c>
      <c r="P93" s="14">
        <f>Assets!P76</f>
        <v>0</v>
      </c>
      <c r="Q93" s="14">
        <f>Assets!Q76</f>
        <v>0</v>
      </c>
      <c r="R93" s="14">
        <f>Assets!R76</f>
        <v>0</v>
      </c>
      <c r="S93" s="14">
        <f>Assets!S76</f>
        <v>0</v>
      </c>
      <c r="T93" s="14">
        <f>Assets!T76</f>
        <v>0</v>
      </c>
      <c r="U93" s="14">
        <f>Assets!U76</f>
        <v>0</v>
      </c>
      <c r="V93" s="14">
        <f>Assets!V76</f>
        <v>0</v>
      </c>
      <c r="W93" s="14">
        <f>Assets!W76</f>
        <v>0</v>
      </c>
      <c r="X93" s="14">
        <f>Assets!X76</f>
        <v>0</v>
      </c>
      <c r="Y93" s="14">
        <f>Assets!Y76</f>
        <v>0</v>
      </c>
      <c r="Z93" s="14">
        <f>Assets!Z76</f>
        <v>0</v>
      </c>
      <c r="AA93" s="14">
        <f>Assets!AA76</f>
        <v>0</v>
      </c>
      <c r="AB93" s="14">
        <f>Assets!AB76</f>
        <v>0</v>
      </c>
      <c r="AC93" s="14">
        <f>Assets!AC76</f>
        <v>0</v>
      </c>
      <c r="AD93" s="14">
        <f>Assets!AD76</f>
        <v>0</v>
      </c>
      <c r="AE93" s="14">
        <f>Assets!AE76</f>
        <v>0</v>
      </c>
      <c r="AF93" s="14">
        <f>Assets!AF76</f>
        <v>0</v>
      </c>
      <c r="AG93" s="14">
        <f>Assets!AG76</f>
        <v>0</v>
      </c>
      <c r="AH93" s="14">
        <f>Assets!AH76</f>
        <v>0</v>
      </c>
      <c r="AI93" s="14">
        <f>Assets!AI76</f>
        <v>0</v>
      </c>
      <c r="AJ93" s="14">
        <f>Assets!AJ76</f>
        <v>0</v>
      </c>
      <c r="AK93" s="14">
        <f>Assets!AK76</f>
        <v>0</v>
      </c>
      <c r="AL93" s="14">
        <f>Assets!AL76</f>
        <v>0</v>
      </c>
      <c r="AM93" s="14">
        <f>Assets!AM76</f>
        <v>0</v>
      </c>
      <c r="AN93" s="14">
        <f>Assets!AN76</f>
        <v>0</v>
      </c>
      <c r="AO93" s="14">
        <f>Assets!AO76</f>
        <v>0</v>
      </c>
      <c r="AP93" s="14">
        <f>Assets!AP76</f>
        <v>0</v>
      </c>
      <c r="AQ93" s="14">
        <f>Assets!AQ76</f>
        <v>0</v>
      </c>
      <c r="AR93" s="14">
        <f>Assets!AR76</f>
        <v>0</v>
      </c>
      <c r="AS93" s="14">
        <f>Assets!AS76</f>
        <v>0</v>
      </c>
    </row>
    <row r="94" spans="2:45" outlineLevel="1" x14ac:dyDescent="0.15">
      <c r="B94" s="341" t="str">
        <f>"Total "&amp;B91</f>
        <v>Total Fixed Assets Capital Expenditure</v>
      </c>
      <c r="C94" s="341"/>
      <c r="D94" s="341"/>
      <c r="E94" s="341"/>
      <c r="F94" s="341"/>
      <c r="G94" s="341"/>
      <c r="I94" s="14"/>
      <c r="J94" s="37">
        <f t="shared" ref="J94:AS94" si="21">SUM(J92:J93)</f>
        <v>210000</v>
      </c>
      <c r="K94" s="18">
        <f t="shared" si="21"/>
        <v>0</v>
      </c>
      <c r="L94" s="18">
        <f t="shared" si="21"/>
        <v>0</v>
      </c>
      <c r="M94" s="18">
        <f t="shared" si="21"/>
        <v>0</v>
      </c>
      <c r="N94" s="18">
        <f t="shared" si="21"/>
        <v>0</v>
      </c>
      <c r="O94" s="18">
        <f t="shared" si="21"/>
        <v>0</v>
      </c>
      <c r="P94" s="18">
        <f t="shared" si="21"/>
        <v>0</v>
      </c>
      <c r="Q94" s="18">
        <f t="shared" si="21"/>
        <v>0</v>
      </c>
      <c r="R94" s="18">
        <f t="shared" si="21"/>
        <v>0</v>
      </c>
      <c r="S94" s="18">
        <f t="shared" si="21"/>
        <v>0</v>
      </c>
      <c r="T94" s="18">
        <f t="shared" si="21"/>
        <v>0</v>
      </c>
      <c r="U94" s="18">
        <f t="shared" si="21"/>
        <v>0</v>
      </c>
      <c r="V94" s="18">
        <f t="shared" si="21"/>
        <v>0</v>
      </c>
      <c r="W94" s="18">
        <f t="shared" si="21"/>
        <v>0</v>
      </c>
      <c r="X94" s="18">
        <f t="shared" si="21"/>
        <v>0</v>
      </c>
      <c r="Y94" s="18">
        <f t="shared" si="21"/>
        <v>0</v>
      </c>
      <c r="Z94" s="18">
        <f t="shared" si="21"/>
        <v>0</v>
      </c>
      <c r="AA94" s="18">
        <f t="shared" si="21"/>
        <v>0</v>
      </c>
      <c r="AB94" s="18">
        <f t="shared" si="21"/>
        <v>0</v>
      </c>
      <c r="AC94" s="18">
        <f t="shared" si="21"/>
        <v>0</v>
      </c>
      <c r="AD94" s="18">
        <f t="shared" si="21"/>
        <v>0</v>
      </c>
      <c r="AE94" s="18">
        <f t="shared" si="21"/>
        <v>0</v>
      </c>
      <c r="AF94" s="18">
        <f t="shared" si="21"/>
        <v>0</v>
      </c>
      <c r="AG94" s="18">
        <f t="shared" si="21"/>
        <v>0</v>
      </c>
      <c r="AH94" s="18">
        <f t="shared" si="21"/>
        <v>0</v>
      </c>
      <c r="AI94" s="18">
        <f t="shared" si="21"/>
        <v>0</v>
      </c>
      <c r="AJ94" s="18">
        <f t="shared" si="21"/>
        <v>0</v>
      </c>
      <c r="AK94" s="18">
        <f t="shared" si="21"/>
        <v>0</v>
      </c>
      <c r="AL94" s="18">
        <f t="shared" si="21"/>
        <v>0</v>
      </c>
      <c r="AM94" s="18">
        <f t="shared" si="21"/>
        <v>0</v>
      </c>
      <c r="AN94" s="18">
        <f t="shared" si="21"/>
        <v>0</v>
      </c>
      <c r="AO94" s="18">
        <f t="shared" si="21"/>
        <v>0</v>
      </c>
      <c r="AP94" s="18">
        <f t="shared" si="21"/>
        <v>0</v>
      </c>
      <c r="AQ94" s="18">
        <f t="shared" si="21"/>
        <v>0</v>
      </c>
      <c r="AR94" s="18">
        <f t="shared" si="21"/>
        <v>0</v>
      </c>
      <c r="AS94" s="18">
        <f t="shared" si="21"/>
        <v>0</v>
      </c>
    </row>
    <row r="95" spans="2:45" outlineLevel="1" x14ac:dyDescent="0.15"/>
    <row r="96" spans="2:45" outlineLevel="1" x14ac:dyDescent="0.15">
      <c r="B96" s="108" t="s">
        <v>517</v>
      </c>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row>
    <row r="97" spans="2:45" outlineLevel="1" x14ac:dyDescent="0.15"/>
    <row r="98" spans="2:45" outlineLevel="1" x14ac:dyDescent="0.15">
      <c r="B98" s="16" t="s">
        <v>518</v>
      </c>
    </row>
    <row r="99" spans="2:45" outlineLevel="1" x14ac:dyDescent="0.15">
      <c r="B99" s="107" t="s">
        <v>498</v>
      </c>
      <c r="J99" s="28">
        <f t="shared" ref="J99:AS99" si="22">YEAR(J$7)+IF(MONTH(J$7)&gt;DD_VAT_Yr_End_Mth,1,0)</f>
        <v>2024</v>
      </c>
      <c r="K99" s="28">
        <f t="shared" si="22"/>
        <v>2024</v>
      </c>
      <c r="L99" s="28">
        <f t="shared" si="22"/>
        <v>2024</v>
      </c>
      <c r="M99" s="28">
        <f t="shared" si="22"/>
        <v>2024</v>
      </c>
      <c r="N99" s="28">
        <f t="shared" si="22"/>
        <v>2024</v>
      </c>
      <c r="O99" s="28">
        <f t="shared" si="22"/>
        <v>2024</v>
      </c>
      <c r="P99" s="28">
        <f t="shared" si="22"/>
        <v>2024</v>
      </c>
      <c r="Q99" s="28">
        <f t="shared" si="22"/>
        <v>2024</v>
      </c>
      <c r="R99" s="28">
        <f t="shared" si="22"/>
        <v>2024</v>
      </c>
      <c r="S99" s="28">
        <f t="shared" si="22"/>
        <v>2024</v>
      </c>
      <c r="T99" s="28">
        <f t="shared" si="22"/>
        <v>2024</v>
      </c>
      <c r="U99" s="28">
        <f t="shared" si="22"/>
        <v>2025</v>
      </c>
      <c r="V99" s="28">
        <f t="shared" si="22"/>
        <v>2025</v>
      </c>
      <c r="W99" s="28">
        <f t="shared" si="22"/>
        <v>2025</v>
      </c>
      <c r="X99" s="28">
        <f t="shared" si="22"/>
        <v>2025</v>
      </c>
      <c r="Y99" s="28">
        <f t="shared" si="22"/>
        <v>2025</v>
      </c>
      <c r="Z99" s="28">
        <f t="shared" si="22"/>
        <v>2025</v>
      </c>
      <c r="AA99" s="28">
        <f t="shared" si="22"/>
        <v>2025</v>
      </c>
      <c r="AB99" s="28">
        <f t="shared" si="22"/>
        <v>2025</v>
      </c>
      <c r="AC99" s="28">
        <f t="shared" si="22"/>
        <v>2025</v>
      </c>
      <c r="AD99" s="28">
        <f t="shared" si="22"/>
        <v>2025</v>
      </c>
      <c r="AE99" s="28">
        <f t="shared" si="22"/>
        <v>2025</v>
      </c>
      <c r="AF99" s="28">
        <f t="shared" si="22"/>
        <v>2025</v>
      </c>
      <c r="AG99" s="28">
        <f t="shared" si="22"/>
        <v>2026</v>
      </c>
      <c r="AH99" s="28">
        <f t="shared" si="22"/>
        <v>2026</v>
      </c>
      <c r="AI99" s="28">
        <f t="shared" si="22"/>
        <v>2026</v>
      </c>
      <c r="AJ99" s="28">
        <f t="shared" si="22"/>
        <v>2026</v>
      </c>
      <c r="AK99" s="28">
        <f t="shared" si="22"/>
        <v>2026</v>
      </c>
      <c r="AL99" s="28">
        <f t="shared" si="22"/>
        <v>2026</v>
      </c>
      <c r="AM99" s="28">
        <f t="shared" si="22"/>
        <v>2026</v>
      </c>
      <c r="AN99" s="28">
        <f t="shared" si="22"/>
        <v>2026</v>
      </c>
      <c r="AO99" s="28">
        <f t="shared" si="22"/>
        <v>2026</v>
      </c>
      <c r="AP99" s="28">
        <f t="shared" si="22"/>
        <v>2026</v>
      </c>
      <c r="AQ99" s="28">
        <f t="shared" si="22"/>
        <v>2026</v>
      </c>
      <c r="AR99" s="28">
        <f t="shared" si="22"/>
        <v>2026</v>
      </c>
      <c r="AS99" s="28">
        <f t="shared" si="22"/>
        <v>2027</v>
      </c>
    </row>
    <row r="100" spans="2:45" hidden="1" outlineLevel="2" x14ac:dyDescent="0.15">
      <c r="B100" s="107" t="s">
        <v>519</v>
      </c>
      <c r="J100" s="17">
        <f t="shared" ref="J100:AS100" si="23">MOD(MONTH(J$7)-DD_VAT_Yr_End_Mth-1,Ts_Mths_In_Yr)+1</f>
        <v>2</v>
      </c>
      <c r="K100" s="17">
        <f t="shared" si="23"/>
        <v>3</v>
      </c>
      <c r="L100" s="17">
        <f t="shared" si="23"/>
        <v>4</v>
      </c>
      <c r="M100" s="17">
        <f t="shared" si="23"/>
        <v>5</v>
      </c>
      <c r="N100" s="17">
        <f t="shared" si="23"/>
        <v>6</v>
      </c>
      <c r="O100" s="17">
        <f t="shared" si="23"/>
        <v>7</v>
      </c>
      <c r="P100" s="17">
        <f t="shared" si="23"/>
        <v>8</v>
      </c>
      <c r="Q100" s="17">
        <f t="shared" si="23"/>
        <v>9</v>
      </c>
      <c r="R100" s="17">
        <f t="shared" si="23"/>
        <v>10</v>
      </c>
      <c r="S100" s="17">
        <f t="shared" si="23"/>
        <v>11</v>
      </c>
      <c r="T100" s="17">
        <f t="shared" si="23"/>
        <v>12</v>
      </c>
      <c r="U100" s="17">
        <f t="shared" si="23"/>
        <v>1</v>
      </c>
      <c r="V100" s="17">
        <f t="shared" si="23"/>
        <v>2</v>
      </c>
      <c r="W100" s="17">
        <f t="shared" si="23"/>
        <v>3</v>
      </c>
      <c r="X100" s="17">
        <f t="shared" si="23"/>
        <v>4</v>
      </c>
      <c r="Y100" s="17">
        <f t="shared" si="23"/>
        <v>5</v>
      </c>
      <c r="Z100" s="17">
        <f t="shared" si="23"/>
        <v>6</v>
      </c>
      <c r="AA100" s="17">
        <f t="shared" si="23"/>
        <v>7</v>
      </c>
      <c r="AB100" s="17">
        <f t="shared" si="23"/>
        <v>8</v>
      </c>
      <c r="AC100" s="17">
        <f t="shared" si="23"/>
        <v>9</v>
      </c>
      <c r="AD100" s="17">
        <f t="shared" si="23"/>
        <v>10</v>
      </c>
      <c r="AE100" s="17">
        <f t="shared" si="23"/>
        <v>11</v>
      </c>
      <c r="AF100" s="17">
        <f t="shared" si="23"/>
        <v>12</v>
      </c>
      <c r="AG100" s="17">
        <f t="shared" si="23"/>
        <v>1</v>
      </c>
      <c r="AH100" s="17">
        <f t="shared" si="23"/>
        <v>2</v>
      </c>
      <c r="AI100" s="17">
        <f t="shared" si="23"/>
        <v>3</v>
      </c>
      <c r="AJ100" s="17">
        <f t="shared" si="23"/>
        <v>4</v>
      </c>
      <c r="AK100" s="17">
        <f t="shared" si="23"/>
        <v>5</v>
      </c>
      <c r="AL100" s="17">
        <f t="shared" si="23"/>
        <v>6</v>
      </c>
      <c r="AM100" s="17">
        <f t="shared" si="23"/>
        <v>7</v>
      </c>
      <c r="AN100" s="17">
        <f t="shared" si="23"/>
        <v>8</v>
      </c>
      <c r="AO100" s="17">
        <f t="shared" si="23"/>
        <v>9</v>
      </c>
      <c r="AP100" s="17">
        <f t="shared" si="23"/>
        <v>10</v>
      </c>
      <c r="AQ100" s="17">
        <f t="shared" si="23"/>
        <v>11</v>
      </c>
      <c r="AR100" s="17">
        <f t="shared" si="23"/>
        <v>12</v>
      </c>
      <c r="AS100" s="17">
        <f t="shared" si="23"/>
        <v>1</v>
      </c>
    </row>
    <row r="101" spans="2:45" outlineLevel="1" collapsed="1" x14ac:dyDescent="0.15">
      <c r="B101" s="107" t="str">
        <f>B34</f>
        <v>VAT Assessment Frequency (Year-Specific)</v>
      </c>
      <c r="J101" s="30" t="str">
        <f>INDEX($J34:J34,1,MATCH(J99,$J99:J99,0))</f>
        <v>Quarterly</v>
      </c>
      <c r="K101" s="30" t="str">
        <f>INDEX($J34:K34,1,MATCH(K99,$J99:K99,0))</f>
        <v>Quarterly</v>
      </c>
      <c r="L101" s="30" t="str">
        <f>INDEX($J34:L34,1,MATCH(L99,$J99:L99,0))</f>
        <v>Quarterly</v>
      </c>
      <c r="M101" s="30" t="str">
        <f>INDEX($J34:M34,1,MATCH(M99,$J99:M99,0))</f>
        <v>Quarterly</v>
      </c>
      <c r="N101" s="30" t="str">
        <f>INDEX($J34:N34,1,MATCH(N99,$J99:N99,0))</f>
        <v>Quarterly</v>
      </c>
      <c r="O101" s="30" t="str">
        <f>INDEX($J34:O34,1,MATCH(O99,$J99:O99,0))</f>
        <v>Quarterly</v>
      </c>
      <c r="P101" s="30" t="str">
        <f>INDEX($J34:P34,1,MATCH(P99,$J99:P99,0))</f>
        <v>Quarterly</v>
      </c>
      <c r="Q101" s="30" t="str">
        <f>INDEX($J34:Q34,1,MATCH(Q99,$J99:Q99,0))</f>
        <v>Quarterly</v>
      </c>
      <c r="R101" s="30" t="str">
        <f>INDEX($J34:R34,1,MATCH(R99,$J99:R99,0))</f>
        <v>Quarterly</v>
      </c>
      <c r="S101" s="30" t="str">
        <f>INDEX($J34:S34,1,MATCH(S99,$J99:S99,0))</f>
        <v>Quarterly</v>
      </c>
      <c r="T101" s="30" t="str">
        <f>INDEX($J34:T34,1,MATCH(T99,$J99:T99,0))</f>
        <v>Quarterly</v>
      </c>
      <c r="U101" s="30" t="str">
        <f>INDEX($J34:U34,1,MATCH(U99,$J99:U99,0))</f>
        <v>Quarterly</v>
      </c>
      <c r="V101" s="30" t="str">
        <f>INDEX($J34:V34,1,MATCH(V99,$J99:V99,0))</f>
        <v>Quarterly</v>
      </c>
      <c r="W101" s="30" t="str">
        <f>INDEX($J34:W34,1,MATCH(W99,$J99:W99,0))</f>
        <v>Quarterly</v>
      </c>
      <c r="X101" s="30" t="str">
        <f>INDEX($J34:X34,1,MATCH(X99,$J99:X99,0))</f>
        <v>Quarterly</v>
      </c>
      <c r="Y101" s="30" t="str">
        <f>INDEX($J34:Y34,1,MATCH(Y99,$J99:Y99,0))</f>
        <v>Quarterly</v>
      </c>
      <c r="Z101" s="30" t="str">
        <f>INDEX($J34:Z34,1,MATCH(Z99,$J99:Z99,0))</f>
        <v>Quarterly</v>
      </c>
      <c r="AA101" s="30" t="str">
        <f>INDEX($J34:AA34,1,MATCH(AA99,$J99:AA99,0))</f>
        <v>Quarterly</v>
      </c>
      <c r="AB101" s="30" t="str">
        <f>INDEX($J34:AB34,1,MATCH(AB99,$J99:AB99,0))</f>
        <v>Quarterly</v>
      </c>
      <c r="AC101" s="30" t="str">
        <f>INDEX($J34:AC34,1,MATCH(AC99,$J99:AC99,0))</f>
        <v>Quarterly</v>
      </c>
      <c r="AD101" s="30" t="str">
        <f>INDEX($J34:AD34,1,MATCH(AD99,$J99:AD99,0))</f>
        <v>Quarterly</v>
      </c>
      <c r="AE101" s="30" t="str">
        <f>INDEX($J34:AE34,1,MATCH(AE99,$J99:AE99,0))</f>
        <v>Quarterly</v>
      </c>
      <c r="AF101" s="30" t="str">
        <f>INDEX($J34:AF34,1,MATCH(AF99,$J99:AF99,0))</f>
        <v>Quarterly</v>
      </c>
      <c r="AG101" s="30" t="str">
        <f>INDEX($J34:AG34,1,MATCH(AG99,$J99:AG99,0))</f>
        <v>Quarterly</v>
      </c>
      <c r="AH101" s="30" t="str">
        <f>INDEX($J34:AH34,1,MATCH(AH99,$J99:AH99,0))</f>
        <v>Quarterly</v>
      </c>
      <c r="AI101" s="30" t="str">
        <f>INDEX($J34:AI34,1,MATCH(AI99,$J99:AI99,0))</f>
        <v>Quarterly</v>
      </c>
      <c r="AJ101" s="30" t="str">
        <f>INDEX($J34:AJ34,1,MATCH(AJ99,$J99:AJ99,0))</f>
        <v>Quarterly</v>
      </c>
      <c r="AK101" s="30" t="str">
        <f>INDEX($J34:AK34,1,MATCH(AK99,$J99:AK99,0))</f>
        <v>Quarterly</v>
      </c>
      <c r="AL101" s="30" t="str">
        <f>INDEX($J34:AL34,1,MATCH(AL99,$J99:AL99,0))</f>
        <v>Quarterly</v>
      </c>
      <c r="AM101" s="30" t="str">
        <f>INDEX($J34:AM34,1,MATCH(AM99,$J99:AM99,0))</f>
        <v>Quarterly</v>
      </c>
      <c r="AN101" s="30" t="str">
        <f>INDEX($J34:AN34,1,MATCH(AN99,$J99:AN99,0))</f>
        <v>Quarterly</v>
      </c>
      <c r="AO101" s="30" t="str">
        <f>INDEX($J34:AO34,1,MATCH(AO99,$J99:AO99,0))</f>
        <v>Quarterly</v>
      </c>
      <c r="AP101" s="30" t="str">
        <f>INDEX($J34:AP34,1,MATCH(AP99,$J99:AP99,0))</f>
        <v>Quarterly</v>
      </c>
      <c r="AQ101" s="30" t="str">
        <f>INDEX($J34:AQ34,1,MATCH(AQ99,$J99:AQ99,0))</f>
        <v>Quarterly</v>
      </c>
      <c r="AR101" s="30" t="str">
        <f>INDEX($J34:AR34,1,MATCH(AR99,$J99:AR99,0))</f>
        <v>Quarterly</v>
      </c>
      <c r="AS101" s="30" t="str">
        <f>INDEX($J34:AS34,1,MATCH(AS99,$J99:AS99,0))</f>
        <v>Quarterly</v>
      </c>
    </row>
    <row r="102" spans="2:45" outlineLevel="1" x14ac:dyDescent="0.15"/>
    <row r="103" spans="2:45" outlineLevel="1" x14ac:dyDescent="0.15">
      <c r="B103" s="16" t="s">
        <v>517</v>
      </c>
    </row>
    <row r="104" spans="2:45" outlineLevel="1" x14ac:dyDescent="0.15">
      <c r="B104" s="107" t="str">
        <f>"VAT on "&amp;B51</f>
        <v>VAT on Revenue</v>
      </c>
      <c r="J104" s="14">
        <f t="shared" ref="J104:AS104" si="24">J179-J57</f>
        <v>108</v>
      </c>
      <c r="K104" s="14">
        <f t="shared" si="24"/>
        <v>108.66666666666697</v>
      </c>
      <c r="L104" s="14">
        <f t="shared" si="24"/>
        <v>109.33333333333303</v>
      </c>
      <c r="M104" s="14">
        <f t="shared" si="24"/>
        <v>110</v>
      </c>
      <c r="N104" s="14">
        <f t="shared" si="24"/>
        <v>110.66666666666652</v>
      </c>
      <c r="O104" s="14">
        <f t="shared" si="24"/>
        <v>111.33333333333303</v>
      </c>
      <c r="P104" s="14">
        <f t="shared" si="24"/>
        <v>192</v>
      </c>
      <c r="Q104" s="14">
        <f t="shared" si="24"/>
        <v>192.66666666666697</v>
      </c>
      <c r="R104" s="14">
        <f t="shared" si="24"/>
        <v>193.33333333333303</v>
      </c>
      <c r="S104" s="14">
        <f t="shared" si="24"/>
        <v>194</v>
      </c>
      <c r="T104" s="14">
        <f t="shared" si="24"/>
        <v>194.66666666666697</v>
      </c>
      <c r="U104" s="14">
        <f t="shared" si="24"/>
        <v>195.33333333333303</v>
      </c>
      <c r="V104" s="14">
        <f t="shared" si="24"/>
        <v>196</v>
      </c>
      <c r="W104" s="14">
        <f t="shared" si="24"/>
        <v>196.66666666666697</v>
      </c>
      <c r="X104" s="14">
        <f t="shared" si="24"/>
        <v>197.33333333333394</v>
      </c>
      <c r="Y104" s="14">
        <f t="shared" si="24"/>
        <v>198</v>
      </c>
      <c r="Z104" s="14">
        <f t="shared" si="24"/>
        <v>198.66666666666697</v>
      </c>
      <c r="AA104" s="14">
        <f t="shared" si="24"/>
        <v>199.33333333333303</v>
      </c>
      <c r="AB104" s="14">
        <f t="shared" si="24"/>
        <v>280</v>
      </c>
      <c r="AC104" s="14">
        <f t="shared" si="24"/>
        <v>280.66666666666697</v>
      </c>
      <c r="AD104" s="14">
        <f t="shared" si="24"/>
        <v>281.33333333333303</v>
      </c>
      <c r="AE104" s="14">
        <f t="shared" si="24"/>
        <v>282</v>
      </c>
      <c r="AF104" s="14">
        <f t="shared" si="24"/>
        <v>282.66666666666697</v>
      </c>
      <c r="AG104" s="14">
        <f t="shared" si="24"/>
        <v>283.33333333333303</v>
      </c>
      <c r="AH104" s="14">
        <f t="shared" si="24"/>
        <v>284</v>
      </c>
      <c r="AI104" s="14">
        <f t="shared" si="24"/>
        <v>284.66666666666606</v>
      </c>
      <c r="AJ104" s="14">
        <f t="shared" si="24"/>
        <v>285.33333333333394</v>
      </c>
      <c r="AK104" s="14">
        <f t="shared" si="24"/>
        <v>286</v>
      </c>
      <c r="AL104" s="14">
        <f t="shared" si="24"/>
        <v>286.66666666666697</v>
      </c>
      <c r="AM104" s="14">
        <f t="shared" si="24"/>
        <v>287.33333333333394</v>
      </c>
      <c r="AN104" s="14">
        <f t="shared" si="24"/>
        <v>288</v>
      </c>
      <c r="AO104" s="14">
        <f t="shared" si="24"/>
        <v>288.66666666666606</v>
      </c>
      <c r="AP104" s="14">
        <f t="shared" si="24"/>
        <v>289.33333333333303</v>
      </c>
      <c r="AQ104" s="14">
        <f t="shared" si="24"/>
        <v>290</v>
      </c>
      <c r="AR104" s="14">
        <f t="shared" si="24"/>
        <v>290.66666666666606</v>
      </c>
      <c r="AS104" s="14">
        <f t="shared" si="24"/>
        <v>291.33333333333303</v>
      </c>
    </row>
    <row r="105" spans="2:45" outlineLevel="1" x14ac:dyDescent="0.15">
      <c r="B105" s="107" t="str">
        <f>"VAT on "&amp;B59</f>
        <v>VAT on Other Revenue</v>
      </c>
      <c r="J105" s="24">
        <f t="shared" ref="J105:AS105" si="25">J184-J62</f>
        <v>0</v>
      </c>
      <c r="K105" s="24">
        <f t="shared" si="25"/>
        <v>0</v>
      </c>
      <c r="L105" s="24">
        <f t="shared" si="25"/>
        <v>0</v>
      </c>
      <c r="M105" s="24">
        <f t="shared" si="25"/>
        <v>0</v>
      </c>
      <c r="N105" s="24">
        <f t="shared" si="25"/>
        <v>0</v>
      </c>
      <c r="O105" s="24">
        <f t="shared" si="25"/>
        <v>0</v>
      </c>
      <c r="P105" s="24">
        <f t="shared" si="25"/>
        <v>0</v>
      </c>
      <c r="Q105" s="24">
        <f t="shared" si="25"/>
        <v>0</v>
      </c>
      <c r="R105" s="24">
        <f t="shared" si="25"/>
        <v>0</v>
      </c>
      <c r="S105" s="24">
        <f t="shared" si="25"/>
        <v>0</v>
      </c>
      <c r="T105" s="24">
        <f t="shared" si="25"/>
        <v>0</v>
      </c>
      <c r="U105" s="24">
        <f t="shared" si="25"/>
        <v>0</v>
      </c>
      <c r="V105" s="24">
        <f t="shared" si="25"/>
        <v>0</v>
      </c>
      <c r="W105" s="24">
        <f t="shared" si="25"/>
        <v>0</v>
      </c>
      <c r="X105" s="24">
        <f t="shared" si="25"/>
        <v>0</v>
      </c>
      <c r="Y105" s="24">
        <f t="shared" si="25"/>
        <v>0</v>
      </c>
      <c r="Z105" s="24">
        <f t="shared" si="25"/>
        <v>0</v>
      </c>
      <c r="AA105" s="24">
        <f t="shared" si="25"/>
        <v>0</v>
      </c>
      <c r="AB105" s="24">
        <f t="shared" si="25"/>
        <v>0</v>
      </c>
      <c r="AC105" s="24">
        <f t="shared" si="25"/>
        <v>0</v>
      </c>
      <c r="AD105" s="24">
        <f t="shared" si="25"/>
        <v>0</v>
      </c>
      <c r="AE105" s="24">
        <f t="shared" si="25"/>
        <v>0</v>
      </c>
      <c r="AF105" s="24">
        <f t="shared" si="25"/>
        <v>0</v>
      </c>
      <c r="AG105" s="24">
        <f t="shared" si="25"/>
        <v>0</v>
      </c>
      <c r="AH105" s="24">
        <f t="shared" si="25"/>
        <v>0</v>
      </c>
      <c r="AI105" s="24">
        <f t="shared" si="25"/>
        <v>0</v>
      </c>
      <c r="AJ105" s="24">
        <f t="shared" si="25"/>
        <v>0</v>
      </c>
      <c r="AK105" s="24">
        <f t="shared" si="25"/>
        <v>0</v>
      </c>
      <c r="AL105" s="24">
        <f t="shared" si="25"/>
        <v>0</v>
      </c>
      <c r="AM105" s="24">
        <f t="shared" si="25"/>
        <v>0</v>
      </c>
      <c r="AN105" s="24">
        <f t="shared" si="25"/>
        <v>0</v>
      </c>
      <c r="AO105" s="24">
        <f t="shared" si="25"/>
        <v>0</v>
      </c>
      <c r="AP105" s="24">
        <f t="shared" si="25"/>
        <v>0</v>
      </c>
      <c r="AQ105" s="24">
        <f t="shared" si="25"/>
        <v>0</v>
      </c>
      <c r="AR105" s="24">
        <f t="shared" si="25"/>
        <v>0</v>
      </c>
      <c r="AS105" s="24">
        <f t="shared" si="25"/>
        <v>0</v>
      </c>
    </row>
    <row r="106" spans="2:45" outlineLevel="1" x14ac:dyDescent="0.15">
      <c r="B106" s="107" t="str">
        <f>"(Less) VAT on "&amp;B66</f>
        <v>(Less) VAT on Cost of Goods Sold</v>
      </c>
      <c r="J106" s="14">
        <f t="shared" ref="J106:AS106" si="26">-(J192-J70)</f>
        <v>0</v>
      </c>
      <c r="K106" s="14">
        <f t="shared" si="26"/>
        <v>0</v>
      </c>
      <c r="L106" s="14">
        <f t="shared" si="26"/>
        <v>0</v>
      </c>
      <c r="M106" s="14">
        <f t="shared" si="26"/>
        <v>0</v>
      </c>
      <c r="N106" s="14">
        <f t="shared" si="26"/>
        <v>0</v>
      </c>
      <c r="O106" s="14">
        <f t="shared" si="26"/>
        <v>0</v>
      </c>
      <c r="P106" s="14">
        <f t="shared" si="26"/>
        <v>0</v>
      </c>
      <c r="Q106" s="14">
        <f t="shared" si="26"/>
        <v>0</v>
      </c>
      <c r="R106" s="14">
        <f t="shared" si="26"/>
        <v>0</v>
      </c>
      <c r="S106" s="14">
        <f t="shared" si="26"/>
        <v>0</v>
      </c>
      <c r="T106" s="14">
        <f t="shared" si="26"/>
        <v>0</v>
      </c>
      <c r="U106" s="14">
        <f t="shared" si="26"/>
        <v>0</v>
      </c>
      <c r="V106" s="14">
        <f t="shared" si="26"/>
        <v>0</v>
      </c>
      <c r="W106" s="14">
        <f t="shared" si="26"/>
        <v>0</v>
      </c>
      <c r="X106" s="14">
        <f t="shared" si="26"/>
        <v>0</v>
      </c>
      <c r="Y106" s="14">
        <f t="shared" si="26"/>
        <v>0</v>
      </c>
      <c r="Z106" s="14">
        <f t="shared" si="26"/>
        <v>0</v>
      </c>
      <c r="AA106" s="14">
        <f t="shared" si="26"/>
        <v>0</v>
      </c>
      <c r="AB106" s="14">
        <f t="shared" si="26"/>
        <v>0</v>
      </c>
      <c r="AC106" s="14">
        <f t="shared" si="26"/>
        <v>0</v>
      </c>
      <c r="AD106" s="14">
        <f t="shared" si="26"/>
        <v>0</v>
      </c>
      <c r="AE106" s="14">
        <f t="shared" si="26"/>
        <v>0</v>
      </c>
      <c r="AF106" s="14">
        <f t="shared" si="26"/>
        <v>0</v>
      </c>
      <c r="AG106" s="14">
        <f t="shared" si="26"/>
        <v>0</v>
      </c>
      <c r="AH106" s="14">
        <f t="shared" si="26"/>
        <v>0</v>
      </c>
      <c r="AI106" s="14">
        <f t="shared" si="26"/>
        <v>0</v>
      </c>
      <c r="AJ106" s="14">
        <f t="shared" si="26"/>
        <v>0</v>
      </c>
      <c r="AK106" s="14">
        <f t="shared" si="26"/>
        <v>0</v>
      </c>
      <c r="AL106" s="14">
        <f t="shared" si="26"/>
        <v>0</v>
      </c>
      <c r="AM106" s="14">
        <f t="shared" si="26"/>
        <v>0</v>
      </c>
      <c r="AN106" s="14">
        <f t="shared" si="26"/>
        <v>0</v>
      </c>
      <c r="AO106" s="14">
        <f t="shared" si="26"/>
        <v>0</v>
      </c>
      <c r="AP106" s="14">
        <f t="shared" si="26"/>
        <v>0</v>
      </c>
      <c r="AQ106" s="14">
        <f t="shared" si="26"/>
        <v>0</v>
      </c>
      <c r="AR106" s="14">
        <f t="shared" si="26"/>
        <v>0</v>
      </c>
      <c r="AS106" s="14">
        <f t="shared" si="26"/>
        <v>0</v>
      </c>
    </row>
    <row r="107" spans="2:45" outlineLevel="1" x14ac:dyDescent="0.15">
      <c r="B107" s="107" t="str">
        <f>"(Less) VAT on "&amp;B72</f>
        <v>(Less) VAT on Inventory Purchases</v>
      </c>
      <c r="J107" s="14">
        <f t="shared" ref="J107:AS107" ca="1" si="27">-(J196-J74)</f>
        <v>55.800000000000011</v>
      </c>
      <c r="K107" s="14">
        <f t="shared" ca="1" si="27"/>
        <v>0</v>
      </c>
      <c r="L107" s="14">
        <f t="shared" ca="1" si="27"/>
        <v>0</v>
      </c>
      <c r="M107" s="14">
        <f t="shared" ca="1" si="27"/>
        <v>0</v>
      </c>
      <c r="N107" s="14">
        <f t="shared" ca="1" si="27"/>
        <v>0</v>
      </c>
      <c r="O107" s="14">
        <f t="shared" ca="1" si="27"/>
        <v>0</v>
      </c>
      <c r="P107" s="14">
        <f t="shared" ca="1" si="27"/>
        <v>0</v>
      </c>
      <c r="Q107" s="14">
        <f t="shared" ca="1" si="27"/>
        <v>0</v>
      </c>
      <c r="R107" s="14">
        <f t="shared" ca="1" si="27"/>
        <v>0</v>
      </c>
      <c r="S107" s="14">
        <f t="shared" ca="1" si="27"/>
        <v>0</v>
      </c>
      <c r="T107" s="14">
        <f t="shared" ca="1" si="27"/>
        <v>0</v>
      </c>
      <c r="U107" s="14">
        <f t="shared" ca="1" si="27"/>
        <v>0</v>
      </c>
      <c r="V107" s="14">
        <f t="shared" ca="1" si="27"/>
        <v>0</v>
      </c>
      <c r="W107" s="14">
        <f t="shared" ca="1" si="27"/>
        <v>0</v>
      </c>
      <c r="X107" s="14">
        <f t="shared" ca="1" si="27"/>
        <v>0</v>
      </c>
      <c r="Y107" s="14">
        <f t="shared" ca="1" si="27"/>
        <v>0</v>
      </c>
      <c r="Z107" s="14">
        <f t="shared" ca="1" si="27"/>
        <v>0</v>
      </c>
      <c r="AA107" s="14">
        <f t="shared" ca="1" si="27"/>
        <v>0</v>
      </c>
      <c r="AB107" s="14">
        <f t="shared" ca="1" si="27"/>
        <v>0</v>
      </c>
      <c r="AC107" s="14">
        <f t="shared" ca="1" si="27"/>
        <v>0</v>
      </c>
      <c r="AD107" s="14">
        <f t="shared" ca="1" si="27"/>
        <v>0</v>
      </c>
      <c r="AE107" s="14">
        <f t="shared" ca="1" si="27"/>
        <v>0</v>
      </c>
      <c r="AF107" s="14">
        <f t="shared" ca="1" si="27"/>
        <v>0</v>
      </c>
      <c r="AG107" s="14">
        <f t="shared" ca="1" si="27"/>
        <v>0</v>
      </c>
      <c r="AH107" s="14">
        <f t="shared" ca="1" si="27"/>
        <v>0</v>
      </c>
      <c r="AI107" s="14">
        <f t="shared" ca="1" si="27"/>
        <v>0</v>
      </c>
      <c r="AJ107" s="14">
        <f t="shared" ca="1" si="27"/>
        <v>0</v>
      </c>
      <c r="AK107" s="14">
        <f t="shared" ca="1" si="27"/>
        <v>0</v>
      </c>
      <c r="AL107" s="14">
        <f t="shared" ca="1" si="27"/>
        <v>0</v>
      </c>
      <c r="AM107" s="14">
        <f t="shared" ca="1" si="27"/>
        <v>0</v>
      </c>
      <c r="AN107" s="14">
        <f t="shared" ca="1" si="27"/>
        <v>0</v>
      </c>
      <c r="AO107" s="14">
        <f t="shared" ca="1" si="27"/>
        <v>0</v>
      </c>
      <c r="AP107" s="14">
        <f t="shared" ca="1" si="27"/>
        <v>0</v>
      </c>
      <c r="AQ107" s="14">
        <f t="shared" ca="1" si="27"/>
        <v>0</v>
      </c>
      <c r="AR107" s="14">
        <f t="shared" ca="1" si="27"/>
        <v>0</v>
      </c>
      <c r="AS107" s="14">
        <f t="shared" ca="1" si="27"/>
        <v>0</v>
      </c>
    </row>
    <row r="108" spans="2:45" outlineLevel="1" x14ac:dyDescent="0.15">
      <c r="B108" s="107" t="str">
        <f>"(Less) VAT on "&amp;B76</f>
        <v>(Less) VAT on Operating Expenditure</v>
      </c>
      <c r="J108" s="14">
        <f t="shared" ref="J108:AS108" si="28">-(J207-J85)</f>
        <v>-1320.2493391827957</v>
      </c>
      <c r="K108" s="14">
        <f t="shared" si="28"/>
        <v>-1329.4426461093335</v>
      </c>
      <c r="L108" s="14">
        <f t="shared" si="28"/>
        <v>-1330.3131622537639</v>
      </c>
      <c r="M108" s="14">
        <f t="shared" si="28"/>
        <v>-1335.0642964000008</v>
      </c>
      <c r="N108" s="14">
        <f t="shared" si="28"/>
        <v>-1318.1685618288175</v>
      </c>
      <c r="O108" s="14">
        <f t="shared" si="28"/>
        <v>-1328.5805420344086</v>
      </c>
      <c r="P108" s="14">
        <f t="shared" si="28"/>
        <v>-1555.1646860800001</v>
      </c>
      <c r="Q108" s="14">
        <f t="shared" si="28"/>
        <v>-1555.0339562417203</v>
      </c>
      <c r="R108" s="14">
        <f t="shared" si="28"/>
        <v>-1560.6275283306668</v>
      </c>
      <c r="S108" s="14">
        <f t="shared" si="28"/>
        <v>-1574.7324942683872</v>
      </c>
      <c r="T108" s="14">
        <f t="shared" si="28"/>
        <v>-1542.5405013333339</v>
      </c>
      <c r="U108" s="14">
        <f t="shared" si="28"/>
        <v>-1572.5967494744091</v>
      </c>
      <c r="V108" s="14">
        <f t="shared" si="28"/>
        <v>-1559.9308484129033</v>
      </c>
      <c r="W108" s="14">
        <f t="shared" si="28"/>
        <v>-1562.6174768613328</v>
      </c>
      <c r="X108" s="14">
        <f t="shared" si="28"/>
        <v>-1586.0992540731195</v>
      </c>
      <c r="Y108" s="14">
        <f t="shared" si="28"/>
        <v>-1568.1869230000002</v>
      </c>
      <c r="Z108" s="14">
        <f t="shared" si="28"/>
        <v>-1557.8019765230101</v>
      </c>
      <c r="AA108" s="14">
        <f t="shared" si="28"/>
        <v>-1581.7403850176343</v>
      </c>
      <c r="AB108" s="14">
        <f t="shared" si="28"/>
        <v>-1552.5281728000009</v>
      </c>
      <c r="AC108" s="14">
        <f t="shared" si="28"/>
        <v>-1564.0905906984945</v>
      </c>
      <c r="AD108" s="14">
        <f t="shared" si="28"/>
        <v>-1567.904853066666</v>
      </c>
      <c r="AE108" s="14">
        <f t="shared" si="28"/>
        <v>-1571.2429660748385</v>
      </c>
      <c r="AF108" s="14">
        <f t="shared" si="28"/>
        <v>-1562.3149776533328</v>
      </c>
      <c r="AG108" s="14">
        <f t="shared" si="28"/>
        <v>-1579.8652615156998</v>
      </c>
      <c r="AH108" s="14">
        <f t="shared" si="28"/>
        <v>-1555.0093139612909</v>
      </c>
      <c r="AI108" s="14">
        <f t="shared" si="28"/>
        <v>-1585.0900682933334</v>
      </c>
      <c r="AJ108" s="14">
        <f t="shared" si="28"/>
        <v>-1596.6746870021507</v>
      </c>
      <c r="AK108" s="14">
        <f t="shared" si="28"/>
        <v>-1564.6180000000004</v>
      </c>
      <c r="AL108" s="14">
        <f t="shared" si="28"/>
        <v>-1574.7067266288177</v>
      </c>
      <c r="AM108" s="14">
        <f t="shared" si="28"/>
        <v>-1578.6256383776345</v>
      </c>
      <c r="AN108" s="14">
        <f t="shared" si="28"/>
        <v>-1559.7412160000013</v>
      </c>
      <c r="AO108" s="14">
        <f t="shared" si="28"/>
        <v>-1583.6243628610746</v>
      </c>
      <c r="AP108" s="14">
        <f t="shared" si="28"/>
        <v>-1573.4221778026667</v>
      </c>
      <c r="AQ108" s="14">
        <f t="shared" si="28"/>
        <v>-1565.4862942219343</v>
      </c>
      <c r="AR108" s="14">
        <f t="shared" si="28"/>
        <v>-1580.886589013332</v>
      </c>
      <c r="AS108" s="14">
        <f t="shared" si="28"/>
        <v>-1585.3737735569894</v>
      </c>
    </row>
    <row r="109" spans="2:45" outlineLevel="1" x14ac:dyDescent="0.15">
      <c r="B109" s="107" t="str">
        <f>"(Less) VAT on "&amp;B87</f>
        <v>(Less) VAT on Other Expenses</v>
      </c>
      <c r="J109" s="14">
        <f t="shared" ref="J109:AS109" si="29">-(J211-J89)</f>
        <v>0</v>
      </c>
      <c r="K109" s="14">
        <f t="shared" si="29"/>
        <v>0</v>
      </c>
      <c r="L109" s="14">
        <f t="shared" si="29"/>
        <v>0</v>
      </c>
      <c r="M109" s="14">
        <f t="shared" si="29"/>
        <v>0</v>
      </c>
      <c r="N109" s="14">
        <f t="shared" si="29"/>
        <v>0</v>
      </c>
      <c r="O109" s="14">
        <f t="shared" si="29"/>
        <v>0</v>
      </c>
      <c r="P109" s="14">
        <f t="shared" si="29"/>
        <v>0</v>
      </c>
      <c r="Q109" s="14">
        <f t="shared" si="29"/>
        <v>0</v>
      </c>
      <c r="R109" s="14">
        <f t="shared" si="29"/>
        <v>0</v>
      </c>
      <c r="S109" s="14">
        <f t="shared" si="29"/>
        <v>0</v>
      </c>
      <c r="T109" s="14">
        <f t="shared" si="29"/>
        <v>0</v>
      </c>
      <c r="U109" s="14">
        <f t="shared" si="29"/>
        <v>0</v>
      </c>
      <c r="V109" s="14">
        <f t="shared" si="29"/>
        <v>0</v>
      </c>
      <c r="W109" s="14">
        <f t="shared" si="29"/>
        <v>0</v>
      </c>
      <c r="X109" s="14">
        <f t="shared" si="29"/>
        <v>0</v>
      </c>
      <c r="Y109" s="14">
        <f t="shared" si="29"/>
        <v>0</v>
      </c>
      <c r="Z109" s="14">
        <f t="shared" si="29"/>
        <v>0</v>
      </c>
      <c r="AA109" s="14">
        <f t="shared" si="29"/>
        <v>0</v>
      </c>
      <c r="AB109" s="14">
        <f t="shared" si="29"/>
        <v>0</v>
      </c>
      <c r="AC109" s="14">
        <f t="shared" si="29"/>
        <v>0</v>
      </c>
      <c r="AD109" s="14">
        <f t="shared" si="29"/>
        <v>0</v>
      </c>
      <c r="AE109" s="14">
        <f t="shared" si="29"/>
        <v>0</v>
      </c>
      <c r="AF109" s="14">
        <f t="shared" si="29"/>
        <v>0</v>
      </c>
      <c r="AG109" s="14">
        <f t="shared" si="29"/>
        <v>0</v>
      </c>
      <c r="AH109" s="14">
        <f t="shared" si="29"/>
        <v>0</v>
      </c>
      <c r="AI109" s="14">
        <f t="shared" si="29"/>
        <v>0</v>
      </c>
      <c r="AJ109" s="14">
        <f t="shared" si="29"/>
        <v>0</v>
      </c>
      <c r="AK109" s="14">
        <f t="shared" si="29"/>
        <v>0</v>
      </c>
      <c r="AL109" s="14">
        <f t="shared" si="29"/>
        <v>0</v>
      </c>
      <c r="AM109" s="14">
        <f t="shared" si="29"/>
        <v>0</v>
      </c>
      <c r="AN109" s="14">
        <f t="shared" si="29"/>
        <v>0</v>
      </c>
      <c r="AO109" s="14">
        <f t="shared" si="29"/>
        <v>0</v>
      </c>
      <c r="AP109" s="14">
        <f t="shared" si="29"/>
        <v>0</v>
      </c>
      <c r="AQ109" s="14">
        <f t="shared" si="29"/>
        <v>0</v>
      </c>
      <c r="AR109" s="14">
        <f t="shared" si="29"/>
        <v>0</v>
      </c>
      <c r="AS109" s="14">
        <f t="shared" si="29"/>
        <v>0</v>
      </c>
    </row>
    <row r="110" spans="2:45" outlineLevel="1" x14ac:dyDescent="0.15">
      <c r="B110" s="107" t="str">
        <f>"(Less) VAT on "&amp;B91</f>
        <v>(Less) VAT on Fixed Assets Capital Expenditure</v>
      </c>
      <c r="J110" s="14">
        <f t="shared" ref="J110:AS110" si="30">-(J216-J94)</f>
        <v>-42000</v>
      </c>
      <c r="K110" s="14">
        <f t="shared" si="30"/>
        <v>0</v>
      </c>
      <c r="L110" s="14">
        <f t="shared" si="30"/>
        <v>0</v>
      </c>
      <c r="M110" s="14">
        <f t="shared" si="30"/>
        <v>0</v>
      </c>
      <c r="N110" s="14">
        <f t="shared" si="30"/>
        <v>0</v>
      </c>
      <c r="O110" s="14">
        <f t="shared" si="30"/>
        <v>0</v>
      </c>
      <c r="P110" s="14">
        <f t="shared" si="30"/>
        <v>0</v>
      </c>
      <c r="Q110" s="14">
        <f t="shared" si="30"/>
        <v>0</v>
      </c>
      <c r="R110" s="14">
        <f t="shared" si="30"/>
        <v>0</v>
      </c>
      <c r="S110" s="14">
        <f t="shared" si="30"/>
        <v>0</v>
      </c>
      <c r="T110" s="14">
        <f t="shared" si="30"/>
        <v>0</v>
      </c>
      <c r="U110" s="14">
        <f t="shared" si="30"/>
        <v>0</v>
      </c>
      <c r="V110" s="14">
        <f t="shared" si="30"/>
        <v>0</v>
      </c>
      <c r="W110" s="14">
        <f t="shared" si="30"/>
        <v>0</v>
      </c>
      <c r="X110" s="14">
        <f t="shared" si="30"/>
        <v>0</v>
      </c>
      <c r="Y110" s="14">
        <f t="shared" si="30"/>
        <v>0</v>
      </c>
      <c r="Z110" s="14">
        <f t="shared" si="30"/>
        <v>0</v>
      </c>
      <c r="AA110" s="14">
        <f t="shared" si="30"/>
        <v>0</v>
      </c>
      <c r="AB110" s="14">
        <f t="shared" si="30"/>
        <v>0</v>
      </c>
      <c r="AC110" s="14">
        <f t="shared" si="30"/>
        <v>0</v>
      </c>
      <c r="AD110" s="14">
        <f t="shared" si="30"/>
        <v>0</v>
      </c>
      <c r="AE110" s="14">
        <f t="shared" si="30"/>
        <v>0</v>
      </c>
      <c r="AF110" s="14">
        <f t="shared" si="30"/>
        <v>0</v>
      </c>
      <c r="AG110" s="14">
        <f t="shared" si="30"/>
        <v>0</v>
      </c>
      <c r="AH110" s="14">
        <f t="shared" si="30"/>
        <v>0</v>
      </c>
      <c r="AI110" s="14">
        <f t="shared" si="30"/>
        <v>0</v>
      </c>
      <c r="AJ110" s="14">
        <f t="shared" si="30"/>
        <v>0</v>
      </c>
      <c r="AK110" s="14">
        <f t="shared" si="30"/>
        <v>0</v>
      </c>
      <c r="AL110" s="14">
        <f t="shared" si="30"/>
        <v>0</v>
      </c>
      <c r="AM110" s="14">
        <f t="shared" si="30"/>
        <v>0</v>
      </c>
      <c r="AN110" s="14">
        <f t="shared" si="30"/>
        <v>0</v>
      </c>
      <c r="AO110" s="14">
        <f t="shared" si="30"/>
        <v>0</v>
      </c>
      <c r="AP110" s="14">
        <f t="shared" si="30"/>
        <v>0</v>
      </c>
      <c r="AQ110" s="14">
        <f t="shared" si="30"/>
        <v>0</v>
      </c>
      <c r="AR110" s="14">
        <f t="shared" si="30"/>
        <v>0</v>
      </c>
      <c r="AS110" s="14">
        <f t="shared" si="30"/>
        <v>0</v>
      </c>
    </row>
    <row r="111" spans="2:45" outlineLevel="1" x14ac:dyDescent="0.15">
      <c r="B111" s="107" t="s">
        <v>520</v>
      </c>
      <c r="J111" s="33">
        <f t="shared" ref="J111:AS111" ca="1" si="31">SUM(J104:J110)</f>
        <v>-43156.449339182793</v>
      </c>
      <c r="K111" s="33">
        <f t="shared" ca="1" si="31"/>
        <v>-1220.7759794426665</v>
      </c>
      <c r="L111" s="33">
        <f t="shared" ca="1" si="31"/>
        <v>-1220.9798289204309</v>
      </c>
      <c r="M111" s="33">
        <f t="shared" ca="1" si="31"/>
        <v>-1225.0642964000008</v>
      </c>
      <c r="N111" s="33">
        <f t="shared" ca="1" si="31"/>
        <v>-1207.501895162151</v>
      </c>
      <c r="O111" s="33">
        <f t="shared" ca="1" si="31"/>
        <v>-1217.2472087010756</v>
      </c>
      <c r="P111" s="33">
        <f t="shared" ca="1" si="31"/>
        <v>-1363.1646860800001</v>
      </c>
      <c r="Q111" s="33">
        <f t="shared" ca="1" si="31"/>
        <v>-1362.3672895750533</v>
      </c>
      <c r="R111" s="33">
        <f t="shared" ca="1" si="31"/>
        <v>-1367.2941949973338</v>
      </c>
      <c r="S111" s="33">
        <f t="shared" ca="1" si="31"/>
        <v>-1380.7324942683872</v>
      </c>
      <c r="T111" s="33">
        <f t="shared" ca="1" si="31"/>
        <v>-1347.8738346666669</v>
      </c>
      <c r="U111" s="33">
        <f t="shared" ca="1" si="31"/>
        <v>-1377.263416141076</v>
      </c>
      <c r="V111" s="33">
        <f t="shared" ca="1" si="31"/>
        <v>-1363.9308484129033</v>
      </c>
      <c r="W111" s="33">
        <f t="shared" ca="1" si="31"/>
        <v>-1365.9508101946658</v>
      </c>
      <c r="X111" s="33">
        <f t="shared" ca="1" si="31"/>
        <v>-1388.7659207397855</v>
      </c>
      <c r="Y111" s="33">
        <f t="shared" ca="1" si="31"/>
        <v>-1370.1869230000002</v>
      </c>
      <c r="Z111" s="33">
        <f t="shared" ca="1" si="31"/>
        <v>-1359.1353098563432</v>
      </c>
      <c r="AA111" s="33">
        <f t="shared" ca="1" si="31"/>
        <v>-1382.4070516843012</v>
      </c>
      <c r="AB111" s="33">
        <f t="shared" ca="1" si="31"/>
        <v>-1272.5281728000009</v>
      </c>
      <c r="AC111" s="33">
        <f t="shared" ca="1" si="31"/>
        <v>-1283.4239240318275</v>
      </c>
      <c r="AD111" s="33">
        <f t="shared" ca="1" si="31"/>
        <v>-1286.5715197333329</v>
      </c>
      <c r="AE111" s="33">
        <f t="shared" ca="1" si="31"/>
        <v>-1289.2429660748385</v>
      </c>
      <c r="AF111" s="33">
        <f t="shared" ca="1" si="31"/>
        <v>-1279.6483109866658</v>
      </c>
      <c r="AG111" s="33">
        <f t="shared" ca="1" si="31"/>
        <v>-1296.5319281823668</v>
      </c>
      <c r="AH111" s="33">
        <f t="shared" ca="1" si="31"/>
        <v>-1271.0093139612909</v>
      </c>
      <c r="AI111" s="33">
        <f t="shared" ca="1" si="31"/>
        <v>-1300.4234016266673</v>
      </c>
      <c r="AJ111" s="33">
        <f t="shared" ca="1" si="31"/>
        <v>-1311.3413536688167</v>
      </c>
      <c r="AK111" s="33">
        <f t="shared" ca="1" si="31"/>
        <v>-1278.6180000000004</v>
      </c>
      <c r="AL111" s="33">
        <f t="shared" ca="1" si="31"/>
        <v>-1288.0400599621507</v>
      </c>
      <c r="AM111" s="33">
        <f t="shared" ca="1" si="31"/>
        <v>-1291.2923050443005</v>
      </c>
      <c r="AN111" s="33">
        <f t="shared" ca="1" si="31"/>
        <v>-1271.7412160000013</v>
      </c>
      <c r="AO111" s="33">
        <f t="shared" ca="1" si="31"/>
        <v>-1294.9576961944085</v>
      </c>
      <c r="AP111" s="33">
        <f t="shared" ca="1" si="31"/>
        <v>-1284.0888444693337</v>
      </c>
      <c r="AQ111" s="33">
        <f t="shared" ca="1" si="31"/>
        <v>-1275.4862942219343</v>
      </c>
      <c r="AR111" s="33">
        <f t="shared" ca="1" si="31"/>
        <v>-1290.219922346666</v>
      </c>
      <c r="AS111" s="33">
        <f t="shared" ca="1" si="31"/>
        <v>-1294.0404402236563</v>
      </c>
    </row>
    <row r="112" spans="2:45" outlineLevel="1" x14ac:dyDescent="0.15"/>
    <row r="113" spans="2:45" outlineLevel="1" x14ac:dyDescent="0.15">
      <c r="B113" s="107" t="s">
        <v>521</v>
      </c>
      <c r="J113" s="29" t="str">
        <f t="shared" ref="J113:AS113" si="32">IF(J101=VAT_Assess_Freq_Mthly,VAT_Yes,IF(J101=VAT_Assess_Freq_Qtrly,IF(MOD(J100,Ts_Mths_In_Qtr)=0,VAT_Yes,VAT_No),IF(J101=VAT_Assess_Freq_Semi_Ann,IF(MOD(J100,Ts_Mths_In_Half)=0,VAT_Yes,VAT_No),IF(J100=Ts_Mths_In_Yr,VAT_Yes,VAT_No))))</f>
        <v>No</v>
      </c>
      <c r="K113" s="29" t="str">
        <f t="shared" si="32"/>
        <v>Yes</v>
      </c>
      <c r="L113" s="29" t="str">
        <f t="shared" si="32"/>
        <v>No</v>
      </c>
      <c r="M113" s="29" t="str">
        <f t="shared" si="32"/>
        <v>No</v>
      </c>
      <c r="N113" s="29" t="str">
        <f t="shared" si="32"/>
        <v>Yes</v>
      </c>
      <c r="O113" s="29" t="str">
        <f t="shared" si="32"/>
        <v>No</v>
      </c>
      <c r="P113" s="29" t="str">
        <f t="shared" si="32"/>
        <v>No</v>
      </c>
      <c r="Q113" s="29" t="str">
        <f t="shared" si="32"/>
        <v>Yes</v>
      </c>
      <c r="R113" s="29" t="str">
        <f t="shared" si="32"/>
        <v>No</v>
      </c>
      <c r="S113" s="29" t="str">
        <f t="shared" si="32"/>
        <v>No</v>
      </c>
      <c r="T113" s="29" t="str">
        <f t="shared" si="32"/>
        <v>Yes</v>
      </c>
      <c r="U113" s="29" t="str">
        <f t="shared" si="32"/>
        <v>No</v>
      </c>
      <c r="V113" s="29" t="str">
        <f t="shared" si="32"/>
        <v>No</v>
      </c>
      <c r="W113" s="29" t="str">
        <f t="shared" si="32"/>
        <v>Yes</v>
      </c>
      <c r="X113" s="29" t="str">
        <f t="shared" si="32"/>
        <v>No</v>
      </c>
      <c r="Y113" s="29" t="str">
        <f t="shared" si="32"/>
        <v>No</v>
      </c>
      <c r="Z113" s="29" t="str">
        <f t="shared" si="32"/>
        <v>Yes</v>
      </c>
      <c r="AA113" s="29" t="str">
        <f t="shared" si="32"/>
        <v>No</v>
      </c>
      <c r="AB113" s="29" t="str">
        <f t="shared" si="32"/>
        <v>No</v>
      </c>
      <c r="AC113" s="29" t="str">
        <f t="shared" si="32"/>
        <v>Yes</v>
      </c>
      <c r="AD113" s="29" t="str">
        <f t="shared" si="32"/>
        <v>No</v>
      </c>
      <c r="AE113" s="29" t="str">
        <f t="shared" si="32"/>
        <v>No</v>
      </c>
      <c r="AF113" s="29" t="str">
        <f t="shared" si="32"/>
        <v>Yes</v>
      </c>
      <c r="AG113" s="29" t="str">
        <f t="shared" si="32"/>
        <v>No</v>
      </c>
      <c r="AH113" s="29" t="str">
        <f t="shared" si="32"/>
        <v>No</v>
      </c>
      <c r="AI113" s="29" t="str">
        <f t="shared" si="32"/>
        <v>Yes</v>
      </c>
      <c r="AJ113" s="29" t="str">
        <f t="shared" si="32"/>
        <v>No</v>
      </c>
      <c r="AK113" s="29" t="str">
        <f t="shared" si="32"/>
        <v>No</v>
      </c>
      <c r="AL113" s="29" t="str">
        <f t="shared" si="32"/>
        <v>Yes</v>
      </c>
      <c r="AM113" s="29" t="str">
        <f t="shared" si="32"/>
        <v>No</v>
      </c>
      <c r="AN113" s="29" t="str">
        <f t="shared" si="32"/>
        <v>No</v>
      </c>
      <c r="AO113" s="29" t="str">
        <f t="shared" si="32"/>
        <v>Yes</v>
      </c>
      <c r="AP113" s="29" t="str">
        <f t="shared" si="32"/>
        <v>No</v>
      </c>
      <c r="AQ113" s="29" t="str">
        <f t="shared" si="32"/>
        <v>No</v>
      </c>
      <c r="AR113" s="29" t="str">
        <f t="shared" si="32"/>
        <v>Yes</v>
      </c>
      <c r="AS113" s="29" t="str">
        <f t="shared" si="32"/>
        <v>No</v>
      </c>
    </row>
    <row r="114" spans="2:45" outlineLevel="1" x14ac:dyDescent="0.15">
      <c r="B114" s="107" t="s">
        <v>522</v>
      </c>
      <c r="J114" s="17">
        <f t="shared" ref="J114:AS114" si="33">IF(J101=VAT_Assess_Freq_Mthly,J100,IF(J101=VAT_Assess_Freq_Qtrly,INT((J100-1)/Ts_Mths_In_Qtr)+1,IF(J101=VAT_Assess_Freq_Semi_Ann,INT((J100-1)/Ts_Mths_In_Half)+1,1)))</f>
        <v>1</v>
      </c>
      <c r="K114" s="17">
        <f t="shared" si="33"/>
        <v>1</v>
      </c>
      <c r="L114" s="17">
        <f t="shared" si="33"/>
        <v>2</v>
      </c>
      <c r="M114" s="17">
        <f t="shared" si="33"/>
        <v>2</v>
      </c>
      <c r="N114" s="17">
        <f t="shared" si="33"/>
        <v>2</v>
      </c>
      <c r="O114" s="17">
        <f t="shared" si="33"/>
        <v>3</v>
      </c>
      <c r="P114" s="17">
        <f t="shared" si="33"/>
        <v>3</v>
      </c>
      <c r="Q114" s="17">
        <f t="shared" si="33"/>
        <v>3</v>
      </c>
      <c r="R114" s="17">
        <f t="shared" si="33"/>
        <v>4</v>
      </c>
      <c r="S114" s="17">
        <f t="shared" si="33"/>
        <v>4</v>
      </c>
      <c r="T114" s="17">
        <f t="shared" si="33"/>
        <v>4</v>
      </c>
      <c r="U114" s="17">
        <f t="shared" si="33"/>
        <v>1</v>
      </c>
      <c r="V114" s="17">
        <f t="shared" si="33"/>
        <v>1</v>
      </c>
      <c r="W114" s="17">
        <f t="shared" si="33"/>
        <v>1</v>
      </c>
      <c r="X114" s="17">
        <f t="shared" si="33"/>
        <v>2</v>
      </c>
      <c r="Y114" s="17">
        <f t="shared" si="33"/>
        <v>2</v>
      </c>
      <c r="Z114" s="17">
        <f t="shared" si="33"/>
        <v>2</v>
      </c>
      <c r="AA114" s="17">
        <f t="shared" si="33"/>
        <v>3</v>
      </c>
      <c r="AB114" s="17">
        <f t="shared" si="33"/>
        <v>3</v>
      </c>
      <c r="AC114" s="17">
        <f t="shared" si="33"/>
        <v>3</v>
      </c>
      <c r="AD114" s="17">
        <f t="shared" si="33"/>
        <v>4</v>
      </c>
      <c r="AE114" s="17">
        <f t="shared" si="33"/>
        <v>4</v>
      </c>
      <c r="AF114" s="17">
        <f t="shared" si="33"/>
        <v>4</v>
      </c>
      <c r="AG114" s="17">
        <f t="shared" si="33"/>
        <v>1</v>
      </c>
      <c r="AH114" s="17">
        <f t="shared" si="33"/>
        <v>1</v>
      </c>
      <c r="AI114" s="17">
        <f t="shared" si="33"/>
        <v>1</v>
      </c>
      <c r="AJ114" s="17">
        <f t="shared" si="33"/>
        <v>2</v>
      </c>
      <c r="AK114" s="17">
        <f t="shared" si="33"/>
        <v>2</v>
      </c>
      <c r="AL114" s="17">
        <f t="shared" si="33"/>
        <v>2</v>
      </c>
      <c r="AM114" s="17">
        <f t="shared" si="33"/>
        <v>3</v>
      </c>
      <c r="AN114" s="17">
        <f t="shared" si="33"/>
        <v>3</v>
      </c>
      <c r="AO114" s="17">
        <f t="shared" si="33"/>
        <v>3</v>
      </c>
      <c r="AP114" s="17">
        <f t="shared" si="33"/>
        <v>4</v>
      </c>
      <c r="AQ114" s="17">
        <f t="shared" si="33"/>
        <v>4</v>
      </c>
      <c r="AR114" s="17">
        <f t="shared" si="33"/>
        <v>4</v>
      </c>
      <c r="AS114" s="17">
        <f t="shared" si="33"/>
        <v>1</v>
      </c>
    </row>
    <row r="115" spans="2:45" outlineLevel="1" x14ac:dyDescent="0.15">
      <c r="B115" s="107" t="s">
        <v>523</v>
      </c>
      <c r="J115" s="29" t="str">
        <f t="shared" ref="J115:AS115" si="34">J99&amp;"-"&amp;J114</f>
        <v>2024-1</v>
      </c>
      <c r="K115" s="29" t="str">
        <f t="shared" si="34"/>
        <v>2024-1</v>
      </c>
      <c r="L115" s="29" t="str">
        <f t="shared" si="34"/>
        <v>2024-2</v>
      </c>
      <c r="M115" s="29" t="str">
        <f t="shared" si="34"/>
        <v>2024-2</v>
      </c>
      <c r="N115" s="29" t="str">
        <f t="shared" si="34"/>
        <v>2024-2</v>
      </c>
      <c r="O115" s="29" t="str">
        <f t="shared" si="34"/>
        <v>2024-3</v>
      </c>
      <c r="P115" s="29" t="str">
        <f t="shared" si="34"/>
        <v>2024-3</v>
      </c>
      <c r="Q115" s="29" t="str">
        <f t="shared" si="34"/>
        <v>2024-3</v>
      </c>
      <c r="R115" s="29" t="str">
        <f t="shared" si="34"/>
        <v>2024-4</v>
      </c>
      <c r="S115" s="29" t="str">
        <f t="shared" si="34"/>
        <v>2024-4</v>
      </c>
      <c r="T115" s="29" t="str">
        <f t="shared" si="34"/>
        <v>2024-4</v>
      </c>
      <c r="U115" s="29" t="str">
        <f t="shared" si="34"/>
        <v>2025-1</v>
      </c>
      <c r="V115" s="29" t="str">
        <f t="shared" si="34"/>
        <v>2025-1</v>
      </c>
      <c r="W115" s="29" t="str">
        <f t="shared" si="34"/>
        <v>2025-1</v>
      </c>
      <c r="X115" s="29" t="str">
        <f t="shared" si="34"/>
        <v>2025-2</v>
      </c>
      <c r="Y115" s="29" t="str">
        <f t="shared" si="34"/>
        <v>2025-2</v>
      </c>
      <c r="Z115" s="29" t="str">
        <f t="shared" si="34"/>
        <v>2025-2</v>
      </c>
      <c r="AA115" s="29" t="str">
        <f t="shared" si="34"/>
        <v>2025-3</v>
      </c>
      <c r="AB115" s="29" t="str">
        <f t="shared" si="34"/>
        <v>2025-3</v>
      </c>
      <c r="AC115" s="29" t="str">
        <f t="shared" si="34"/>
        <v>2025-3</v>
      </c>
      <c r="AD115" s="29" t="str">
        <f t="shared" si="34"/>
        <v>2025-4</v>
      </c>
      <c r="AE115" s="29" t="str">
        <f t="shared" si="34"/>
        <v>2025-4</v>
      </c>
      <c r="AF115" s="29" t="str">
        <f t="shared" si="34"/>
        <v>2025-4</v>
      </c>
      <c r="AG115" s="29" t="str">
        <f t="shared" si="34"/>
        <v>2026-1</v>
      </c>
      <c r="AH115" s="29" t="str">
        <f t="shared" si="34"/>
        <v>2026-1</v>
      </c>
      <c r="AI115" s="29" t="str">
        <f t="shared" si="34"/>
        <v>2026-1</v>
      </c>
      <c r="AJ115" s="29" t="str">
        <f t="shared" si="34"/>
        <v>2026-2</v>
      </c>
      <c r="AK115" s="29" t="str">
        <f t="shared" si="34"/>
        <v>2026-2</v>
      </c>
      <c r="AL115" s="29" t="str">
        <f t="shared" si="34"/>
        <v>2026-2</v>
      </c>
      <c r="AM115" s="29" t="str">
        <f t="shared" si="34"/>
        <v>2026-3</v>
      </c>
      <c r="AN115" s="29" t="str">
        <f t="shared" si="34"/>
        <v>2026-3</v>
      </c>
      <c r="AO115" s="29" t="str">
        <f t="shared" si="34"/>
        <v>2026-3</v>
      </c>
      <c r="AP115" s="29" t="str">
        <f t="shared" si="34"/>
        <v>2026-4</v>
      </c>
      <c r="AQ115" s="29" t="str">
        <f t="shared" si="34"/>
        <v>2026-4</v>
      </c>
      <c r="AR115" s="29" t="str">
        <f t="shared" si="34"/>
        <v>2026-4</v>
      </c>
      <c r="AS115" s="29" t="str">
        <f t="shared" si="34"/>
        <v>2027-1</v>
      </c>
    </row>
    <row r="116" spans="2:45" outlineLevel="1" x14ac:dyDescent="0.15">
      <c r="B116" s="107" t="str">
        <f>B111</f>
        <v>Net VAT on Accrued Revenues &amp; Expenses</v>
      </c>
      <c r="J116" s="14">
        <f t="shared" ref="J116:AS116" ca="1" si="35">J111</f>
        <v>-43156.449339182793</v>
      </c>
      <c r="K116" s="14">
        <f t="shared" ca="1" si="35"/>
        <v>-1220.7759794426665</v>
      </c>
      <c r="L116" s="14">
        <f t="shared" ca="1" si="35"/>
        <v>-1220.9798289204309</v>
      </c>
      <c r="M116" s="14">
        <f t="shared" ca="1" si="35"/>
        <v>-1225.0642964000008</v>
      </c>
      <c r="N116" s="14">
        <f t="shared" ca="1" si="35"/>
        <v>-1207.501895162151</v>
      </c>
      <c r="O116" s="14">
        <f t="shared" ca="1" si="35"/>
        <v>-1217.2472087010756</v>
      </c>
      <c r="P116" s="14">
        <f t="shared" ca="1" si="35"/>
        <v>-1363.1646860800001</v>
      </c>
      <c r="Q116" s="14">
        <f t="shared" ca="1" si="35"/>
        <v>-1362.3672895750533</v>
      </c>
      <c r="R116" s="14">
        <f t="shared" ca="1" si="35"/>
        <v>-1367.2941949973338</v>
      </c>
      <c r="S116" s="14">
        <f t="shared" ca="1" si="35"/>
        <v>-1380.7324942683872</v>
      </c>
      <c r="T116" s="14">
        <f t="shared" ca="1" si="35"/>
        <v>-1347.8738346666669</v>
      </c>
      <c r="U116" s="14">
        <f t="shared" ca="1" si="35"/>
        <v>-1377.263416141076</v>
      </c>
      <c r="V116" s="14">
        <f t="shared" ca="1" si="35"/>
        <v>-1363.9308484129033</v>
      </c>
      <c r="W116" s="14">
        <f t="shared" ca="1" si="35"/>
        <v>-1365.9508101946658</v>
      </c>
      <c r="X116" s="14">
        <f t="shared" ca="1" si="35"/>
        <v>-1388.7659207397855</v>
      </c>
      <c r="Y116" s="14">
        <f t="shared" ca="1" si="35"/>
        <v>-1370.1869230000002</v>
      </c>
      <c r="Z116" s="14">
        <f t="shared" ca="1" si="35"/>
        <v>-1359.1353098563432</v>
      </c>
      <c r="AA116" s="14">
        <f t="shared" ca="1" si="35"/>
        <v>-1382.4070516843012</v>
      </c>
      <c r="AB116" s="14">
        <f t="shared" ca="1" si="35"/>
        <v>-1272.5281728000009</v>
      </c>
      <c r="AC116" s="14">
        <f t="shared" ca="1" si="35"/>
        <v>-1283.4239240318275</v>
      </c>
      <c r="AD116" s="14">
        <f t="shared" ca="1" si="35"/>
        <v>-1286.5715197333329</v>
      </c>
      <c r="AE116" s="14">
        <f t="shared" ca="1" si="35"/>
        <v>-1289.2429660748385</v>
      </c>
      <c r="AF116" s="14">
        <f t="shared" ca="1" si="35"/>
        <v>-1279.6483109866658</v>
      </c>
      <c r="AG116" s="14">
        <f t="shared" ca="1" si="35"/>
        <v>-1296.5319281823668</v>
      </c>
      <c r="AH116" s="14">
        <f t="shared" ca="1" si="35"/>
        <v>-1271.0093139612909</v>
      </c>
      <c r="AI116" s="14">
        <f t="shared" ca="1" si="35"/>
        <v>-1300.4234016266673</v>
      </c>
      <c r="AJ116" s="14">
        <f t="shared" ca="1" si="35"/>
        <v>-1311.3413536688167</v>
      </c>
      <c r="AK116" s="14">
        <f t="shared" ca="1" si="35"/>
        <v>-1278.6180000000004</v>
      </c>
      <c r="AL116" s="14">
        <f t="shared" ca="1" si="35"/>
        <v>-1288.0400599621507</v>
      </c>
      <c r="AM116" s="14">
        <f t="shared" ca="1" si="35"/>
        <v>-1291.2923050443005</v>
      </c>
      <c r="AN116" s="14">
        <f t="shared" ca="1" si="35"/>
        <v>-1271.7412160000013</v>
      </c>
      <c r="AO116" s="14">
        <f t="shared" ca="1" si="35"/>
        <v>-1294.9576961944085</v>
      </c>
      <c r="AP116" s="14">
        <f t="shared" ca="1" si="35"/>
        <v>-1284.0888444693337</v>
      </c>
      <c r="AQ116" s="14">
        <f t="shared" ca="1" si="35"/>
        <v>-1275.4862942219343</v>
      </c>
      <c r="AR116" s="14">
        <f t="shared" ca="1" si="35"/>
        <v>-1290.219922346666</v>
      </c>
      <c r="AS116" s="14">
        <f t="shared" ca="1" si="35"/>
        <v>-1294.0404402236563</v>
      </c>
    </row>
    <row r="117" spans="2:45" outlineLevel="1" x14ac:dyDescent="0.15">
      <c r="B117" s="107" t="str">
        <f>B156</f>
        <v>Net VAT on Cash Receipts &amp; Payments</v>
      </c>
      <c r="J117" s="14">
        <f t="shared" ref="J117:AS117" ca="1" si="36">J156</f>
        <v>-43156.449339182793</v>
      </c>
      <c r="K117" s="14">
        <f t="shared" ca="1" si="36"/>
        <v>-1220.7759794426665</v>
      </c>
      <c r="L117" s="14">
        <f t="shared" ca="1" si="36"/>
        <v>-1220.9798289204309</v>
      </c>
      <c r="M117" s="14">
        <f t="shared" ca="1" si="36"/>
        <v>-1225.0642964000008</v>
      </c>
      <c r="N117" s="14">
        <f t="shared" ca="1" si="36"/>
        <v>-1207.501895162151</v>
      </c>
      <c r="O117" s="14">
        <f t="shared" ca="1" si="36"/>
        <v>-1217.2472087010756</v>
      </c>
      <c r="P117" s="14">
        <f t="shared" ca="1" si="36"/>
        <v>-1363.1646860800001</v>
      </c>
      <c r="Q117" s="14">
        <f t="shared" ca="1" si="36"/>
        <v>-1362.3672895750533</v>
      </c>
      <c r="R117" s="14">
        <f t="shared" ca="1" si="36"/>
        <v>-1367.2941949973338</v>
      </c>
      <c r="S117" s="14">
        <f t="shared" ca="1" si="36"/>
        <v>-1380.7324942683872</v>
      </c>
      <c r="T117" s="14">
        <f t="shared" ca="1" si="36"/>
        <v>-1347.8738346666669</v>
      </c>
      <c r="U117" s="14">
        <f t="shared" ca="1" si="36"/>
        <v>-1377.263416141076</v>
      </c>
      <c r="V117" s="14">
        <f t="shared" ca="1" si="36"/>
        <v>-1363.9308484129033</v>
      </c>
      <c r="W117" s="14">
        <f t="shared" ca="1" si="36"/>
        <v>-1365.9508101946658</v>
      </c>
      <c r="X117" s="14">
        <f t="shared" ca="1" si="36"/>
        <v>-1388.7659207397855</v>
      </c>
      <c r="Y117" s="14">
        <f t="shared" ca="1" si="36"/>
        <v>-1370.1869230000002</v>
      </c>
      <c r="Z117" s="14">
        <f t="shared" ca="1" si="36"/>
        <v>-1359.1353098563432</v>
      </c>
      <c r="AA117" s="14">
        <f t="shared" ca="1" si="36"/>
        <v>-1382.4070516843012</v>
      </c>
      <c r="AB117" s="14">
        <f t="shared" ca="1" si="36"/>
        <v>-1272.5281728000009</v>
      </c>
      <c r="AC117" s="14">
        <f t="shared" ca="1" si="36"/>
        <v>-1283.4239240318275</v>
      </c>
      <c r="AD117" s="14">
        <f t="shared" ca="1" si="36"/>
        <v>-1286.5715197333329</v>
      </c>
      <c r="AE117" s="14">
        <f t="shared" ca="1" si="36"/>
        <v>-1289.2429660748385</v>
      </c>
      <c r="AF117" s="14">
        <f t="shared" ca="1" si="36"/>
        <v>-1279.6483109866658</v>
      </c>
      <c r="AG117" s="14">
        <f t="shared" ca="1" si="36"/>
        <v>-1296.5319281823668</v>
      </c>
      <c r="AH117" s="14">
        <f t="shared" ca="1" si="36"/>
        <v>-1271.0093139612909</v>
      </c>
      <c r="AI117" s="14">
        <f t="shared" ca="1" si="36"/>
        <v>-1300.4234016266673</v>
      </c>
      <c r="AJ117" s="14">
        <f t="shared" ca="1" si="36"/>
        <v>-1311.3413536688167</v>
      </c>
      <c r="AK117" s="14">
        <f t="shared" ca="1" si="36"/>
        <v>-1278.6180000000004</v>
      </c>
      <c r="AL117" s="14">
        <f t="shared" ca="1" si="36"/>
        <v>-1288.0400599621507</v>
      </c>
      <c r="AM117" s="14">
        <f t="shared" ca="1" si="36"/>
        <v>-1291.2923050443005</v>
      </c>
      <c r="AN117" s="14">
        <f t="shared" ca="1" si="36"/>
        <v>-1271.7412160000013</v>
      </c>
      <c r="AO117" s="14">
        <f t="shared" ca="1" si="36"/>
        <v>-1294.9576961944085</v>
      </c>
      <c r="AP117" s="14">
        <f t="shared" ca="1" si="36"/>
        <v>-1284.0888444693337</v>
      </c>
      <c r="AQ117" s="14">
        <f t="shared" ca="1" si="36"/>
        <v>-1275.4862942219343</v>
      </c>
      <c r="AR117" s="14">
        <f t="shared" ca="1" si="36"/>
        <v>-1290.219922346666</v>
      </c>
      <c r="AS117" s="14">
        <f t="shared" ca="1" si="36"/>
        <v>-1294.0404402236563</v>
      </c>
    </row>
    <row r="118" spans="2:45" outlineLevel="1" x14ac:dyDescent="0.15">
      <c r="B118" s="107" t="str">
        <f>B41</f>
        <v>VAT Assessment Basis</v>
      </c>
      <c r="J118" s="29">
        <f t="shared" ref="J118:AS118" si="37">IF(J113&lt;&gt;VAT_Yes,0,J41)</f>
        <v>0</v>
      </c>
      <c r="K118" s="29" t="str">
        <f t="shared" si="37"/>
        <v>Cash</v>
      </c>
      <c r="L118" s="29">
        <f t="shared" si="37"/>
        <v>0</v>
      </c>
      <c r="M118" s="29">
        <f t="shared" si="37"/>
        <v>0</v>
      </c>
      <c r="N118" s="29" t="str">
        <f t="shared" si="37"/>
        <v>Cash</v>
      </c>
      <c r="O118" s="29">
        <f t="shared" si="37"/>
        <v>0</v>
      </c>
      <c r="P118" s="29">
        <f t="shared" si="37"/>
        <v>0</v>
      </c>
      <c r="Q118" s="29" t="str">
        <f t="shared" si="37"/>
        <v>Cash</v>
      </c>
      <c r="R118" s="29">
        <f t="shared" si="37"/>
        <v>0</v>
      </c>
      <c r="S118" s="29">
        <f t="shared" si="37"/>
        <v>0</v>
      </c>
      <c r="T118" s="29" t="str">
        <f t="shared" si="37"/>
        <v>Cash</v>
      </c>
      <c r="U118" s="29">
        <f t="shared" si="37"/>
        <v>0</v>
      </c>
      <c r="V118" s="29">
        <f t="shared" si="37"/>
        <v>0</v>
      </c>
      <c r="W118" s="29" t="str">
        <f t="shared" si="37"/>
        <v>Cash</v>
      </c>
      <c r="X118" s="29">
        <f t="shared" si="37"/>
        <v>0</v>
      </c>
      <c r="Y118" s="29">
        <f t="shared" si="37"/>
        <v>0</v>
      </c>
      <c r="Z118" s="29" t="str">
        <f t="shared" si="37"/>
        <v>Cash</v>
      </c>
      <c r="AA118" s="29">
        <f t="shared" si="37"/>
        <v>0</v>
      </c>
      <c r="AB118" s="29">
        <f t="shared" si="37"/>
        <v>0</v>
      </c>
      <c r="AC118" s="29" t="str">
        <f t="shared" si="37"/>
        <v>Cash</v>
      </c>
      <c r="AD118" s="29">
        <f t="shared" si="37"/>
        <v>0</v>
      </c>
      <c r="AE118" s="29">
        <f t="shared" si="37"/>
        <v>0</v>
      </c>
      <c r="AF118" s="29" t="str">
        <f t="shared" si="37"/>
        <v>Cash</v>
      </c>
      <c r="AG118" s="29">
        <f t="shared" si="37"/>
        <v>0</v>
      </c>
      <c r="AH118" s="29">
        <f t="shared" si="37"/>
        <v>0</v>
      </c>
      <c r="AI118" s="29" t="str">
        <f t="shared" si="37"/>
        <v>Cash</v>
      </c>
      <c r="AJ118" s="29">
        <f t="shared" si="37"/>
        <v>0</v>
      </c>
      <c r="AK118" s="29">
        <f t="shared" si="37"/>
        <v>0</v>
      </c>
      <c r="AL118" s="29" t="str">
        <f t="shared" si="37"/>
        <v>Cash</v>
      </c>
      <c r="AM118" s="29">
        <f t="shared" si="37"/>
        <v>0</v>
      </c>
      <c r="AN118" s="29">
        <f t="shared" si="37"/>
        <v>0</v>
      </c>
      <c r="AO118" s="29" t="str">
        <f t="shared" si="37"/>
        <v>Cash</v>
      </c>
      <c r="AP118" s="29">
        <f t="shared" si="37"/>
        <v>0</v>
      </c>
      <c r="AQ118" s="29">
        <f t="shared" si="37"/>
        <v>0</v>
      </c>
      <c r="AR118" s="29" t="str">
        <f t="shared" si="37"/>
        <v>Cash</v>
      </c>
      <c r="AS118" s="29">
        <f t="shared" si="37"/>
        <v>0</v>
      </c>
    </row>
    <row r="119" spans="2:45" outlineLevel="1" x14ac:dyDescent="0.15">
      <c r="B119" s="16" t="s">
        <v>524</v>
      </c>
      <c r="J119" s="18">
        <f>IF(J113&lt;&gt;VAT_Yes,0,SUMIF($J115:J115,J115,IF(J118=VAT_Cash,$J117:J117,$J116:J116)))</f>
        <v>0</v>
      </c>
      <c r="K119" s="18">
        <f ca="1">IF(K113&lt;&gt;VAT_Yes,0,SUMIF($J115:K115,K115,IF(K118=VAT_Cash,$J117:K117,$J116:K116)))</f>
        <v>-44377.22531862546</v>
      </c>
      <c r="L119" s="18">
        <f>IF(L113&lt;&gt;VAT_Yes,0,SUMIF($J115:L115,L115,IF(L118=VAT_Cash,$J117:L117,$J116:L116)))</f>
        <v>0</v>
      </c>
      <c r="M119" s="18">
        <f>IF(M113&lt;&gt;VAT_Yes,0,SUMIF($J115:M115,M115,IF(M118=VAT_Cash,$J117:M117,$J116:M116)))</f>
        <v>0</v>
      </c>
      <c r="N119" s="18">
        <f ca="1">IF(N113&lt;&gt;VAT_Yes,0,SUMIF($J115:N115,N115,IF(N118=VAT_Cash,$J117:N117,$J116:N116)))</f>
        <v>-3653.5460204825827</v>
      </c>
      <c r="O119" s="18">
        <f>IF(O113&lt;&gt;VAT_Yes,0,SUMIF($J115:O115,O115,IF(O118=VAT_Cash,$J117:O117,$J116:O116)))</f>
        <v>0</v>
      </c>
      <c r="P119" s="18">
        <f>IF(P113&lt;&gt;VAT_Yes,0,SUMIF($J115:P115,P115,IF(P118=VAT_Cash,$J117:P117,$J116:P116)))</f>
        <v>0</v>
      </c>
      <c r="Q119" s="18">
        <f ca="1">IF(Q113&lt;&gt;VAT_Yes,0,SUMIF($J115:Q115,Q115,IF(Q118=VAT_Cash,$J117:Q117,$J116:Q116)))</f>
        <v>-3942.779184356129</v>
      </c>
      <c r="R119" s="18">
        <f>IF(R113&lt;&gt;VAT_Yes,0,SUMIF($J115:R115,R115,IF(R118=VAT_Cash,$J117:R117,$J116:R116)))</f>
        <v>0</v>
      </c>
      <c r="S119" s="18">
        <f>IF(S113&lt;&gt;VAT_Yes,0,SUMIF($J115:S115,S115,IF(S118=VAT_Cash,$J117:S117,$J116:S116)))</f>
        <v>0</v>
      </c>
      <c r="T119" s="18">
        <f ca="1">IF(T113&lt;&gt;VAT_Yes,0,SUMIF($J115:T115,T115,IF(T118=VAT_Cash,$J117:T117,$J116:T116)))</f>
        <v>-4095.9005239323878</v>
      </c>
      <c r="U119" s="18">
        <f>IF(U113&lt;&gt;VAT_Yes,0,SUMIF($J115:U115,U115,IF(U118=VAT_Cash,$J117:U117,$J116:U116)))</f>
        <v>0</v>
      </c>
      <c r="V119" s="18">
        <f>IF(V113&lt;&gt;VAT_Yes,0,SUMIF($J115:V115,V115,IF(V118=VAT_Cash,$J117:V117,$J116:V116)))</f>
        <v>0</v>
      </c>
      <c r="W119" s="18">
        <f ca="1">IF(W113&lt;&gt;VAT_Yes,0,SUMIF($J115:W115,W115,IF(W118=VAT_Cash,$J117:W117,$J116:W116)))</f>
        <v>-4107.1450747486451</v>
      </c>
      <c r="X119" s="18">
        <f>IF(X113&lt;&gt;VAT_Yes,0,SUMIF($J115:X115,X115,IF(X118=VAT_Cash,$J117:X117,$J116:X116)))</f>
        <v>0</v>
      </c>
      <c r="Y119" s="18">
        <f>IF(Y113&lt;&gt;VAT_Yes,0,SUMIF($J115:Y115,Y115,IF(Y118=VAT_Cash,$J117:Y117,$J116:Y116)))</f>
        <v>0</v>
      </c>
      <c r="Z119" s="18">
        <f ca="1">IF(Z113&lt;&gt;VAT_Yes,0,SUMIF($J115:Z115,Z115,IF(Z118=VAT_Cash,$J117:Z117,$J116:Z116)))</f>
        <v>-4118.0881535961289</v>
      </c>
      <c r="AA119" s="18">
        <f>IF(AA113&lt;&gt;VAT_Yes,0,SUMIF($J115:AA115,AA115,IF(AA118=VAT_Cash,$J117:AA117,$J116:AA116)))</f>
        <v>0</v>
      </c>
      <c r="AB119" s="18">
        <f>IF(AB113&lt;&gt;VAT_Yes,0,SUMIF($J115:AB115,AB115,IF(AB118=VAT_Cash,$J117:AB117,$J116:AB116)))</f>
        <v>0</v>
      </c>
      <c r="AC119" s="18">
        <f ca="1">IF(AC113&lt;&gt;VAT_Yes,0,SUMIF($J115:AC115,AC115,IF(AC118=VAT_Cash,$J117:AC117,$J116:AC116)))</f>
        <v>-3938.3591485161296</v>
      </c>
      <c r="AD119" s="18">
        <f>IF(AD113&lt;&gt;VAT_Yes,0,SUMIF($J115:AD115,AD115,IF(AD118=VAT_Cash,$J117:AD117,$J116:AD116)))</f>
        <v>0</v>
      </c>
      <c r="AE119" s="18">
        <f>IF(AE113&lt;&gt;VAT_Yes,0,SUMIF($J115:AE115,AE115,IF(AE118=VAT_Cash,$J117:AE117,$J116:AE116)))</f>
        <v>0</v>
      </c>
      <c r="AF119" s="18">
        <f ca="1">IF(AF113&lt;&gt;VAT_Yes,0,SUMIF($J115:AF115,AF115,IF(AF118=VAT_Cash,$J117:AF117,$J116:AF116)))</f>
        <v>-3855.4627967948372</v>
      </c>
      <c r="AG119" s="18">
        <f>IF(AG113&lt;&gt;VAT_Yes,0,SUMIF($J115:AG115,AG115,IF(AG118=VAT_Cash,$J117:AG117,$J116:AG116)))</f>
        <v>0</v>
      </c>
      <c r="AH119" s="18">
        <f>IF(AH113&lt;&gt;VAT_Yes,0,SUMIF($J115:AH115,AH115,IF(AH118=VAT_Cash,$J117:AH117,$J116:AH116)))</f>
        <v>0</v>
      </c>
      <c r="AI119" s="18">
        <f ca="1">IF(AI113&lt;&gt;VAT_Yes,0,SUMIF($J115:AI115,AI115,IF(AI118=VAT_Cash,$J117:AI117,$J116:AI116)))</f>
        <v>-3867.964643770325</v>
      </c>
      <c r="AJ119" s="18">
        <f>IF(AJ113&lt;&gt;VAT_Yes,0,SUMIF($J115:AJ115,AJ115,IF(AJ118=VAT_Cash,$J117:AJ117,$J116:AJ116)))</f>
        <v>0</v>
      </c>
      <c r="AK119" s="18">
        <f>IF(AK113&lt;&gt;VAT_Yes,0,SUMIF($J115:AK115,AK115,IF(AK118=VAT_Cash,$J117:AK117,$J116:AK116)))</f>
        <v>0</v>
      </c>
      <c r="AL119" s="18">
        <f ca="1">IF(AL113&lt;&gt;VAT_Yes,0,SUMIF($J115:AL115,AL115,IF(AL118=VAT_Cash,$J117:AL117,$J116:AL116)))</f>
        <v>-3877.9994136309679</v>
      </c>
      <c r="AM119" s="18">
        <f>IF(AM113&lt;&gt;VAT_Yes,0,SUMIF($J115:AM115,AM115,IF(AM118=VAT_Cash,$J117:AM117,$J116:AM116)))</f>
        <v>0</v>
      </c>
      <c r="AN119" s="18">
        <f>IF(AN113&lt;&gt;VAT_Yes,0,SUMIF($J115:AN115,AN115,IF(AN118=VAT_Cash,$J117:AN117,$J116:AN116)))</f>
        <v>0</v>
      </c>
      <c r="AO119" s="18">
        <f ca="1">IF(AO113&lt;&gt;VAT_Yes,0,SUMIF($J115:AO115,AO115,IF(AO118=VAT_Cash,$J117:AO117,$J116:AO116)))</f>
        <v>-3857.9912172387103</v>
      </c>
      <c r="AP119" s="18">
        <f>IF(AP113&lt;&gt;VAT_Yes,0,SUMIF($J115:AP115,AP115,IF(AP118=VAT_Cash,$J117:AP117,$J116:AP116)))</f>
        <v>0</v>
      </c>
      <c r="AQ119" s="18">
        <f>IF(AQ113&lt;&gt;VAT_Yes,0,SUMIF($J115:AQ115,AQ115,IF(AQ118=VAT_Cash,$J117:AQ117,$J116:AQ116)))</f>
        <v>0</v>
      </c>
      <c r="AR119" s="18">
        <f ca="1">IF(AR113&lt;&gt;VAT_Yes,0,SUMIF($J115:AR115,AR115,IF(AR118=VAT_Cash,$J117:AR117,$J116:AR116)))</f>
        <v>-3849.7950610379339</v>
      </c>
      <c r="AS119" s="18">
        <f>IF(AS113&lt;&gt;VAT_Yes,0,SUMIF($J115:AS115,AS115,IF(AS118=VAT_Cash,$J117:AS117,$J116:AS116)))</f>
        <v>0</v>
      </c>
    </row>
    <row r="120" spans="2:45" outlineLevel="1" x14ac:dyDescent="0.15">
      <c r="B120" s="107" t="str">
        <f>B43</f>
        <v>VAT Payment Delay (Months)</v>
      </c>
      <c r="J120" s="17">
        <f t="shared" ref="J120:AS120" si="38">IF(J113&lt;&gt;VAT_Yes,0,J43)</f>
        <v>0</v>
      </c>
      <c r="K120" s="17">
        <f t="shared" si="38"/>
        <v>1</v>
      </c>
      <c r="L120" s="17">
        <f t="shared" si="38"/>
        <v>0</v>
      </c>
      <c r="M120" s="17">
        <f t="shared" si="38"/>
        <v>0</v>
      </c>
      <c r="N120" s="17">
        <f t="shared" si="38"/>
        <v>1</v>
      </c>
      <c r="O120" s="17">
        <f t="shared" si="38"/>
        <v>0</v>
      </c>
      <c r="P120" s="17">
        <f t="shared" si="38"/>
        <v>0</v>
      </c>
      <c r="Q120" s="17">
        <f t="shared" si="38"/>
        <v>1</v>
      </c>
      <c r="R120" s="17">
        <f t="shared" si="38"/>
        <v>0</v>
      </c>
      <c r="S120" s="17">
        <f t="shared" si="38"/>
        <v>0</v>
      </c>
      <c r="T120" s="17">
        <f t="shared" si="38"/>
        <v>1</v>
      </c>
      <c r="U120" s="17">
        <f t="shared" si="38"/>
        <v>0</v>
      </c>
      <c r="V120" s="17">
        <f t="shared" si="38"/>
        <v>0</v>
      </c>
      <c r="W120" s="17">
        <f t="shared" si="38"/>
        <v>1</v>
      </c>
      <c r="X120" s="17">
        <f t="shared" si="38"/>
        <v>0</v>
      </c>
      <c r="Y120" s="17">
        <f t="shared" si="38"/>
        <v>0</v>
      </c>
      <c r="Z120" s="17">
        <f t="shared" si="38"/>
        <v>1</v>
      </c>
      <c r="AA120" s="17">
        <f t="shared" si="38"/>
        <v>0</v>
      </c>
      <c r="AB120" s="17">
        <f t="shared" si="38"/>
        <v>0</v>
      </c>
      <c r="AC120" s="17">
        <f t="shared" si="38"/>
        <v>1</v>
      </c>
      <c r="AD120" s="17">
        <f t="shared" si="38"/>
        <v>0</v>
      </c>
      <c r="AE120" s="17">
        <f t="shared" si="38"/>
        <v>0</v>
      </c>
      <c r="AF120" s="17">
        <f t="shared" si="38"/>
        <v>1</v>
      </c>
      <c r="AG120" s="17">
        <f t="shared" si="38"/>
        <v>0</v>
      </c>
      <c r="AH120" s="17">
        <f t="shared" si="38"/>
        <v>0</v>
      </c>
      <c r="AI120" s="17">
        <f t="shared" si="38"/>
        <v>1</v>
      </c>
      <c r="AJ120" s="17">
        <f t="shared" si="38"/>
        <v>0</v>
      </c>
      <c r="AK120" s="17">
        <f t="shared" si="38"/>
        <v>0</v>
      </c>
      <c r="AL120" s="17">
        <f t="shared" si="38"/>
        <v>1</v>
      </c>
      <c r="AM120" s="17">
        <f t="shared" si="38"/>
        <v>0</v>
      </c>
      <c r="AN120" s="17">
        <f t="shared" si="38"/>
        <v>0</v>
      </c>
      <c r="AO120" s="17">
        <f t="shared" si="38"/>
        <v>1</v>
      </c>
      <c r="AP120" s="17">
        <f t="shared" si="38"/>
        <v>0</v>
      </c>
      <c r="AQ120" s="17">
        <f t="shared" si="38"/>
        <v>0</v>
      </c>
      <c r="AR120" s="17">
        <f t="shared" si="38"/>
        <v>1</v>
      </c>
      <c r="AS120" s="17">
        <f t="shared" si="38"/>
        <v>0</v>
      </c>
    </row>
    <row r="121" spans="2:45" outlineLevel="1" x14ac:dyDescent="0.15">
      <c r="B121" s="107" t="s">
        <v>525</v>
      </c>
      <c r="J121" s="32">
        <f t="shared" ref="J121:AS121" si="39">IF(J113&lt;&gt;VAT_Yes,0,EDATE(J$6,1+J120)-1)</f>
        <v>0</v>
      </c>
      <c r="K121" s="32">
        <f t="shared" si="39"/>
        <v>45230</v>
      </c>
      <c r="L121" s="32">
        <f t="shared" si="39"/>
        <v>0</v>
      </c>
      <c r="M121" s="32">
        <f t="shared" si="39"/>
        <v>0</v>
      </c>
      <c r="N121" s="32">
        <f t="shared" si="39"/>
        <v>45322</v>
      </c>
      <c r="O121" s="32">
        <f t="shared" si="39"/>
        <v>0</v>
      </c>
      <c r="P121" s="32">
        <f t="shared" si="39"/>
        <v>0</v>
      </c>
      <c r="Q121" s="32">
        <f t="shared" si="39"/>
        <v>45412</v>
      </c>
      <c r="R121" s="32">
        <f t="shared" si="39"/>
        <v>0</v>
      </c>
      <c r="S121" s="32">
        <f t="shared" si="39"/>
        <v>0</v>
      </c>
      <c r="T121" s="32">
        <f t="shared" si="39"/>
        <v>45504</v>
      </c>
      <c r="U121" s="32">
        <f t="shared" si="39"/>
        <v>0</v>
      </c>
      <c r="V121" s="32">
        <f t="shared" si="39"/>
        <v>0</v>
      </c>
      <c r="W121" s="32">
        <f t="shared" si="39"/>
        <v>45596</v>
      </c>
      <c r="X121" s="32">
        <f t="shared" si="39"/>
        <v>0</v>
      </c>
      <c r="Y121" s="32">
        <f t="shared" si="39"/>
        <v>0</v>
      </c>
      <c r="Z121" s="32">
        <f t="shared" si="39"/>
        <v>45688</v>
      </c>
      <c r="AA121" s="32">
        <f t="shared" si="39"/>
        <v>0</v>
      </c>
      <c r="AB121" s="32">
        <f t="shared" si="39"/>
        <v>0</v>
      </c>
      <c r="AC121" s="32">
        <f t="shared" si="39"/>
        <v>45777</v>
      </c>
      <c r="AD121" s="32">
        <f t="shared" si="39"/>
        <v>0</v>
      </c>
      <c r="AE121" s="32">
        <f t="shared" si="39"/>
        <v>0</v>
      </c>
      <c r="AF121" s="32">
        <f t="shared" si="39"/>
        <v>45869</v>
      </c>
      <c r="AG121" s="32">
        <f t="shared" si="39"/>
        <v>0</v>
      </c>
      <c r="AH121" s="32">
        <f t="shared" si="39"/>
        <v>0</v>
      </c>
      <c r="AI121" s="32">
        <f t="shared" si="39"/>
        <v>45961</v>
      </c>
      <c r="AJ121" s="32">
        <f t="shared" si="39"/>
        <v>0</v>
      </c>
      <c r="AK121" s="32">
        <f t="shared" si="39"/>
        <v>0</v>
      </c>
      <c r="AL121" s="32">
        <f t="shared" si="39"/>
        <v>46053</v>
      </c>
      <c r="AM121" s="32">
        <f t="shared" si="39"/>
        <v>0</v>
      </c>
      <c r="AN121" s="32">
        <f t="shared" si="39"/>
        <v>0</v>
      </c>
      <c r="AO121" s="32">
        <f t="shared" si="39"/>
        <v>46142</v>
      </c>
      <c r="AP121" s="32">
        <f t="shared" si="39"/>
        <v>0</v>
      </c>
      <c r="AQ121" s="32">
        <f t="shared" si="39"/>
        <v>0</v>
      </c>
      <c r="AR121" s="32">
        <f t="shared" si="39"/>
        <v>46234</v>
      </c>
      <c r="AS121" s="32">
        <f t="shared" si="39"/>
        <v>0</v>
      </c>
    </row>
    <row r="122" spans="2:45" outlineLevel="1" x14ac:dyDescent="0.15">
      <c r="B122" s="16" t="s">
        <v>526</v>
      </c>
      <c r="J122" s="18">
        <f>SUMIF($J121:J121,J$7,$J119:J119)</f>
        <v>0</v>
      </c>
      <c r="K122" s="18">
        <f>SUMIF($J121:K121,K$7,$J119:K119)</f>
        <v>0</v>
      </c>
      <c r="L122" s="18">
        <f ca="1">SUMIF($J121:L121,L$7,$J119:L119)</f>
        <v>-44377.22531862546</v>
      </c>
      <c r="M122" s="18">
        <f>SUMIF($J121:M121,M$7,$J119:M119)</f>
        <v>0</v>
      </c>
      <c r="N122" s="18">
        <f>SUMIF($J121:N121,N$7,$J119:N119)</f>
        <v>0</v>
      </c>
      <c r="O122" s="18">
        <f ca="1">SUMIF($J121:O121,O$7,$J119:O119)</f>
        <v>-3653.5460204825827</v>
      </c>
      <c r="P122" s="18">
        <f>SUMIF($J121:P121,P$7,$J119:P119)</f>
        <v>0</v>
      </c>
      <c r="Q122" s="18">
        <f>SUMIF($J121:Q121,Q$7,$J119:Q119)</f>
        <v>0</v>
      </c>
      <c r="R122" s="18">
        <f ca="1">SUMIF($J121:R121,R$7,$J119:R119)</f>
        <v>-3942.779184356129</v>
      </c>
      <c r="S122" s="18">
        <f>SUMIF($J121:S121,S$7,$J119:S119)</f>
        <v>0</v>
      </c>
      <c r="T122" s="18">
        <f>SUMIF($J121:T121,T$7,$J119:T119)</f>
        <v>0</v>
      </c>
      <c r="U122" s="18">
        <f ca="1">SUMIF($J121:U121,U$7,$J119:U119)</f>
        <v>-4095.9005239323878</v>
      </c>
      <c r="V122" s="18">
        <f>SUMIF($J121:V121,V$7,$J119:V119)</f>
        <v>0</v>
      </c>
      <c r="W122" s="18">
        <f>SUMIF($J121:W121,W$7,$J119:W119)</f>
        <v>0</v>
      </c>
      <c r="X122" s="18">
        <f ca="1">SUMIF($J121:X121,X$7,$J119:X119)</f>
        <v>-4107.1450747486451</v>
      </c>
      <c r="Y122" s="18">
        <f>SUMIF($J121:Y121,Y$7,$J119:Y119)</f>
        <v>0</v>
      </c>
      <c r="Z122" s="18">
        <f>SUMIF($J121:Z121,Z$7,$J119:Z119)</f>
        <v>0</v>
      </c>
      <c r="AA122" s="18">
        <f ca="1">SUMIF($J121:AA121,AA$7,$J119:AA119)</f>
        <v>-4118.0881535961289</v>
      </c>
      <c r="AB122" s="18">
        <f>SUMIF($J121:AB121,AB$7,$J119:AB119)</f>
        <v>0</v>
      </c>
      <c r="AC122" s="18">
        <f>SUMIF($J121:AC121,AC$7,$J119:AC119)</f>
        <v>0</v>
      </c>
      <c r="AD122" s="18">
        <f ca="1">SUMIF($J121:AD121,AD$7,$J119:AD119)</f>
        <v>-3938.3591485161296</v>
      </c>
      <c r="AE122" s="18">
        <f>SUMIF($J121:AE121,AE$7,$J119:AE119)</f>
        <v>0</v>
      </c>
      <c r="AF122" s="18">
        <f>SUMIF($J121:AF121,AF$7,$J119:AF119)</f>
        <v>0</v>
      </c>
      <c r="AG122" s="18">
        <f ca="1">SUMIF($J121:AG121,AG$7,$J119:AG119)</f>
        <v>-3855.4627967948372</v>
      </c>
      <c r="AH122" s="18">
        <f>SUMIF($J121:AH121,AH$7,$J119:AH119)</f>
        <v>0</v>
      </c>
      <c r="AI122" s="18">
        <f>SUMIF($J121:AI121,AI$7,$J119:AI119)</f>
        <v>0</v>
      </c>
      <c r="AJ122" s="18">
        <f ca="1">SUMIF($J121:AJ121,AJ$7,$J119:AJ119)</f>
        <v>-3867.964643770325</v>
      </c>
      <c r="AK122" s="18">
        <f>SUMIF($J121:AK121,AK$7,$J119:AK119)</f>
        <v>0</v>
      </c>
      <c r="AL122" s="18">
        <f>SUMIF($J121:AL121,AL$7,$J119:AL119)</f>
        <v>0</v>
      </c>
      <c r="AM122" s="18">
        <f ca="1">SUMIF($J121:AM121,AM$7,$J119:AM119)</f>
        <v>-3877.9994136309679</v>
      </c>
      <c r="AN122" s="18">
        <f>SUMIF($J121:AN121,AN$7,$J119:AN119)</f>
        <v>0</v>
      </c>
      <c r="AO122" s="18">
        <f>SUMIF($J121:AO121,AO$7,$J119:AO119)</f>
        <v>0</v>
      </c>
      <c r="AP122" s="18">
        <f ca="1">SUMIF($J121:AP121,AP$7,$J119:AP119)</f>
        <v>-3857.9912172387103</v>
      </c>
      <c r="AQ122" s="18">
        <f>SUMIF($J121:AQ121,AQ$7,$J119:AQ119)</f>
        <v>0</v>
      </c>
      <c r="AR122" s="18">
        <f>SUMIF($J121:AR121,AR$7,$J119:AR119)</f>
        <v>0</v>
      </c>
      <c r="AS122" s="18">
        <f ca="1">SUMIF($J121:AS121,AS$7,$J119:AS119)</f>
        <v>-3849.7950610379339</v>
      </c>
    </row>
    <row r="123" spans="2:45" outlineLevel="1" x14ac:dyDescent="0.15"/>
    <row r="124" spans="2:45" outlineLevel="1" x14ac:dyDescent="0.15">
      <c r="B124" s="108" t="s">
        <v>527</v>
      </c>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row>
    <row r="125" spans="2:45" hidden="1" outlineLevel="2" x14ac:dyDescent="0.15"/>
    <row r="126" spans="2:45" hidden="1" outlineLevel="2" x14ac:dyDescent="0.15">
      <c r="B126" s="107" t="s">
        <v>372</v>
      </c>
      <c r="J126" s="17">
        <f t="shared" ref="J126:AS126" si="40">J$7-J$6+1</f>
        <v>31</v>
      </c>
      <c r="K126" s="17">
        <f t="shared" si="40"/>
        <v>30</v>
      </c>
      <c r="L126" s="17">
        <f t="shared" si="40"/>
        <v>31</v>
      </c>
      <c r="M126" s="17">
        <f t="shared" si="40"/>
        <v>30</v>
      </c>
      <c r="N126" s="17">
        <f t="shared" si="40"/>
        <v>31</v>
      </c>
      <c r="O126" s="17">
        <f t="shared" si="40"/>
        <v>31</v>
      </c>
      <c r="P126" s="17">
        <f t="shared" si="40"/>
        <v>29</v>
      </c>
      <c r="Q126" s="17">
        <f t="shared" si="40"/>
        <v>31</v>
      </c>
      <c r="R126" s="17">
        <f t="shared" si="40"/>
        <v>30</v>
      </c>
      <c r="S126" s="17">
        <f t="shared" si="40"/>
        <v>31</v>
      </c>
      <c r="T126" s="17">
        <f t="shared" si="40"/>
        <v>30</v>
      </c>
      <c r="U126" s="17">
        <f t="shared" si="40"/>
        <v>31</v>
      </c>
      <c r="V126" s="17">
        <f t="shared" si="40"/>
        <v>31</v>
      </c>
      <c r="W126" s="17">
        <f t="shared" si="40"/>
        <v>30</v>
      </c>
      <c r="X126" s="17">
        <f t="shared" si="40"/>
        <v>31</v>
      </c>
      <c r="Y126" s="17">
        <f t="shared" si="40"/>
        <v>30</v>
      </c>
      <c r="Z126" s="17">
        <f t="shared" si="40"/>
        <v>31</v>
      </c>
      <c r="AA126" s="17">
        <f t="shared" si="40"/>
        <v>31</v>
      </c>
      <c r="AB126" s="17">
        <f t="shared" si="40"/>
        <v>28</v>
      </c>
      <c r="AC126" s="17">
        <f t="shared" si="40"/>
        <v>31</v>
      </c>
      <c r="AD126" s="17">
        <f t="shared" si="40"/>
        <v>30</v>
      </c>
      <c r="AE126" s="17">
        <f t="shared" si="40"/>
        <v>31</v>
      </c>
      <c r="AF126" s="17">
        <f t="shared" si="40"/>
        <v>30</v>
      </c>
      <c r="AG126" s="17">
        <f t="shared" si="40"/>
        <v>31</v>
      </c>
      <c r="AH126" s="17">
        <f t="shared" si="40"/>
        <v>31</v>
      </c>
      <c r="AI126" s="17">
        <f t="shared" si="40"/>
        <v>30</v>
      </c>
      <c r="AJ126" s="17">
        <f t="shared" si="40"/>
        <v>31</v>
      </c>
      <c r="AK126" s="17">
        <f t="shared" si="40"/>
        <v>30</v>
      </c>
      <c r="AL126" s="17">
        <f t="shared" si="40"/>
        <v>31</v>
      </c>
      <c r="AM126" s="17">
        <f t="shared" si="40"/>
        <v>31</v>
      </c>
      <c r="AN126" s="17">
        <f t="shared" si="40"/>
        <v>28</v>
      </c>
      <c r="AO126" s="17">
        <f t="shared" si="40"/>
        <v>31</v>
      </c>
      <c r="AP126" s="17">
        <f t="shared" si="40"/>
        <v>30</v>
      </c>
      <c r="AQ126" s="17">
        <f t="shared" si="40"/>
        <v>31</v>
      </c>
      <c r="AR126" s="17">
        <f t="shared" si="40"/>
        <v>30</v>
      </c>
      <c r="AS126" s="17">
        <f t="shared" si="40"/>
        <v>31</v>
      </c>
    </row>
    <row r="127" spans="2:45" hidden="1" outlineLevel="2" x14ac:dyDescent="0.15">
      <c r="B127" s="107" t="s">
        <v>373</v>
      </c>
      <c r="J127" s="17">
        <f t="shared" ref="J127:AS127" si="41">IF(J$8=1,0,I128)</f>
        <v>0</v>
      </c>
      <c r="K127" s="17">
        <f t="shared" si="41"/>
        <v>31</v>
      </c>
      <c r="L127" s="17">
        <f t="shared" si="41"/>
        <v>61</v>
      </c>
      <c r="M127" s="17">
        <f t="shared" si="41"/>
        <v>92</v>
      </c>
      <c r="N127" s="17">
        <f t="shared" si="41"/>
        <v>122</v>
      </c>
      <c r="O127" s="17">
        <f t="shared" si="41"/>
        <v>153</v>
      </c>
      <c r="P127" s="17">
        <f t="shared" si="41"/>
        <v>184</v>
      </c>
      <c r="Q127" s="17">
        <f t="shared" si="41"/>
        <v>213</v>
      </c>
      <c r="R127" s="17">
        <f t="shared" si="41"/>
        <v>244</v>
      </c>
      <c r="S127" s="17">
        <f t="shared" si="41"/>
        <v>274</v>
      </c>
      <c r="T127" s="17">
        <f t="shared" si="41"/>
        <v>305</v>
      </c>
      <c r="U127" s="17">
        <f t="shared" si="41"/>
        <v>335</v>
      </c>
      <c r="V127" s="17">
        <f t="shared" si="41"/>
        <v>366</v>
      </c>
      <c r="W127" s="17">
        <f t="shared" si="41"/>
        <v>397</v>
      </c>
      <c r="X127" s="17">
        <f t="shared" si="41"/>
        <v>427</v>
      </c>
      <c r="Y127" s="17">
        <f t="shared" si="41"/>
        <v>458</v>
      </c>
      <c r="Z127" s="17">
        <f t="shared" si="41"/>
        <v>488</v>
      </c>
      <c r="AA127" s="17">
        <f t="shared" si="41"/>
        <v>519</v>
      </c>
      <c r="AB127" s="17">
        <f t="shared" si="41"/>
        <v>550</v>
      </c>
      <c r="AC127" s="17">
        <f t="shared" si="41"/>
        <v>578</v>
      </c>
      <c r="AD127" s="17">
        <f t="shared" si="41"/>
        <v>609</v>
      </c>
      <c r="AE127" s="17">
        <f t="shared" si="41"/>
        <v>639</v>
      </c>
      <c r="AF127" s="17">
        <f t="shared" si="41"/>
        <v>670</v>
      </c>
      <c r="AG127" s="17">
        <f t="shared" si="41"/>
        <v>700</v>
      </c>
      <c r="AH127" s="17">
        <f t="shared" si="41"/>
        <v>731</v>
      </c>
      <c r="AI127" s="17">
        <f t="shared" si="41"/>
        <v>762</v>
      </c>
      <c r="AJ127" s="17">
        <f t="shared" si="41"/>
        <v>792</v>
      </c>
      <c r="AK127" s="17">
        <f t="shared" si="41"/>
        <v>823</v>
      </c>
      <c r="AL127" s="17">
        <f t="shared" si="41"/>
        <v>853</v>
      </c>
      <c r="AM127" s="17">
        <f t="shared" si="41"/>
        <v>884</v>
      </c>
      <c r="AN127" s="17">
        <f t="shared" si="41"/>
        <v>915</v>
      </c>
      <c r="AO127" s="17">
        <f t="shared" si="41"/>
        <v>943</v>
      </c>
      <c r="AP127" s="17">
        <f t="shared" si="41"/>
        <v>974</v>
      </c>
      <c r="AQ127" s="17">
        <f t="shared" si="41"/>
        <v>1004</v>
      </c>
      <c r="AR127" s="17">
        <f t="shared" si="41"/>
        <v>1035</v>
      </c>
      <c r="AS127" s="17">
        <f t="shared" si="41"/>
        <v>1065</v>
      </c>
    </row>
    <row r="128" spans="2:45" hidden="1" outlineLevel="2" x14ac:dyDescent="0.15">
      <c r="B128" s="107" t="s">
        <v>374</v>
      </c>
      <c r="J128" s="17">
        <f t="shared" ref="J128:AS128" si="42">J127+J126</f>
        <v>31</v>
      </c>
      <c r="K128" s="17">
        <f t="shared" si="42"/>
        <v>61</v>
      </c>
      <c r="L128" s="17">
        <f t="shared" si="42"/>
        <v>92</v>
      </c>
      <c r="M128" s="17">
        <f t="shared" si="42"/>
        <v>122</v>
      </c>
      <c r="N128" s="17">
        <f t="shared" si="42"/>
        <v>153</v>
      </c>
      <c r="O128" s="17">
        <f t="shared" si="42"/>
        <v>184</v>
      </c>
      <c r="P128" s="17">
        <f t="shared" si="42"/>
        <v>213</v>
      </c>
      <c r="Q128" s="17">
        <f t="shared" si="42"/>
        <v>244</v>
      </c>
      <c r="R128" s="17">
        <f t="shared" si="42"/>
        <v>274</v>
      </c>
      <c r="S128" s="17">
        <f t="shared" si="42"/>
        <v>305</v>
      </c>
      <c r="T128" s="17">
        <f t="shared" si="42"/>
        <v>335</v>
      </c>
      <c r="U128" s="17">
        <f t="shared" si="42"/>
        <v>366</v>
      </c>
      <c r="V128" s="17">
        <f t="shared" si="42"/>
        <v>397</v>
      </c>
      <c r="W128" s="17">
        <f t="shared" si="42"/>
        <v>427</v>
      </c>
      <c r="X128" s="17">
        <f t="shared" si="42"/>
        <v>458</v>
      </c>
      <c r="Y128" s="17">
        <f t="shared" si="42"/>
        <v>488</v>
      </c>
      <c r="Z128" s="17">
        <f t="shared" si="42"/>
        <v>519</v>
      </c>
      <c r="AA128" s="17">
        <f t="shared" si="42"/>
        <v>550</v>
      </c>
      <c r="AB128" s="17">
        <f t="shared" si="42"/>
        <v>578</v>
      </c>
      <c r="AC128" s="17">
        <f t="shared" si="42"/>
        <v>609</v>
      </c>
      <c r="AD128" s="17">
        <f t="shared" si="42"/>
        <v>639</v>
      </c>
      <c r="AE128" s="17">
        <f t="shared" si="42"/>
        <v>670</v>
      </c>
      <c r="AF128" s="17">
        <f t="shared" si="42"/>
        <v>700</v>
      </c>
      <c r="AG128" s="17">
        <f t="shared" si="42"/>
        <v>731</v>
      </c>
      <c r="AH128" s="17">
        <f t="shared" si="42"/>
        <v>762</v>
      </c>
      <c r="AI128" s="17">
        <f t="shared" si="42"/>
        <v>792</v>
      </c>
      <c r="AJ128" s="17">
        <f t="shared" si="42"/>
        <v>823</v>
      </c>
      <c r="AK128" s="17">
        <f t="shared" si="42"/>
        <v>853</v>
      </c>
      <c r="AL128" s="17">
        <f t="shared" si="42"/>
        <v>884</v>
      </c>
      <c r="AM128" s="17">
        <f t="shared" si="42"/>
        <v>915</v>
      </c>
      <c r="AN128" s="17">
        <f t="shared" si="42"/>
        <v>943</v>
      </c>
      <c r="AO128" s="17">
        <f t="shared" si="42"/>
        <v>974</v>
      </c>
      <c r="AP128" s="17">
        <f t="shared" si="42"/>
        <v>1004</v>
      </c>
      <c r="AQ128" s="17">
        <f t="shared" si="42"/>
        <v>1035</v>
      </c>
      <c r="AR128" s="17">
        <f t="shared" si="42"/>
        <v>1065</v>
      </c>
      <c r="AS128" s="17">
        <f t="shared" si="42"/>
        <v>1096</v>
      </c>
    </row>
    <row r="129" spans="2:45" outlineLevel="1" collapsed="1" x14ac:dyDescent="0.15"/>
    <row r="130" spans="2:45" outlineLevel="1" x14ac:dyDescent="0.15">
      <c r="B130" s="16" t="s">
        <v>528</v>
      </c>
    </row>
    <row r="131" spans="2:45" outlineLevel="1" x14ac:dyDescent="0.15">
      <c r="B131" s="107" t="s">
        <v>529</v>
      </c>
      <c r="J131" s="14">
        <f t="shared" ref="J131:AS131" si="43">SUM(J104:J105)</f>
        <v>108</v>
      </c>
      <c r="K131" s="14">
        <f t="shared" si="43"/>
        <v>108.66666666666697</v>
      </c>
      <c r="L131" s="14">
        <f t="shared" si="43"/>
        <v>109.33333333333303</v>
      </c>
      <c r="M131" s="14">
        <f t="shared" si="43"/>
        <v>110</v>
      </c>
      <c r="N131" s="14">
        <f t="shared" si="43"/>
        <v>110.66666666666652</v>
      </c>
      <c r="O131" s="14">
        <f t="shared" si="43"/>
        <v>111.33333333333303</v>
      </c>
      <c r="P131" s="14">
        <f t="shared" si="43"/>
        <v>192</v>
      </c>
      <c r="Q131" s="14">
        <f t="shared" si="43"/>
        <v>192.66666666666697</v>
      </c>
      <c r="R131" s="14">
        <f t="shared" si="43"/>
        <v>193.33333333333303</v>
      </c>
      <c r="S131" s="14">
        <f t="shared" si="43"/>
        <v>194</v>
      </c>
      <c r="T131" s="14">
        <f t="shared" si="43"/>
        <v>194.66666666666697</v>
      </c>
      <c r="U131" s="14">
        <f t="shared" si="43"/>
        <v>195.33333333333303</v>
      </c>
      <c r="V131" s="14">
        <f t="shared" si="43"/>
        <v>196</v>
      </c>
      <c r="W131" s="14">
        <f t="shared" si="43"/>
        <v>196.66666666666697</v>
      </c>
      <c r="X131" s="14">
        <f t="shared" si="43"/>
        <v>197.33333333333394</v>
      </c>
      <c r="Y131" s="14">
        <f t="shared" si="43"/>
        <v>198</v>
      </c>
      <c r="Z131" s="14">
        <f t="shared" si="43"/>
        <v>198.66666666666697</v>
      </c>
      <c r="AA131" s="14">
        <f t="shared" si="43"/>
        <v>199.33333333333303</v>
      </c>
      <c r="AB131" s="14">
        <f t="shared" si="43"/>
        <v>280</v>
      </c>
      <c r="AC131" s="14">
        <f t="shared" si="43"/>
        <v>280.66666666666697</v>
      </c>
      <c r="AD131" s="14">
        <f t="shared" si="43"/>
        <v>281.33333333333303</v>
      </c>
      <c r="AE131" s="14">
        <f t="shared" si="43"/>
        <v>282</v>
      </c>
      <c r="AF131" s="14">
        <f t="shared" si="43"/>
        <v>282.66666666666697</v>
      </c>
      <c r="AG131" s="14">
        <f t="shared" si="43"/>
        <v>283.33333333333303</v>
      </c>
      <c r="AH131" s="14">
        <f t="shared" si="43"/>
        <v>284</v>
      </c>
      <c r="AI131" s="14">
        <f t="shared" si="43"/>
        <v>284.66666666666606</v>
      </c>
      <c r="AJ131" s="14">
        <f t="shared" si="43"/>
        <v>285.33333333333394</v>
      </c>
      <c r="AK131" s="14">
        <f t="shared" si="43"/>
        <v>286</v>
      </c>
      <c r="AL131" s="14">
        <f t="shared" si="43"/>
        <v>286.66666666666697</v>
      </c>
      <c r="AM131" s="14">
        <f t="shared" si="43"/>
        <v>287.33333333333394</v>
      </c>
      <c r="AN131" s="14">
        <f t="shared" si="43"/>
        <v>288</v>
      </c>
      <c r="AO131" s="14">
        <f t="shared" si="43"/>
        <v>288.66666666666606</v>
      </c>
      <c r="AP131" s="14">
        <f t="shared" si="43"/>
        <v>289.33333333333303</v>
      </c>
      <c r="AQ131" s="14">
        <f t="shared" si="43"/>
        <v>290</v>
      </c>
      <c r="AR131" s="14">
        <f t="shared" si="43"/>
        <v>290.66666666666606</v>
      </c>
      <c r="AS131" s="14">
        <f t="shared" si="43"/>
        <v>291.33333333333303</v>
      </c>
    </row>
    <row r="132" spans="2:45" outlineLevel="1" x14ac:dyDescent="0.15">
      <c r="B132" s="107" t="str">
        <f>B46</f>
        <v>Average Revenue Cash Receipt Delay (Days)</v>
      </c>
      <c r="J132" s="17">
        <f t="shared" ref="J132:AS132" si="44">J46</f>
        <v>0</v>
      </c>
      <c r="K132" s="17">
        <f t="shared" si="44"/>
        <v>0</v>
      </c>
      <c r="L132" s="17">
        <f t="shared" si="44"/>
        <v>0</v>
      </c>
      <c r="M132" s="17">
        <f t="shared" si="44"/>
        <v>0</v>
      </c>
      <c r="N132" s="17">
        <f t="shared" si="44"/>
        <v>0</v>
      </c>
      <c r="O132" s="17">
        <f t="shared" si="44"/>
        <v>0</v>
      </c>
      <c r="P132" s="17">
        <f t="shared" si="44"/>
        <v>0</v>
      </c>
      <c r="Q132" s="17">
        <f t="shared" si="44"/>
        <v>0</v>
      </c>
      <c r="R132" s="17">
        <f t="shared" si="44"/>
        <v>0</v>
      </c>
      <c r="S132" s="17">
        <f t="shared" si="44"/>
        <v>0</v>
      </c>
      <c r="T132" s="17">
        <f t="shared" si="44"/>
        <v>0</v>
      </c>
      <c r="U132" s="17">
        <f t="shared" si="44"/>
        <v>0</v>
      </c>
      <c r="V132" s="17">
        <f t="shared" si="44"/>
        <v>0</v>
      </c>
      <c r="W132" s="17">
        <f t="shared" si="44"/>
        <v>0</v>
      </c>
      <c r="X132" s="17">
        <f t="shared" si="44"/>
        <v>0</v>
      </c>
      <c r="Y132" s="17">
        <f t="shared" si="44"/>
        <v>0</v>
      </c>
      <c r="Z132" s="17">
        <f t="shared" si="44"/>
        <v>0</v>
      </c>
      <c r="AA132" s="17">
        <f t="shared" si="44"/>
        <v>0</v>
      </c>
      <c r="AB132" s="17">
        <f t="shared" si="44"/>
        <v>0</v>
      </c>
      <c r="AC132" s="17">
        <f t="shared" si="44"/>
        <v>0</v>
      </c>
      <c r="AD132" s="17">
        <f t="shared" si="44"/>
        <v>0</v>
      </c>
      <c r="AE132" s="17">
        <f t="shared" si="44"/>
        <v>0</v>
      </c>
      <c r="AF132" s="17">
        <f t="shared" si="44"/>
        <v>0</v>
      </c>
      <c r="AG132" s="17">
        <f t="shared" si="44"/>
        <v>0</v>
      </c>
      <c r="AH132" s="17">
        <f t="shared" si="44"/>
        <v>0</v>
      </c>
      <c r="AI132" s="17">
        <f t="shared" si="44"/>
        <v>0</v>
      </c>
      <c r="AJ132" s="17">
        <f t="shared" si="44"/>
        <v>0</v>
      </c>
      <c r="AK132" s="17">
        <f t="shared" si="44"/>
        <v>0</v>
      </c>
      <c r="AL132" s="17">
        <f t="shared" si="44"/>
        <v>0</v>
      </c>
      <c r="AM132" s="17">
        <f t="shared" si="44"/>
        <v>0</v>
      </c>
      <c r="AN132" s="17">
        <f t="shared" si="44"/>
        <v>0</v>
      </c>
      <c r="AO132" s="17">
        <f t="shared" si="44"/>
        <v>0</v>
      </c>
      <c r="AP132" s="17">
        <f t="shared" si="44"/>
        <v>0</v>
      </c>
      <c r="AQ132" s="17">
        <f t="shared" si="44"/>
        <v>0</v>
      </c>
      <c r="AR132" s="17">
        <f t="shared" si="44"/>
        <v>0</v>
      </c>
      <c r="AS132" s="17">
        <f t="shared" si="44"/>
        <v>0</v>
      </c>
    </row>
    <row r="133" spans="2:45" hidden="1" outlineLevel="2" x14ac:dyDescent="0.15">
      <c r="B133" s="107" t="s">
        <v>378</v>
      </c>
      <c r="J133" s="17">
        <f t="shared" ref="J133:AS133" si="45">J$127+J132</f>
        <v>0</v>
      </c>
      <c r="K133" s="17">
        <f t="shared" si="45"/>
        <v>31</v>
      </c>
      <c r="L133" s="17">
        <f t="shared" si="45"/>
        <v>61</v>
      </c>
      <c r="M133" s="17">
        <f t="shared" si="45"/>
        <v>92</v>
      </c>
      <c r="N133" s="17">
        <f t="shared" si="45"/>
        <v>122</v>
      </c>
      <c r="O133" s="17">
        <f t="shared" si="45"/>
        <v>153</v>
      </c>
      <c r="P133" s="17">
        <f t="shared" si="45"/>
        <v>184</v>
      </c>
      <c r="Q133" s="17">
        <f t="shared" si="45"/>
        <v>213</v>
      </c>
      <c r="R133" s="17">
        <f t="shared" si="45"/>
        <v>244</v>
      </c>
      <c r="S133" s="17">
        <f t="shared" si="45"/>
        <v>274</v>
      </c>
      <c r="T133" s="17">
        <f t="shared" si="45"/>
        <v>305</v>
      </c>
      <c r="U133" s="17">
        <f t="shared" si="45"/>
        <v>335</v>
      </c>
      <c r="V133" s="17">
        <f t="shared" si="45"/>
        <v>366</v>
      </c>
      <c r="W133" s="17">
        <f t="shared" si="45"/>
        <v>397</v>
      </c>
      <c r="X133" s="17">
        <f t="shared" si="45"/>
        <v>427</v>
      </c>
      <c r="Y133" s="17">
        <f t="shared" si="45"/>
        <v>458</v>
      </c>
      <c r="Z133" s="17">
        <f t="shared" si="45"/>
        <v>488</v>
      </c>
      <c r="AA133" s="17">
        <f t="shared" si="45"/>
        <v>519</v>
      </c>
      <c r="AB133" s="17">
        <f t="shared" si="45"/>
        <v>550</v>
      </c>
      <c r="AC133" s="17">
        <f t="shared" si="45"/>
        <v>578</v>
      </c>
      <c r="AD133" s="17">
        <f t="shared" si="45"/>
        <v>609</v>
      </c>
      <c r="AE133" s="17">
        <f t="shared" si="45"/>
        <v>639</v>
      </c>
      <c r="AF133" s="17">
        <f t="shared" si="45"/>
        <v>670</v>
      </c>
      <c r="AG133" s="17">
        <f t="shared" si="45"/>
        <v>700</v>
      </c>
      <c r="AH133" s="17">
        <f t="shared" si="45"/>
        <v>731</v>
      </c>
      <c r="AI133" s="17">
        <f t="shared" si="45"/>
        <v>762</v>
      </c>
      <c r="AJ133" s="17">
        <f t="shared" si="45"/>
        <v>792</v>
      </c>
      <c r="AK133" s="17">
        <f t="shared" si="45"/>
        <v>823</v>
      </c>
      <c r="AL133" s="17">
        <f t="shared" si="45"/>
        <v>853</v>
      </c>
      <c r="AM133" s="17">
        <f t="shared" si="45"/>
        <v>884</v>
      </c>
      <c r="AN133" s="17">
        <f t="shared" si="45"/>
        <v>915</v>
      </c>
      <c r="AO133" s="17">
        <f t="shared" si="45"/>
        <v>943</v>
      </c>
      <c r="AP133" s="17">
        <f t="shared" si="45"/>
        <v>974</v>
      </c>
      <c r="AQ133" s="17">
        <f t="shared" si="45"/>
        <v>1004</v>
      </c>
      <c r="AR133" s="17">
        <f t="shared" si="45"/>
        <v>1035</v>
      </c>
      <c r="AS133" s="17">
        <f t="shared" si="45"/>
        <v>1065</v>
      </c>
    </row>
    <row r="134" spans="2:45" hidden="1" outlineLevel="2" x14ac:dyDescent="0.15">
      <c r="B134" s="107" t="s">
        <v>379</v>
      </c>
      <c r="J134" s="42">
        <f t="shared" ref="J134:AS134" si="46">J133+J$126</f>
        <v>31</v>
      </c>
      <c r="K134" s="42">
        <f t="shared" si="46"/>
        <v>61</v>
      </c>
      <c r="L134" s="42">
        <f t="shared" si="46"/>
        <v>92</v>
      </c>
      <c r="M134" s="42">
        <f t="shared" si="46"/>
        <v>122</v>
      </c>
      <c r="N134" s="42">
        <f t="shared" si="46"/>
        <v>153</v>
      </c>
      <c r="O134" s="42">
        <f t="shared" si="46"/>
        <v>184</v>
      </c>
      <c r="P134" s="42">
        <f t="shared" si="46"/>
        <v>213</v>
      </c>
      <c r="Q134" s="42">
        <f t="shared" si="46"/>
        <v>244</v>
      </c>
      <c r="R134" s="42">
        <f t="shared" si="46"/>
        <v>274</v>
      </c>
      <c r="S134" s="42">
        <f t="shared" si="46"/>
        <v>305</v>
      </c>
      <c r="T134" s="42">
        <f t="shared" si="46"/>
        <v>335</v>
      </c>
      <c r="U134" s="42">
        <f t="shared" si="46"/>
        <v>366</v>
      </c>
      <c r="V134" s="42">
        <f t="shared" si="46"/>
        <v>397</v>
      </c>
      <c r="W134" s="42">
        <f t="shared" si="46"/>
        <v>427</v>
      </c>
      <c r="X134" s="42">
        <f t="shared" si="46"/>
        <v>458</v>
      </c>
      <c r="Y134" s="42">
        <f t="shared" si="46"/>
        <v>488</v>
      </c>
      <c r="Z134" s="42">
        <f t="shared" si="46"/>
        <v>519</v>
      </c>
      <c r="AA134" s="42">
        <f t="shared" si="46"/>
        <v>550</v>
      </c>
      <c r="AB134" s="42">
        <f t="shared" si="46"/>
        <v>578</v>
      </c>
      <c r="AC134" s="42">
        <f t="shared" si="46"/>
        <v>609</v>
      </c>
      <c r="AD134" s="42">
        <f t="shared" si="46"/>
        <v>639</v>
      </c>
      <c r="AE134" s="42">
        <f t="shared" si="46"/>
        <v>670</v>
      </c>
      <c r="AF134" s="42">
        <f t="shared" si="46"/>
        <v>700</v>
      </c>
      <c r="AG134" s="42">
        <f t="shared" si="46"/>
        <v>731</v>
      </c>
      <c r="AH134" s="42">
        <f t="shared" si="46"/>
        <v>762</v>
      </c>
      <c r="AI134" s="42">
        <f t="shared" si="46"/>
        <v>792</v>
      </c>
      <c r="AJ134" s="42">
        <f t="shared" si="46"/>
        <v>823</v>
      </c>
      <c r="AK134" s="42">
        <f t="shared" si="46"/>
        <v>853</v>
      </c>
      <c r="AL134" s="42">
        <f t="shared" si="46"/>
        <v>884</v>
      </c>
      <c r="AM134" s="42">
        <f t="shared" si="46"/>
        <v>915</v>
      </c>
      <c r="AN134" s="42">
        <f t="shared" si="46"/>
        <v>943</v>
      </c>
      <c r="AO134" s="42">
        <f t="shared" si="46"/>
        <v>974</v>
      </c>
      <c r="AP134" s="42">
        <f t="shared" si="46"/>
        <v>1004</v>
      </c>
      <c r="AQ134" s="42">
        <f t="shared" si="46"/>
        <v>1035</v>
      </c>
      <c r="AR134" s="42">
        <f t="shared" si="46"/>
        <v>1065</v>
      </c>
      <c r="AS134" s="42">
        <f t="shared" si="46"/>
        <v>1096</v>
      </c>
    </row>
    <row r="135" spans="2:45" hidden="1" outlineLevel="2" x14ac:dyDescent="0.15">
      <c r="B135" s="107" t="s">
        <v>380</v>
      </c>
      <c r="J135" s="17">
        <f t="shared" ref="J135:AS135" si="47">IF(J133&gt;MAX($J$128:$AS$128),0,MATCH(J133,$J$127:$AS$127,1))</f>
        <v>1</v>
      </c>
      <c r="K135" s="17">
        <f t="shared" si="47"/>
        <v>2</v>
      </c>
      <c r="L135" s="17">
        <f t="shared" si="47"/>
        <v>3</v>
      </c>
      <c r="M135" s="17">
        <f t="shared" si="47"/>
        <v>4</v>
      </c>
      <c r="N135" s="17">
        <f t="shared" si="47"/>
        <v>5</v>
      </c>
      <c r="O135" s="17">
        <f t="shared" si="47"/>
        <v>6</v>
      </c>
      <c r="P135" s="17">
        <f t="shared" si="47"/>
        <v>7</v>
      </c>
      <c r="Q135" s="17">
        <f t="shared" si="47"/>
        <v>8</v>
      </c>
      <c r="R135" s="17">
        <f t="shared" si="47"/>
        <v>9</v>
      </c>
      <c r="S135" s="17">
        <f t="shared" si="47"/>
        <v>10</v>
      </c>
      <c r="T135" s="17">
        <f t="shared" si="47"/>
        <v>11</v>
      </c>
      <c r="U135" s="17">
        <f t="shared" si="47"/>
        <v>12</v>
      </c>
      <c r="V135" s="17">
        <f t="shared" si="47"/>
        <v>13</v>
      </c>
      <c r="W135" s="17">
        <f t="shared" si="47"/>
        <v>14</v>
      </c>
      <c r="X135" s="17">
        <f t="shared" si="47"/>
        <v>15</v>
      </c>
      <c r="Y135" s="17">
        <f t="shared" si="47"/>
        <v>16</v>
      </c>
      <c r="Z135" s="17">
        <f t="shared" si="47"/>
        <v>17</v>
      </c>
      <c r="AA135" s="17">
        <f t="shared" si="47"/>
        <v>18</v>
      </c>
      <c r="AB135" s="17">
        <f t="shared" si="47"/>
        <v>19</v>
      </c>
      <c r="AC135" s="17">
        <f t="shared" si="47"/>
        <v>20</v>
      </c>
      <c r="AD135" s="17">
        <f t="shared" si="47"/>
        <v>21</v>
      </c>
      <c r="AE135" s="17">
        <f t="shared" si="47"/>
        <v>22</v>
      </c>
      <c r="AF135" s="17">
        <f t="shared" si="47"/>
        <v>23</v>
      </c>
      <c r="AG135" s="17">
        <f t="shared" si="47"/>
        <v>24</v>
      </c>
      <c r="AH135" s="17">
        <f t="shared" si="47"/>
        <v>25</v>
      </c>
      <c r="AI135" s="17">
        <f t="shared" si="47"/>
        <v>26</v>
      </c>
      <c r="AJ135" s="17">
        <f t="shared" si="47"/>
        <v>27</v>
      </c>
      <c r="AK135" s="17">
        <f t="shared" si="47"/>
        <v>28</v>
      </c>
      <c r="AL135" s="17">
        <f t="shared" si="47"/>
        <v>29</v>
      </c>
      <c r="AM135" s="17">
        <f t="shared" si="47"/>
        <v>30</v>
      </c>
      <c r="AN135" s="17">
        <f t="shared" si="47"/>
        <v>31</v>
      </c>
      <c r="AO135" s="17">
        <f t="shared" si="47"/>
        <v>32</v>
      </c>
      <c r="AP135" s="17">
        <f t="shared" si="47"/>
        <v>33</v>
      </c>
      <c r="AQ135" s="17">
        <f t="shared" si="47"/>
        <v>34</v>
      </c>
      <c r="AR135" s="17">
        <f t="shared" si="47"/>
        <v>35</v>
      </c>
      <c r="AS135" s="17">
        <f t="shared" si="47"/>
        <v>36</v>
      </c>
    </row>
    <row r="136" spans="2:45" hidden="1" outlineLevel="2" x14ac:dyDescent="0.15">
      <c r="B136" s="107" t="s">
        <v>381</v>
      </c>
      <c r="J136" s="17">
        <f t="shared" ref="J136:AS136" si="48">IF(J135&lt;1,0,IF(J135&gt;=COLUMNS($J135:$AS135),0,J135+1))</f>
        <v>2</v>
      </c>
      <c r="K136" s="17">
        <f t="shared" si="48"/>
        <v>3</v>
      </c>
      <c r="L136" s="17">
        <f t="shared" si="48"/>
        <v>4</v>
      </c>
      <c r="M136" s="17">
        <f t="shared" si="48"/>
        <v>5</v>
      </c>
      <c r="N136" s="17">
        <f t="shared" si="48"/>
        <v>6</v>
      </c>
      <c r="O136" s="17">
        <f t="shared" si="48"/>
        <v>7</v>
      </c>
      <c r="P136" s="17">
        <f t="shared" si="48"/>
        <v>8</v>
      </c>
      <c r="Q136" s="17">
        <f t="shared" si="48"/>
        <v>9</v>
      </c>
      <c r="R136" s="17">
        <f t="shared" si="48"/>
        <v>10</v>
      </c>
      <c r="S136" s="17">
        <f t="shared" si="48"/>
        <v>11</v>
      </c>
      <c r="T136" s="17">
        <f t="shared" si="48"/>
        <v>12</v>
      </c>
      <c r="U136" s="17">
        <f t="shared" si="48"/>
        <v>13</v>
      </c>
      <c r="V136" s="17">
        <f t="shared" si="48"/>
        <v>14</v>
      </c>
      <c r="W136" s="17">
        <f t="shared" si="48"/>
        <v>15</v>
      </c>
      <c r="X136" s="17">
        <f t="shared" si="48"/>
        <v>16</v>
      </c>
      <c r="Y136" s="17">
        <f t="shared" si="48"/>
        <v>17</v>
      </c>
      <c r="Z136" s="17">
        <f t="shared" si="48"/>
        <v>18</v>
      </c>
      <c r="AA136" s="17">
        <f t="shared" si="48"/>
        <v>19</v>
      </c>
      <c r="AB136" s="17">
        <f t="shared" si="48"/>
        <v>20</v>
      </c>
      <c r="AC136" s="17">
        <f t="shared" si="48"/>
        <v>21</v>
      </c>
      <c r="AD136" s="17">
        <f t="shared" si="48"/>
        <v>22</v>
      </c>
      <c r="AE136" s="17">
        <f t="shared" si="48"/>
        <v>23</v>
      </c>
      <c r="AF136" s="17">
        <f t="shared" si="48"/>
        <v>24</v>
      </c>
      <c r="AG136" s="17">
        <f t="shared" si="48"/>
        <v>25</v>
      </c>
      <c r="AH136" s="17">
        <f t="shared" si="48"/>
        <v>26</v>
      </c>
      <c r="AI136" s="17">
        <f t="shared" si="48"/>
        <v>27</v>
      </c>
      <c r="AJ136" s="17">
        <f t="shared" si="48"/>
        <v>28</v>
      </c>
      <c r="AK136" s="17">
        <f t="shared" si="48"/>
        <v>29</v>
      </c>
      <c r="AL136" s="17">
        <f t="shared" si="48"/>
        <v>30</v>
      </c>
      <c r="AM136" s="17">
        <f t="shared" si="48"/>
        <v>31</v>
      </c>
      <c r="AN136" s="17">
        <f t="shared" si="48"/>
        <v>32</v>
      </c>
      <c r="AO136" s="17">
        <f t="shared" si="48"/>
        <v>33</v>
      </c>
      <c r="AP136" s="17">
        <f t="shared" si="48"/>
        <v>34</v>
      </c>
      <c r="AQ136" s="17">
        <f t="shared" si="48"/>
        <v>35</v>
      </c>
      <c r="AR136" s="17">
        <f t="shared" si="48"/>
        <v>36</v>
      </c>
      <c r="AS136" s="17">
        <f t="shared" si="48"/>
        <v>0</v>
      </c>
    </row>
    <row r="137" spans="2:45" hidden="1" outlineLevel="2" x14ac:dyDescent="0.15">
      <c r="B137" s="107" t="s">
        <v>382</v>
      </c>
      <c r="J137" s="42">
        <f t="shared" ref="J137:AS137" si="49">IF(J136&lt;1,0,IF(J136&gt;=COLUMNS($J136:$AS136),0,J136+1))</f>
        <v>3</v>
      </c>
      <c r="K137" s="42">
        <f t="shared" si="49"/>
        <v>4</v>
      </c>
      <c r="L137" s="42">
        <f t="shared" si="49"/>
        <v>5</v>
      </c>
      <c r="M137" s="42">
        <f t="shared" si="49"/>
        <v>6</v>
      </c>
      <c r="N137" s="42">
        <f t="shared" si="49"/>
        <v>7</v>
      </c>
      <c r="O137" s="42">
        <f t="shared" si="49"/>
        <v>8</v>
      </c>
      <c r="P137" s="42">
        <f t="shared" si="49"/>
        <v>9</v>
      </c>
      <c r="Q137" s="42">
        <f t="shared" si="49"/>
        <v>10</v>
      </c>
      <c r="R137" s="42">
        <f t="shared" si="49"/>
        <v>11</v>
      </c>
      <c r="S137" s="42">
        <f t="shared" si="49"/>
        <v>12</v>
      </c>
      <c r="T137" s="42">
        <f t="shared" si="49"/>
        <v>13</v>
      </c>
      <c r="U137" s="42">
        <f t="shared" si="49"/>
        <v>14</v>
      </c>
      <c r="V137" s="42">
        <f t="shared" si="49"/>
        <v>15</v>
      </c>
      <c r="W137" s="42">
        <f t="shared" si="49"/>
        <v>16</v>
      </c>
      <c r="X137" s="42">
        <f t="shared" si="49"/>
        <v>17</v>
      </c>
      <c r="Y137" s="42">
        <f t="shared" si="49"/>
        <v>18</v>
      </c>
      <c r="Z137" s="42">
        <f t="shared" si="49"/>
        <v>19</v>
      </c>
      <c r="AA137" s="42">
        <f t="shared" si="49"/>
        <v>20</v>
      </c>
      <c r="AB137" s="42">
        <f t="shared" si="49"/>
        <v>21</v>
      </c>
      <c r="AC137" s="42">
        <f t="shared" si="49"/>
        <v>22</v>
      </c>
      <c r="AD137" s="42">
        <f t="shared" si="49"/>
        <v>23</v>
      </c>
      <c r="AE137" s="42">
        <f t="shared" si="49"/>
        <v>24</v>
      </c>
      <c r="AF137" s="42">
        <f t="shared" si="49"/>
        <v>25</v>
      </c>
      <c r="AG137" s="42">
        <f t="shared" si="49"/>
        <v>26</v>
      </c>
      <c r="AH137" s="42">
        <f t="shared" si="49"/>
        <v>27</v>
      </c>
      <c r="AI137" s="42">
        <f t="shared" si="49"/>
        <v>28</v>
      </c>
      <c r="AJ137" s="42">
        <f t="shared" si="49"/>
        <v>29</v>
      </c>
      <c r="AK137" s="42">
        <f t="shared" si="49"/>
        <v>30</v>
      </c>
      <c r="AL137" s="42">
        <f t="shared" si="49"/>
        <v>31</v>
      </c>
      <c r="AM137" s="42">
        <f t="shared" si="49"/>
        <v>32</v>
      </c>
      <c r="AN137" s="42">
        <f t="shared" si="49"/>
        <v>33</v>
      </c>
      <c r="AO137" s="42">
        <f t="shared" si="49"/>
        <v>34</v>
      </c>
      <c r="AP137" s="42">
        <f t="shared" si="49"/>
        <v>35</v>
      </c>
      <c r="AQ137" s="42">
        <f t="shared" si="49"/>
        <v>36</v>
      </c>
      <c r="AR137" s="42">
        <f t="shared" si="49"/>
        <v>0</v>
      </c>
      <c r="AS137" s="42">
        <f t="shared" si="49"/>
        <v>0</v>
      </c>
    </row>
    <row r="138" spans="2:45" hidden="1" outlineLevel="2" x14ac:dyDescent="0.15">
      <c r="B138" s="107" t="s">
        <v>383</v>
      </c>
      <c r="J138" s="14">
        <f t="shared" ref="J138:AS138" si="50">J131/J$126*MAX(MIN(INDEX($J$128:$AS$128,J135),J134)-J133,0)</f>
        <v>108</v>
      </c>
      <c r="K138" s="14">
        <f t="shared" si="50"/>
        <v>108.66666666666697</v>
      </c>
      <c r="L138" s="14">
        <f t="shared" si="50"/>
        <v>109.33333333333303</v>
      </c>
      <c r="M138" s="14">
        <f t="shared" si="50"/>
        <v>110</v>
      </c>
      <c r="N138" s="14">
        <f t="shared" si="50"/>
        <v>110.66666666666652</v>
      </c>
      <c r="O138" s="14">
        <f t="shared" si="50"/>
        <v>111.33333333333303</v>
      </c>
      <c r="P138" s="14">
        <f t="shared" si="50"/>
        <v>192</v>
      </c>
      <c r="Q138" s="14">
        <f t="shared" si="50"/>
        <v>192.66666666666697</v>
      </c>
      <c r="R138" s="14">
        <f t="shared" si="50"/>
        <v>193.33333333333303</v>
      </c>
      <c r="S138" s="14">
        <f t="shared" si="50"/>
        <v>194</v>
      </c>
      <c r="T138" s="14">
        <f t="shared" si="50"/>
        <v>194.66666666666697</v>
      </c>
      <c r="U138" s="14">
        <f t="shared" si="50"/>
        <v>195.33333333333303</v>
      </c>
      <c r="V138" s="14">
        <f t="shared" si="50"/>
        <v>196</v>
      </c>
      <c r="W138" s="14">
        <f t="shared" si="50"/>
        <v>196.66666666666697</v>
      </c>
      <c r="X138" s="14">
        <f t="shared" si="50"/>
        <v>197.33333333333394</v>
      </c>
      <c r="Y138" s="14">
        <f t="shared" si="50"/>
        <v>198</v>
      </c>
      <c r="Z138" s="14">
        <f t="shared" si="50"/>
        <v>198.66666666666697</v>
      </c>
      <c r="AA138" s="14">
        <f t="shared" si="50"/>
        <v>199.33333333333303</v>
      </c>
      <c r="AB138" s="14">
        <f t="shared" si="50"/>
        <v>280</v>
      </c>
      <c r="AC138" s="14">
        <f t="shared" si="50"/>
        <v>280.66666666666697</v>
      </c>
      <c r="AD138" s="14">
        <f t="shared" si="50"/>
        <v>281.33333333333303</v>
      </c>
      <c r="AE138" s="14">
        <f t="shared" si="50"/>
        <v>282</v>
      </c>
      <c r="AF138" s="14">
        <f t="shared" si="50"/>
        <v>282.66666666666697</v>
      </c>
      <c r="AG138" s="14">
        <f t="shared" si="50"/>
        <v>283.33333333333303</v>
      </c>
      <c r="AH138" s="14">
        <f t="shared" si="50"/>
        <v>284</v>
      </c>
      <c r="AI138" s="14">
        <f t="shared" si="50"/>
        <v>284.66666666666606</v>
      </c>
      <c r="AJ138" s="14">
        <f t="shared" si="50"/>
        <v>285.33333333333394</v>
      </c>
      <c r="AK138" s="14">
        <f t="shared" si="50"/>
        <v>286</v>
      </c>
      <c r="AL138" s="14">
        <f t="shared" si="50"/>
        <v>286.66666666666697</v>
      </c>
      <c r="AM138" s="14">
        <f t="shared" si="50"/>
        <v>287.33333333333394</v>
      </c>
      <c r="AN138" s="14">
        <f t="shared" si="50"/>
        <v>288</v>
      </c>
      <c r="AO138" s="14">
        <f t="shared" si="50"/>
        <v>288.66666666666606</v>
      </c>
      <c r="AP138" s="14">
        <f t="shared" si="50"/>
        <v>289.33333333333303</v>
      </c>
      <c r="AQ138" s="14">
        <f t="shared" si="50"/>
        <v>290</v>
      </c>
      <c r="AR138" s="14">
        <f t="shared" si="50"/>
        <v>290.66666666666606</v>
      </c>
      <c r="AS138" s="14">
        <f t="shared" si="50"/>
        <v>291.33333333333303</v>
      </c>
    </row>
    <row r="139" spans="2:45" hidden="1" outlineLevel="2" x14ac:dyDescent="0.15">
      <c r="B139" s="107" t="s">
        <v>384</v>
      </c>
      <c r="J139" s="14">
        <f t="shared" ref="J139:AS139" si="51">J131/J$126*MAX(MIN(INDEX($J$128:$AS$128,J136),J134)-INDEX($J$127:$AS$127,J136),0)</f>
        <v>0</v>
      </c>
      <c r="K139" s="14">
        <f t="shared" si="51"/>
        <v>0</v>
      </c>
      <c r="L139" s="14">
        <f t="shared" si="51"/>
        <v>0</v>
      </c>
      <c r="M139" s="14">
        <f t="shared" si="51"/>
        <v>0</v>
      </c>
      <c r="N139" s="14">
        <f t="shared" si="51"/>
        <v>0</v>
      </c>
      <c r="O139" s="14">
        <f t="shared" si="51"/>
        <v>0</v>
      </c>
      <c r="P139" s="14">
        <f t="shared" si="51"/>
        <v>0</v>
      </c>
      <c r="Q139" s="14">
        <f t="shared" si="51"/>
        <v>0</v>
      </c>
      <c r="R139" s="14">
        <f t="shared" si="51"/>
        <v>0</v>
      </c>
      <c r="S139" s="14">
        <f t="shared" si="51"/>
        <v>0</v>
      </c>
      <c r="T139" s="14">
        <f t="shared" si="51"/>
        <v>0</v>
      </c>
      <c r="U139" s="14">
        <f t="shared" si="51"/>
        <v>0</v>
      </c>
      <c r="V139" s="14">
        <f t="shared" si="51"/>
        <v>0</v>
      </c>
      <c r="W139" s="14">
        <f t="shared" si="51"/>
        <v>0</v>
      </c>
      <c r="X139" s="14">
        <f t="shared" si="51"/>
        <v>0</v>
      </c>
      <c r="Y139" s="14">
        <f t="shared" si="51"/>
        <v>0</v>
      </c>
      <c r="Z139" s="14">
        <f t="shared" si="51"/>
        <v>0</v>
      </c>
      <c r="AA139" s="14">
        <f t="shared" si="51"/>
        <v>0</v>
      </c>
      <c r="AB139" s="14">
        <f t="shared" si="51"/>
        <v>0</v>
      </c>
      <c r="AC139" s="14">
        <f t="shared" si="51"/>
        <v>0</v>
      </c>
      <c r="AD139" s="14">
        <f t="shared" si="51"/>
        <v>0</v>
      </c>
      <c r="AE139" s="14">
        <f t="shared" si="51"/>
        <v>0</v>
      </c>
      <c r="AF139" s="14">
        <f t="shared" si="51"/>
        <v>0</v>
      </c>
      <c r="AG139" s="14">
        <f t="shared" si="51"/>
        <v>0</v>
      </c>
      <c r="AH139" s="14">
        <f t="shared" si="51"/>
        <v>0</v>
      </c>
      <c r="AI139" s="14">
        <f t="shared" si="51"/>
        <v>0</v>
      </c>
      <c r="AJ139" s="14">
        <f t="shared" si="51"/>
        <v>0</v>
      </c>
      <c r="AK139" s="14">
        <f t="shared" si="51"/>
        <v>0</v>
      </c>
      <c r="AL139" s="14">
        <f t="shared" si="51"/>
        <v>0</v>
      </c>
      <c r="AM139" s="14">
        <f t="shared" si="51"/>
        <v>0</v>
      </c>
      <c r="AN139" s="14">
        <f t="shared" si="51"/>
        <v>0</v>
      </c>
      <c r="AO139" s="14">
        <f t="shared" si="51"/>
        <v>0</v>
      </c>
      <c r="AP139" s="14">
        <f t="shared" si="51"/>
        <v>0</v>
      </c>
      <c r="AQ139" s="14">
        <f t="shared" si="51"/>
        <v>0</v>
      </c>
      <c r="AR139" s="14">
        <f t="shared" si="51"/>
        <v>0</v>
      </c>
      <c r="AS139" s="14">
        <f t="shared" si="51"/>
        <v>0</v>
      </c>
    </row>
    <row r="140" spans="2:45" hidden="1" outlineLevel="2" x14ac:dyDescent="0.15">
      <c r="B140" s="107" t="s">
        <v>385</v>
      </c>
      <c r="J140" s="23">
        <f t="shared" ref="J140:AS140" si="52">J131/J$126*MAX(MIN(INDEX($J$128:$AS$128,J137),J134)-INDEX($J$127:$AS$127,J137),0)</f>
        <v>0</v>
      </c>
      <c r="K140" s="23">
        <f t="shared" si="52"/>
        <v>0</v>
      </c>
      <c r="L140" s="23">
        <f t="shared" si="52"/>
        <v>0</v>
      </c>
      <c r="M140" s="23">
        <f t="shared" si="52"/>
        <v>0</v>
      </c>
      <c r="N140" s="23">
        <f t="shared" si="52"/>
        <v>0</v>
      </c>
      <c r="O140" s="23">
        <f t="shared" si="52"/>
        <v>0</v>
      </c>
      <c r="P140" s="23">
        <f t="shared" si="52"/>
        <v>0</v>
      </c>
      <c r="Q140" s="23">
        <f t="shared" si="52"/>
        <v>0</v>
      </c>
      <c r="R140" s="23">
        <f t="shared" si="52"/>
        <v>0</v>
      </c>
      <c r="S140" s="23">
        <f t="shared" si="52"/>
        <v>0</v>
      </c>
      <c r="T140" s="23">
        <f t="shared" si="52"/>
        <v>0</v>
      </c>
      <c r="U140" s="23">
        <f t="shared" si="52"/>
        <v>0</v>
      </c>
      <c r="V140" s="23">
        <f t="shared" si="52"/>
        <v>0</v>
      </c>
      <c r="W140" s="23">
        <f t="shared" si="52"/>
        <v>0</v>
      </c>
      <c r="X140" s="23">
        <f t="shared" si="52"/>
        <v>0</v>
      </c>
      <c r="Y140" s="23">
        <f t="shared" si="52"/>
        <v>0</v>
      </c>
      <c r="Z140" s="23">
        <f t="shared" si="52"/>
        <v>0</v>
      </c>
      <c r="AA140" s="23">
        <f t="shared" si="52"/>
        <v>0</v>
      </c>
      <c r="AB140" s="23">
        <f t="shared" si="52"/>
        <v>0</v>
      </c>
      <c r="AC140" s="23">
        <f t="shared" si="52"/>
        <v>0</v>
      </c>
      <c r="AD140" s="23">
        <f t="shared" si="52"/>
        <v>0</v>
      </c>
      <c r="AE140" s="23">
        <f t="shared" si="52"/>
        <v>0</v>
      </c>
      <c r="AF140" s="23">
        <f t="shared" si="52"/>
        <v>0</v>
      </c>
      <c r="AG140" s="23">
        <f t="shared" si="52"/>
        <v>0</v>
      </c>
      <c r="AH140" s="23">
        <f t="shared" si="52"/>
        <v>0</v>
      </c>
      <c r="AI140" s="23">
        <f t="shared" si="52"/>
        <v>0</v>
      </c>
      <c r="AJ140" s="23">
        <f t="shared" si="52"/>
        <v>0</v>
      </c>
      <c r="AK140" s="23">
        <f t="shared" si="52"/>
        <v>0</v>
      </c>
      <c r="AL140" s="23">
        <f t="shared" si="52"/>
        <v>0</v>
      </c>
      <c r="AM140" s="23">
        <f t="shared" si="52"/>
        <v>0</v>
      </c>
      <c r="AN140" s="23">
        <f t="shared" si="52"/>
        <v>0</v>
      </c>
      <c r="AO140" s="23">
        <f t="shared" si="52"/>
        <v>0</v>
      </c>
      <c r="AP140" s="23">
        <f t="shared" si="52"/>
        <v>0</v>
      </c>
      <c r="AQ140" s="23">
        <f t="shared" si="52"/>
        <v>0</v>
      </c>
      <c r="AR140" s="23">
        <f t="shared" si="52"/>
        <v>0</v>
      </c>
      <c r="AS140" s="23">
        <f t="shared" si="52"/>
        <v>0</v>
      </c>
    </row>
    <row r="141" spans="2:45" outlineLevel="1" collapsed="1" x14ac:dyDescent="0.15">
      <c r="B141" s="16" t="str">
        <f>B130</f>
        <v>Revenue VAT Cash Receipts</v>
      </c>
      <c r="J141" s="18">
        <f t="shared" ref="J141:AS141" si="53">SUMPRODUCT((($J135:$AS137)=J$8)*$J138:$AS140)</f>
        <v>108</v>
      </c>
      <c r="K141" s="18">
        <f t="shared" si="53"/>
        <v>108.66666666666697</v>
      </c>
      <c r="L141" s="18">
        <f t="shared" si="53"/>
        <v>109.33333333333303</v>
      </c>
      <c r="M141" s="18">
        <f t="shared" si="53"/>
        <v>110</v>
      </c>
      <c r="N141" s="18">
        <f t="shared" si="53"/>
        <v>110.66666666666652</v>
      </c>
      <c r="O141" s="18">
        <f t="shared" si="53"/>
        <v>111.33333333333303</v>
      </c>
      <c r="P141" s="18">
        <f t="shared" si="53"/>
        <v>192</v>
      </c>
      <c r="Q141" s="18">
        <f t="shared" si="53"/>
        <v>192.66666666666697</v>
      </c>
      <c r="R141" s="18">
        <f t="shared" si="53"/>
        <v>193.33333333333303</v>
      </c>
      <c r="S141" s="18">
        <f t="shared" si="53"/>
        <v>194</v>
      </c>
      <c r="T141" s="18">
        <f t="shared" si="53"/>
        <v>194.66666666666697</v>
      </c>
      <c r="U141" s="18">
        <f t="shared" si="53"/>
        <v>195.33333333333303</v>
      </c>
      <c r="V141" s="18">
        <f t="shared" si="53"/>
        <v>196</v>
      </c>
      <c r="W141" s="18">
        <f t="shared" si="53"/>
        <v>196.66666666666697</v>
      </c>
      <c r="X141" s="18">
        <f t="shared" si="53"/>
        <v>197.33333333333394</v>
      </c>
      <c r="Y141" s="18">
        <f t="shared" si="53"/>
        <v>198</v>
      </c>
      <c r="Z141" s="18">
        <f t="shared" si="53"/>
        <v>198.66666666666697</v>
      </c>
      <c r="AA141" s="18">
        <f t="shared" si="53"/>
        <v>199.33333333333303</v>
      </c>
      <c r="AB141" s="18">
        <f t="shared" si="53"/>
        <v>280</v>
      </c>
      <c r="AC141" s="18">
        <f t="shared" si="53"/>
        <v>280.66666666666697</v>
      </c>
      <c r="AD141" s="18">
        <f t="shared" si="53"/>
        <v>281.33333333333303</v>
      </c>
      <c r="AE141" s="18">
        <f t="shared" si="53"/>
        <v>282</v>
      </c>
      <c r="AF141" s="18">
        <f t="shared" si="53"/>
        <v>282.66666666666697</v>
      </c>
      <c r="AG141" s="18">
        <f t="shared" si="53"/>
        <v>283.33333333333303</v>
      </c>
      <c r="AH141" s="18">
        <f t="shared" si="53"/>
        <v>284</v>
      </c>
      <c r="AI141" s="18">
        <f t="shared" si="53"/>
        <v>284.66666666666606</v>
      </c>
      <c r="AJ141" s="18">
        <f t="shared" si="53"/>
        <v>285.33333333333394</v>
      </c>
      <c r="AK141" s="18">
        <f t="shared" si="53"/>
        <v>286</v>
      </c>
      <c r="AL141" s="18">
        <f t="shared" si="53"/>
        <v>286.66666666666697</v>
      </c>
      <c r="AM141" s="18">
        <f t="shared" si="53"/>
        <v>287.33333333333394</v>
      </c>
      <c r="AN141" s="18">
        <f t="shared" si="53"/>
        <v>288</v>
      </c>
      <c r="AO141" s="18">
        <f t="shared" si="53"/>
        <v>288.66666666666606</v>
      </c>
      <c r="AP141" s="18">
        <f t="shared" si="53"/>
        <v>289.33333333333303</v>
      </c>
      <c r="AQ141" s="18">
        <f t="shared" si="53"/>
        <v>290</v>
      </c>
      <c r="AR141" s="18">
        <f t="shared" si="53"/>
        <v>290.66666666666606</v>
      </c>
      <c r="AS141" s="18">
        <f t="shared" si="53"/>
        <v>291.33333333333303</v>
      </c>
    </row>
    <row r="142" spans="2:45" outlineLevel="1" x14ac:dyDescent="0.15"/>
    <row r="143" spans="2:45" outlineLevel="1" x14ac:dyDescent="0.15">
      <c r="B143" s="16" t="s">
        <v>530</v>
      </c>
    </row>
    <row r="144" spans="2:45" outlineLevel="1" x14ac:dyDescent="0.15">
      <c r="B144" s="107" t="s">
        <v>531</v>
      </c>
      <c r="J144" s="14">
        <f t="shared" ref="J144:AS144" ca="1" si="54">SUM(J106:J110)</f>
        <v>-43264.449339182793</v>
      </c>
      <c r="K144" s="14">
        <f t="shared" ca="1" si="54"/>
        <v>-1329.4426461093335</v>
      </c>
      <c r="L144" s="14">
        <f t="shared" ca="1" si="54"/>
        <v>-1330.3131622537639</v>
      </c>
      <c r="M144" s="14">
        <f t="shared" ca="1" si="54"/>
        <v>-1335.0642964000008</v>
      </c>
      <c r="N144" s="14">
        <f t="shared" ca="1" si="54"/>
        <v>-1318.1685618288175</v>
      </c>
      <c r="O144" s="14">
        <f t="shared" ca="1" si="54"/>
        <v>-1328.5805420344086</v>
      </c>
      <c r="P144" s="14">
        <f t="shared" ca="1" si="54"/>
        <v>-1555.1646860800001</v>
      </c>
      <c r="Q144" s="14">
        <f t="shared" ca="1" si="54"/>
        <v>-1555.0339562417203</v>
      </c>
      <c r="R144" s="14">
        <f t="shared" ca="1" si="54"/>
        <v>-1560.6275283306668</v>
      </c>
      <c r="S144" s="14">
        <f t="shared" ca="1" si="54"/>
        <v>-1574.7324942683872</v>
      </c>
      <c r="T144" s="14">
        <f t="shared" ca="1" si="54"/>
        <v>-1542.5405013333339</v>
      </c>
      <c r="U144" s="14">
        <f t="shared" ca="1" si="54"/>
        <v>-1572.5967494744091</v>
      </c>
      <c r="V144" s="14">
        <f t="shared" ca="1" si="54"/>
        <v>-1559.9308484129033</v>
      </c>
      <c r="W144" s="14">
        <f t="shared" ca="1" si="54"/>
        <v>-1562.6174768613328</v>
      </c>
      <c r="X144" s="14">
        <f t="shared" ca="1" si="54"/>
        <v>-1586.0992540731195</v>
      </c>
      <c r="Y144" s="14">
        <f t="shared" ca="1" si="54"/>
        <v>-1568.1869230000002</v>
      </c>
      <c r="Z144" s="14">
        <f t="shared" ca="1" si="54"/>
        <v>-1557.8019765230101</v>
      </c>
      <c r="AA144" s="14">
        <f t="shared" ca="1" si="54"/>
        <v>-1581.7403850176343</v>
      </c>
      <c r="AB144" s="14">
        <f t="shared" ca="1" si="54"/>
        <v>-1552.5281728000009</v>
      </c>
      <c r="AC144" s="14">
        <f t="shared" ca="1" si="54"/>
        <v>-1564.0905906984945</v>
      </c>
      <c r="AD144" s="14">
        <f t="shared" ca="1" si="54"/>
        <v>-1567.904853066666</v>
      </c>
      <c r="AE144" s="14">
        <f t="shared" ca="1" si="54"/>
        <v>-1571.2429660748385</v>
      </c>
      <c r="AF144" s="14">
        <f t="shared" ca="1" si="54"/>
        <v>-1562.3149776533328</v>
      </c>
      <c r="AG144" s="14">
        <f t="shared" ca="1" si="54"/>
        <v>-1579.8652615156998</v>
      </c>
      <c r="AH144" s="14">
        <f t="shared" ca="1" si="54"/>
        <v>-1555.0093139612909</v>
      </c>
      <c r="AI144" s="14">
        <f t="shared" ca="1" si="54"/>
        <v>-1585.0900682933334</v>
      </c>
      <c r="AJ144" s="14">
        <f t="shared" ca="1" si="54"/>
        <v>-1596.6746870021507</v>
      </c>
      <c r="AK144" s="14">
        <f t="shared" ca="1" si="54"/>
        <v>-1564.6180000000004</v>
      </c>
      <c r="AL144" s="14">
        <f t="shared" ca="1" si="54"/>
        <v>-1574.7067266288177</v>
      </c>
      <c r="AM144" s="14">
        <f t="shared" ca="1" si="54"/>
        <v>-1578.6256383776345</v>
      </c>
      <c r="AN144" s="14">
        <f t="shared" ca="1" si="54"/>
        <v>-1559.7412160000013</v>
      </c>
      <c r="AO144" s="14">
        <f t="shared" ca="1" si="54"/>
        <v>-1583.6243628610746</v>
      </c>
      <c r="AP144" s="14">
        <f t="shared" ca="1" si="54"/>
        <v>-1573.4221778026667</v>
      </c>
      <c r="AQ144" s="14">
        <f t="shared" ca="1" si="54"/>
        <v>-1565.4862942219343</v>
      </c>
      <c r="AR144" s="14">
        <f t="shared" ca="1" si="54"/>
        <v>-1580.886589013332</v>
      </c>
      <c r="AS144" s="14">
        <f t="shared" ca="1" si="54"/>
        <v>-1585.3737735569894</v>
      </c>
    </row>
    <row r="145" spans="2:45" outlineLevel="1" x14ac:dyDescent="0.15">
      <c r="B145" s="107" t="str">
        <f>B47</f>
        <v>Average Expenses Cash Payment Delay (Days)</v>
      </c>
      <c r="J145" s="17">
        <f t="shared" ref="J145:AS145" si="55">J47</f>
        <v>0</v>
      </c>
      <c r="K145" s="17">
        <f t="shared" si="55"/>
        <v>0</v>
      </c>
      <c r="L145" s="17">
        <f t="shared" si="55"/>
        <v>0</v>
      </c>
      <c r="M145" s="17">
        <f t="shared" si="55"/>
        <v>0</v>
      </c>
      <c r="N145" s="17">
        <f t="shared" si="55"/>
        <v>0</v>
      </c>
      <c r="O145" s="17">
        <f t="shared" si="55"/>
        <v>0</v>
      </c>
      <c r="P145" s="17">
        <f t="shared" si="55"/>
        <v>0</v>
      </c>
      <c r="Q145" s="17">
        <f t="shared" si="55"/>
        <v>0</v>
      </c>
      <c r="R145" s="17">
        <f t="shared" si="55"/>
        <v>0</v>
      </c>
      <c r="S145" s="17">
        <f t="shared" si="55"/>
        <v>0</v>
      </c>
      <c r="T145" s="17">
        <f t="shared" si="55"/>
        <v>0</v>
      </c>
      <c r="U145" s="17">
        <f t="shared" si="55"/>
        <v>0</v>
      </c>
      <c r="V145" s="17">
        <f t="shared" si="55"/>
        <v>0</v>
      </c>
      <c r="W145" s="17">
        <f t="shared" si="55"/>
        <v>0</v>
      </c>
      <c r="X145" s="17">
        <f t="shared" si="55"/>
        <v>0</v>
      </c>
      <c r="Y145" s="17">
        <f t="shared" si="55"/>
        <v>0</v>
      </c>
      <c r="Z145" s="17">
        <f t="shared" si="55"/>
        <v>0</v>
      </c>
      <c r="AA145" s="17">
        <f t="shared" si="55"/>
        <v>0</v>
      </c>
      <c r="AB145" s="17">
        <f t="shared" si="55"/>
        <v>0</v>
      </c>
      <c r="AC145" s="17">
        <f t="shared" si="55"/>
        <v>0</v>
      </c>
      <c r="AD145" s="17">
        <f t="shared" si="55"/>
        <v>0</v>
      </c>
      <c r="AE145" s="17">
        <f t="shared" si="55"/>
        <v>0</v>
      </c>
      <c r="AF145" s="17">
        <f t="shared" si="55"/>
        <v>0</v>
      </c>
      <c r="AG145" s="17">
        <f t="shared" si="55"/>
        <v>0</v>
      </c>
      <c r="AH145" s="17">
        <f t="shared" si="55"/>
        <v>0</v>
      </c>
      <c r="AI145" s="17">
        <f t="shared" si="55"/>
        <v>0</v>
      </c>
      <c r="AJ145" s="17">
        <f t="shared" si="55"/>
        <v>0</v>
      </c>
      <c r="AK145" s="17">
        <f t="shared" si="55"/>
        <v>0</v>
      </c>
      <c r="AL145" s="17">
        <f t="shared" si="55"/>
        <v>0</v>
      </c>
      <c r="AM145" s="17">
        <f t="shared" si="55"/>
        <v>0</v>
      </c>
      <c r="AN145" s="17">
        <f t="shared" si="55"/>
        <v>0</v>
      </c>
      <c r="AO145" s="17">
        <f t="shared" si="55"/>
        <v>0</v>
      </c>
      <c r="AP145" s="17">
        <f t="shared" si="55"/>
        <v>0</v>
      </c>
      <c r="AQ145" s="17">
        <f t="shared" si="55"/>
        <v>0</v>
      </c>
      <c r="AR145" s="17">
        <f t="shared" si="55"/>
        <v>0</v>
      </c>
      <c r="AS145" s="17">
        <f t="shared" si="55"/>
        <v>0</v>
      </c>
    </row>
    <row r="146" spans="2:45" hidden="1" outlineLevel="2" x14ac:dyDescent="0.15">
      <c r="B146" s="107" t="s">
        <v>411</v>
      </c>
      <c r="J146" s="17">
        <f t="shared" ref="J146:AS146" si="56">J$127+J145</f>
        <v>0</v>
      </c>
      <c r="K146" s="17">
        <f t="shared" si="56"/>
        <v>31</v>
      </c>
      <c r="L146" s="17">
        <f t="shared" si="56"/>
        <v>61</v>
      </c>
      <c r="M146" s="17">
        <f t="shared" si="56"/>
        <v>92</v>
      </c>
      <c r="N146" s="17">
        <f t="shared" si="56"/>
        <v>122</v>
      </c>
      <c r="O146" s="17">
        <f t="shared" si="56"/>
        <v>153</v>
      </c>
      <c r="P146" s="17">
        <f t="shared" si="56"/>
        <v>184</v>
      </c>
      <c r="Q146" s="17">
        <f t="shared" si="56"/>
        <v>213</v>
      </c>
      <c r="R146" s="17">
        <f t="shared" si="56"/>
        <v>244</v>
      </c>
      <c r="S146" s="17">
        <f t="shared" si="56"/>
        <v>274</v>
      </c>
      <c r="T146" s="17">
        <f t="shared" si="56"/>
        <v>305</v>
      </c>
      <c r="U146" s="17">
        <f t="shared" si="56"/>
        <v>335</v>
      </c>
      <c r="V146" s="17">
        <f t="shared" si="56"/>
        <v>366</v>
      </c>
      <c r="W146" s="17">
        <f t="shared" si="56"/>
        <v>397</v>
      </c>
      <c r="X146" s="17">
        <f t="shared" si="56"/>
        <v>427</v>
      </c>
      <c r="Y146" s="17">
        <f t="shared" si="56"/>
        <v>458</v>
      </c>
      <c r="Z146" s="17">
        <f t="shared" si="56"/>
        <v>488</v>
      </c>
      <c r="AA146" s="17">
        <f t="shared" si="56"/>
        <v>519</v>
      </c>
      <c r="AB146" s="17">
        <f t="shared" si="56"/>
        <v>550</v>
      </c>
      <c r="AC146" s="17">
        <f t="shared" si="56"/>
        <v>578</v>
      </c>
      <c r="AD146" s="17">
        <f t="shared" si="56"/>
        <v>609</v>
      </c>
      <c r="AE146" s="17">
        <f t="shared" si="56"/>
        <v>639</v>
      </c>
      <c r="AF146" s="17">
        <f t="shared" si="56"/>
        <v>670</v>
      </c>
      <c r="AG146" s="17">
        <f t="shared" si="56"/>
        <v>700</v>
      </c>
      <c r="AH146" s="17">
        <f t="shared" si="56"/>
        <v>731</v>
      </c>
      <c r="AI146" s="17">
        <f t="shared" si="56"/>
        <v>762</v>
      </c>
      <c r="AJ146" s="17">
        <f t="shared" si="56"/>
        <v>792</v>
      </c>
      <c r="AK146" s="17">
        <f t="shared" si="56"/>
        <v>823</v>
      </c>
      <c r="AL146" s="17">
        <f t="shared" si="56"/>
        <v>853</v>
      </c>
      <c r="AM146" s="17">
        <f t="shared" si="56"/>
        <v>884</v>
      </c>
      <c r="AN146" s="17">
        <f t="shared" si="56"/>
        <v>915</v>
      </c>
      <c r="AO146" s="17">
        <f t="shared" si="56"/>
        <v>943</v>
      </c>
      <c r="AP146" s="17">
        <f t="shared" si="56"/>
        <v>974</v>
      </c>
      <c r="AQ146" s="17">
        <f t="shared" si="56"/>
        <v>1004</v>
      </c>
      <c r="AR146" s="17">
        <f t="shared" si="56"/>
        <v>1035</v>
      </c>
      <c r="AS146" s="17">
        <f t="shared" si="56"/>
        <v>1065</v>
      </c>
    </row>
    <row r="147" spans="2:45" hidden="1" outlineLevel="2" x14ac:dyDescent="0.15">
      <c r="B147" s="107" t="s">
        <v>412</v>
      </c>
      <c r="J147" s="42">
        <f t="shared" ref="J147:AS147" si="57">J146+J$126</f>
        <v>31</v>
      </c>
      <c r="K147" s="42">
        <f t="shared" si="57"/>
        <v>61</v>
      </c>
      <c r="L147" s="42">
        <f t="shared" si="57"/>
        <v>92</v>
      </c>
      <c r="M147" s="42">
        <f t="shared" si="57"/>
        <v>122</v>
      </c>
      <c r="N147" s="42">
        <f t="shared" si="57"/>
        <v>153</v>
      </c>
      <c r="O147" s="42">
        <f t="shared" si="57"/>
        <v>184</v>
      </c>
      <c r="P147" s="42">
        <f t="shared" si="57"/>
        <v>213</v>
      </c>
      <c r="Q147" s="42">
        <f t="shared" si="57"/>
        <v>244</v>
      </c>
      <c r="R147" s="42">
        <f t="shared" si="57"/>
        <v>274</v>
      </c>
      <c r="S147" s="42">
        <f t="shared" si="57"/>
        <v>305</v>
      </c>
      <c r="T147" s="42">
        <f t="shared" si="57"/>
        <v>335</v>
      </c>
      <c r="U147" s="42">
        <f t="shared" si="57"/>
        <v>366</v>
      </c>
      <c r="V147" s="42">
        <f t="shared" si="57"/>
        <v>397</v>
      </c>
      <c r="W147" s="42">
        <f t="shared" si="57"/>
        <v>427</v>
      </c>
      <c r="X147" s="42">
        <f t="shared" si="57"/>
        <v>458</v>
      </c>
      <c r="Y147" s="42">
        <f t="shared" si="57"/>
        <v>488</v>
      </c>
      <c r="Z147" s="42">
        <f t="shared" si="57"/>
        <v>519</v>
      </c>
      <c r="AA147" s="42">
        <f t="shared" si="57"/>
        <v>550</v>
      </c>
      <c r="AB147" s="42">
        <f t="shared" si="57"/>
        <v>578</v>
      </c>
      <c r="AC147" s="42">
        <f t="shared" si="57"/>
        <v>609</v>
      </c>
      <c r="AD147" s="42">
        <f t="shared" si="57"/>
        <v>639</v>
      </c>
      <c r="AE147" s="42">
        <f t="shared" si="57"/>
        <v>670</v>
      </c>
      <c r="AF147" s="42">
        <f t="shared" si="57"/>
        <v>700</v>
      </c>
      <c r="AG147" s="42">
        <f t="shared" si="57"/>
        <v>731</v>
      </c>
      <c r="AH147" s="42">
        <f t="shared" si="57"/>
        <v>762</v>
      </c>
      <c r="AI147" s="42">
        <f t="shared" si="57"/>
        <v>792</v>
      </c>
      <c r="AJ147" s="42">
        <f t="shared" si="57"/>
        <v>823</v>
      </c>
      <c r="AK147" s="42">
        <f t="shared" si="57"/>
        <v>853</v>
      </c>
      <c r="AL147" s="42">
        <f t="shared" si="57"/>
        <v>884</v>
      </c>
      <c r="AM147" s="42">
        <f t="shared" si="57"/>
        <v>915</v>
      </c>
      <c r="AN147" s="42">
        <f t="shared" si="57"/>
        <v>943</v>
      </c>
      <c r="AO147" s="42">
        <f t="shared" si="57"/>
        <v>974</v>
      </c>
      <c r="AP147" s="42">
        <f t="shared" si="57"/>
        <v>1004</v>
      </c>
      <c r="AQ147" s="42">
        <f t="shared" si="57"/>
        <v>1035</v>
      </c>
      <c r="AR147" s="42">
        <f t="shared" si="57"/>
        <v>1065</v>
      </c>
      <c r="AS147" s="42">
        <f t="shared" si="57"/>
        <v>1096</v>
      </c>
    </row>
    <row r="148" spans="2:45" hidden="1" outlineLevel="2" x14ac:dyDescent="0.15">
      <c r="B148" s="107" t="s">
        <v>413</v>
      </c>
      <c r="J148" s="17">
        <f t="shared" ref="J148:AS148" si="58">IF(J146&gt;MAX($J$128:$AS$128),0,MATCH(J146,$J$127:$AS$127,1))</f>
        <v>1</v>
      </c>
      <c r="K148" s="17">
        <f t="shared" si="58"/>
        <v>2</v>
      </c>
      <c r="L148" s="17">
        <f t="shared" si="58"/>
        <v>3</v>
      </c>
      <c r="M148" s="17">
        <f t="shared" si="58"/>
        <v>4</v>
      </c>
      <c r="N148" s="17">
        <f t="shared" si="58"/>
        <v>5</v>
      </c>
      <c r="O148" s="17">
        <f t="shared" si="58"/>
        <v>6</v>
      </c>
      <c r="P148" s="17">
        <f t="shared" si="58"/>
        <v>7</v>
      </c>
      <c r="Q148" s="17">
        <f t="shared" si="58"/>
        <v>8</v>
      </c>
      <c r="R148" s="17">
        <f t="shared" si="58"/>
        <v>9</v>
      </c>
      <c r="S148" s="17">
        <f t="shared" si="58"/>
        <v>10</v>
      </c>
      <c r="T148" s="17">
        <f t="shared" si="58"/>
        <v>11</v>
      </c>
      <c r="U148" s="17">
        <f t="shared" si="58"/>
        <v>12</v>
      </c>
      <c r="V148" s="17">
        <f t="shared" si="58"/>
        <v>13</v>
      </c>
      <c r="W148" s="17">
        <f t="shared" si="58"/>
        <v>14</v>
      </c>
      <c r="X148" s="17">
        <f t="shared" si="58"/>
        <v>15</v>
      </c>
      <c r="Y148" s="17">
        <f t="shared" si="58"/>
        <v>16</v>
      </c>
      <c r="Z148" s="17">
        <f t="shared" si="58"/>
        <v>17</v>
      </c>
      <c r="AA148" s="17">
        <f t="shared" si="58"/>
        <v>18</v>
      </c>
      <c r="AB148" s="17">
        <f t="shared" si="58"/>
        <v>19</v>
      </c>
      <c r="AC148" s="17">
        <f t="shared" si="58"/>
        <v>20</v>
      </c>
      <c r="AD148" s="17">
        <f t="shared" si="58"/>
        <v>21</v>
      </c>
      <c r="AE148" s="17">
        <f t="shared" si="58"/>
        <v>22</v>
      </c>
      <c r="AF148" s="17">
        <f t="shared" si="58"/>
        <v>23</v>
      </c>
      <c r="AG148" s="17">
        <f t="shared" si="58"/>
        <v>24</v>
      </c>
      <c r="AH148" s="17">
        <f t="shared" si="58"/>
        <v>25</v>
      </c>
      <c r="AI148" s="17">
        <f t="shared" si="58"/>
        <v>26</v>
      </c>
      <c r="AJ148" s="17">
        <f t="shared" si="58"/>
        <v>27</v>
      </c>
      <c r="AK148" s="17">
        <f t="shared" si="58"/>
        <v>28</v>
      </c>
      <c r="AL148" s="17">
        <f t="shared" si="58"/>
        <v>29</v>
      </c>
      <c r="AM148" s="17">
        <f t="shared" si="58"/>
        <v>30</v>
      </c>
      <c r="AN148" s="17">
        <f t="shared" si="58"/>
        <v>31</v>
      </c>
      <c r="AO148" s="17">
        <f t="shared" si="58"/>
        <v>32</v>
      </c>
      <c r="AP148" s="17">
        <f t="shared" si="58"/>
        <v>33</v>
      </c>
      <c r="AQ148" s="17">
        <f t="shared" si="58"/>
        <v>34</v>
      </c>
      <c r="AR148" s="17">
        <f t="shared" si="58"/>
        <v>35</v>
      </c>
      <c r="AS148" s="17">
        <f t="shared" si="58"/>
        <v>36</v>
      </c>
    </row>
    <row r="149" spans="2:45" hidden="1" outlineLevel="2" x14ac:dyDescent="0.15">
      <c r="B149" s="107" t="s">
        <v>414</v>
      </c>
      <c r="J149" s="17">
        <f t="shared" ref="J149:AS149" si="59">IF(J148&lt;1,0,IF(J148&gt;=COLUMNS($J148:$AS148),0,J148+1))</f>
        <v>2</v>
      </c>
      <c r="K149" s="17">
        <f t="shared" si="59"/>
        <v>3</v>
      </c>
      <c r="L149" s="17">
        <f t="shared" si="59"/>
        <v>4</v>
      </c>
      <c r="M149" s="17">
        <f t="shared" si="59"/>
        <v>5</v>
      </c>
      <c r="N149" s="17">
        <f t="shared" si="59"/>
        <v>6</v>
      </c>
      <c r="O149" s="17">
        <f t="shared" si="59"/>
        <v>7</v>
      </c>
      <c r="P149" s="17">
        <f t="shared" si="59"/>
        <v>8</v>
      </c>
      <c r="Q149" s="17">
        <f t="shared" si="59"/>
        <v>9</v>
      </c>
      <c r="R149" s="17">
        <f t="shared" si="59"/>
        <v>10</v>
      </c>
      <c r="S149" s="17">
        <f t="shared" si="59"/>
        <v>11</v>
      </c>
      <c r="T149" s="17">
        <f t="shared" si="59"/>
        <v>12</v>
      </c>
      <c r="U149" s="17">
        <f t="shared" si="59"/>
        <v>13</v>
      </c>
      <c r="V149" s="17">
        <f t="shared" si="59"/>
        <v>14</v>
      </c>
      <c r="W149" s="17">
        <f t="shared" si="59"/>
        <v>15</v>
      </c>
      <c r="X149" s="17">
        <f t="shared" si="59"/>
        <v>16</v>
      </c>
      <c r="Y149" s="17">
        <f t="shared" si="59"/>
        <v>17</v>
      </c>
      <c r="Z149" s="17">
        <f t="shared" si="59"/>
        <v>18</v>
      </c>
      <c r="AA149" s="17">
        <f t="shared" si="59"/>
        <v>19</v>
      </c>
      <c r="AB149" s="17">
        <f t="shared" si="59"/>
        <v>20</v>
      </c>
      <c r="AC149" s="17">
        <f t="shared" si="59"/>
        <v>21</v>
      </c>
      <c r="AD149" s="17">
        <f t="shared" si="59"/>
        <v>22</v>
      </c>
      <c r="AE149" s="17">
        <f t="shared" si="59"/>
        <v>23</v>
      </c>
      <c r="AF149" s="17">
        <f t="shared" si="59"/>
        <v>24</v>
      </c>
      <c r="AG149" s="17">
        <f t="shared" si="59"/>
        <v>25</v>
      </c>
      <c r="AH149" s="17">
        <f t="shared" si="59"/>
        <v>26</v>
      </c>
      <c r="AI149" s="17">
        <f t="shared" si="59"/>
        <v>27</v>
      </c>
      <c r="AJ149" s="17">
        <f t="shared" si="59"/>
        <v>28</v>
      </c>
      <c r="AK149" s="17">
        <f t="shared" si="59"/>
        <v>29</v>
      </c>
      <c r="AL149" s="17">
        <f t="shared" si="59"/>
        <v>30</v>
      </c>
      <c r="AM149" s="17">
        <f t="shared" si="59"/>
        <v>31</v>
      </c>
      <c r="AN149" s="17">
        <f t="shared" si="59"/>
        <v>32</v>
      </c>
      <c r="AO149" s="17">
        <f t="shared" si="59"/>
        <v>33</v>
      </c>
      <c r="AP149" s="17">
        <f t="shared" si="59"/>
        <v>34</v>
      </c>
      <c r="AQ149" s="17">
        <f t="shared" si="59"/>
        <v>35</v>
      </c>
      <c r="AR149" s="17">
        <f t="shared" si="59"/>
        <v>36</v>
      </c>
      <c r="AS149" s="17">
        <f t="shared" si="59"/>
        <v>0</v>
      </c>
    </row>
    <row r="150" spans="2:45" hidden="1" outlineLevel="2" x14ac:dyDescent="0.15">
      <c r="B150" s="107" t="s">
        <v>415</v>
      </c>
      <c r="J150" s="42">
        <f t="shared" ref="J150:AS150" si="60">IF(J149&lt;1,0,IF(J149&gt;=COLUMNS($J149:$AS149),0,J149+1))</f>
        <v>3</v>
      </c>
      <c r="K150" s="42">
        <f t="shared" si="60"/>
        <v>4</v>
      </c>
      <c r="L150" s="42">
        <f t="shared" si="60"/>
        <v>5</v>
      </c>
      <c r="M150" s="42">
        <f t="shared" si="60"/>
        <v>6</v>
      </c>
      <c r="N150" s="42">
        <f t="shared" si="60"/>
        <v>7</v>
      </c>
      <c r="O150" s="42">
        <f t="shared" si="60"/>
        <v>8</v>
      </c>
      <c r="P150" s="42">
        <f t="shared" si="60"/>
        <v>9</v>
      </c>
      <c r="Q150" s="42">
        <f t="shared" si="60"/>
        <v>10</v>
      </c>
      <c r="R150" s="42">
        <f t="shared" si="60"/>
        <v>11</v>
      </c>
      <c r="S150" s="42">
        <f t="shared" si="60"/>
        <v>12</v>
      </c>
      <c r="T150" s="42">
        <f t="shared" si="60"/>
        <v>13</v>
      </c>
      <c r="U150" s="42">
        <f t="shared" si="60"/>
        <v>14</v>
      </c>
      <c r="V150" s="42">
        <f t="shared" si="60"/>
        <v>15</v>
      </c>
      <c r="W150" s="42">
        <f t="shared" si="60"/>
        <v>16</v>
      </c>
      <c r="X150" s="42">
        <f t="shared" si="60"/>
        <v>17</v>
      </c>
      <c r="Y150" s="42">
        <f t="shared" si="60"/>
        <v>18</v>
      </c>
      <c r="Z150" s="42">
        <f t="shared" si="60"/>
        <v>19</v>
      </c>
      <c r="AA150" s="42">
        <f t="shared" si="60"/>
        <v>20</v>
      </c>
      <c r="AB150" s="42">
        <f t="shared" si="60"/>
        <v>21</v>
      </c>
      <c r="AC150" s="42">
        <f t="shared" si="60"/>
        <v>22</v>
      </c>
      <c r="AD150" s="42">
        <f t="shared" si="60"/>
        <v>23</v>
      </c>
      <c r="AE150" s="42">
        <f t="shared" si="60"/>
        <v>24</v>
      </c>
      <c r="AF150" s="42">
        <f t="shared" si="60"/>
        <v>25</v>
      </c>
      <c r="AG150" s="42">
        <f t="shared" si="60"/>
        <v>26</v>
      </c>
      <c r="AH150" s="42">
        <f t="shared" si="60"/>
        <v>27</v>
      </c>
      <c r="AI150" s="42">
        <f t="shared" si="60"/>
        <v>28</v>
      </c>
      <c r="AJ150" s="42">
        <f t="shared" si="60"/>
        <v>29</v>
      </c>
      <c r="AK150" s="42">
        <f t="shared" si="60"/>
        <v>30</v>
      </c>
      <c r="AL150" s="42">
        <f t="shared" si="60"/>
        <v>31</v>
      </c>
      <c r="AM150" s="42">
        <f t="shared" si="60"/>
        <v>32</v>
      </c>
      <c r="AN150" s="42">
        <f t="shared" si="60"/>
        <v>33</v>
      </c>
      <c r="AO150" s="42">
        <f t="shared" si="60"/>
        <v>34</v>
      </c>
      <c r="AP150" s="42">
        <f t="shared" si="60"/>
        <v>35</v>
      </c>
      <c r="AQ150" s="42">
        <f t="shared" si="60"/>
        <v>36</v>
      </c>
      <c r="AR150" s="42">
        <f t="shared" si="60"/>
        <v>0</v>
      </c>
      <c r="AS150" s="42">
        <f t="shared" si="60"/>
        <v>0</v>
      </c>
    </row>
    <row r="151" spans="2:45" hidden="1" outlineLevel="2" x14ac:dyDescent="0.15">
      <c r="B151" s="107" t="s">
        <v>416</v>
      </c>
      <c r="J151" s="14">
        <f t="shared" ref="J151:AS151" ca="1" si="61">J144/J$126*MAX(MIN(INDEX($J$128:$AS$128,J148),J147)-J146,0)</f>
        <v>-43264.449339182793</v>
      </c>
      <c r="K151" s="14">
        <f t="shared" ca="1" si="61"/>
        <v>-1329.4426461093335</v>
      </c>
      <c r="L151" s="14">
        <f t="shared" ca="1" si="61"/>
        <v>-1330.3131622537639</v>
      </c>
      <c r="M151" s="14">
        <f t="shared" ca="1" si="61"/>
        <v>-1335.0642964000008</v>
      </c>
      <c r="N151" s="14">
        <f t="shared" ca="1" si="61"/>
        <v>-1318.1685618288175</v>
      </c>
      <c r="O151" s="14">
        <f t="shared" ca="1" si="61"/>
        <v>-1328.5805420344086</v>
      </c>
      <c r="P151" s="14">
        <f t="shared" ca="1" si="61"/>
        <v>-1555.1646860800001</v>
      </c>
      <c r="Q151" s="14">
        <f t="shared" ca="1" si="61"/>
        <v>-1555.0339562417203</v>
      </c>
      <c r="R151" s="14">
        <f t="shared" ca="1" si="61"/>
        <v>-1560.6275283306668</v>
      </c>
      <c r="S151" s="14">
        <f t="shared" ca="1" si="61"/>
        <v>-1574.7324942683872</v>
      </c>
      <c r="T151" s="14">
        <f t="shared" ca="1" si="61"/>
        <v>-1542.5405013333339</v>
      </c>
      <c r="U151" s="14">
        <f t="shared" ca="1" si="61"/>
        <v>-1572.5967494744091</v>
      </c>
      <c r="V151" s="14">
        <f t="shared" ca="1" si="61"/>
        <v>-1559.9308484129033</v>
      </c>
      <c r="W151" s="14">
        <f t="shared" ca="1" si="61"/>
        <v>-1562.6174768613328</v>
      </c>
      <c r="X151" s="14">
        <f t="shared" ca="1" si="61"/>
        <v>-1586.0992540731195</v>
      </c>
      <c r="Y151" s="14">
        <f t="shared" ca="1" si="61"/>
        <v>-1568.1869230000002</v>
      </c>
      <c r="Z151" s="14">
        <f t="shared" ca="1" si="61"/>
        <v>-1557.8019765230101</v>
      </c>
      <c r="AA151" s="14">
        <f t="shared" ca="1" si="61"/>
        <v>-1581.7403850176343</v>
      </c>
      <c r="AB151" s="14">
        <f t="shared" ca="1" si="61"/>
        <v>-1552.5281728000009</v>
      </c>
      <c r="AC151" s="14">
        <f t="shared" ca="1" si="61"/>
        <v>-1564.0905906984945</v>
      </c>
      <c r="AD151" s="14">
        <f t="shared" ca="1" si="61"/>
        <v>-1567.904853066666</v>
      </c>
      <c r="AE151" s="14">
        <f t="shared" ca="1" si="61"/>
        <v>-1571.2429660748385</v>
      </c>
      <c r="AF151" s="14">
        <f t="shared" ca="1" si="61"/>
        <v>-1562.3149776533328</v>
      </c>
      <c r="AG151" s="14">
        <f t="shared" ca="1" si="61"/>
        <v>-1579.8652615156998</v>
      </c>
      <c r="AH151" s="14">
        <f t="shared" ca="1" si="61"/>
        <v>-1555.0093139612909</v>
      </c>
      <c r="AI151" s="14">
        <f t="shared" ca="1" si="61"/>
        <v>-1585.0900682933334</v>
      </c>
      <c r="AJ151" s="14">
        <f t="shared" ca="1" si="61"/>
        <v>-1596.6746870021507</v>
      </c>
      <c r="AK151" s="14">
        <f t="shared" ca="1" si="61"/>
        <v>-1564.6180000000004</v>
      </c>
      <c r="AL151" s="14">
        <f t="shared" ca="1" si="61"/>
        <v>-1574.7067266288177</v>
      </c>
      <c r="AM151" s="14">
        <f t="shared" ca="1" si="61"/>
        <v>-1578.6256383776345</v>
      </c>
      <c r="AN151" s="14">
        <f t="shared" ca="1" si="61"/>
        <v>-1559.7412160000013</v>
      </c>
      <c r="AO151" s="14">
        <f t="shared" ca="1" si="61"/>
        <v>-1583.6243628610746</v>
      </c>
      <c r="AP151" s="14">
        <f t="shared" ca="1" si="61"/>
        <v>-1573.4221778026667</v>
      </c>
      <c r="AQ151" s="14">
        <f t="shared" ca="1" si="61"/>
        <v>-1565.4862942219343</v>
      </c>
      <c r="AR151" s="14">
        <f t="shared" ca="1" si="61"/>
        <v>-1580.886589013332</v>
      </c>
      <c r="AS151" s="14">
        <f t="shared" ca="1" si="61"/>
        <v>-1585.3737735569894</v>
      </c>
    </row>
    <row r="152" spans="2:45" hidden="1" outlineLevel="2" x14ac:dyDescent="0.15">
      <c r="B152" s="107" t="s">
        <v>417</v>
      </c>
      <c r="J152" s="14">
        <f t="shared" ref="J152:AS152" ca="1" si="62">J144/J$126*MAX(MIN(INDEX($J$128:$AS$128,J149),J147)-INDEX($J$127:$AS$127,J149),0)</f>
        <v>0</v>
      </c>
      <c r="K152" s="14">
        <f t="shared" ca="1" si="62"/>
        <v>0</v>
      </c>
      <c r="L152" s="14">
        <f t="shared" ca="1" si="62"/>
        <v>0</v>
      </c>
      <c r="M152" s="14">
        <f t="shared" ca="1" si="62"/>
        <v>0</v>
      </c>
      <c r="N152" s="14">
        <f t="shared" ca="1" si="62"/>
        <v>0</v>
      </c>
      <c r="O152" s="14">
        <f t="shared" ca="1" si="62"/>
        <v>0</v>
      </c>
      <c r="P152" s="14">
        <f t="shared" ca="1" si="62"/>
        <v>0</v>
      </c>
      <c r="Q152" s="14">
        <f t="shared" ca="1" si="62"/>
        <v>0</v>
      </c>
      <c r="R152" s="14">
        <f t="shared" ca="1" si="62"/>
        <v>0</v>
      </c>
      <c r="S152" s="14">
        <f t="shared" ca="1" si="62"/>
        <v>0</v>
      </c>
      <c r="T152" s="14">
        <f t="shared" ca="1" si="62"/>
        <v>0</v>
      </c>
      <c r="U152" s="14">
        <f t="shared" ca="1" si="62"/>
        <v>0</v>
      </c>
      <c r="V152" s="14">
        <f t="shared" ca="1" si="62"/>
        <v>0</v>
      </c>
      <c r="W152" s="14">
        <f t="shared" ca="1" si="62"/>
        <v>0</v>
      </c>
      <c r="X152" s="14">
        <f t="shared" ca="1" si="62"/>
        <v>0</v>
      </c>
      <c r="Y152" s="14">
        <f t="shared" ca="1" si="62"/>
        <v>0</v>
      </c>
      <c r="Z152" s="14">
        <f t="shared" ca="1" si="62"/>
        <v>0</v>
      </c>
      <c r="AA152" s="14">
        <f t="shared" ca="1" si="62"/>
        <v>0</v>
      </c>
      <c r="AB152" s="14">
        <f t="shared" ca="1" si="62"/>
        <v>0</v>
      </c>
      <c r="AC152" s="14">
        <f t="shared" ca="1" si="62"/>
        <v>0</v>
      </c>
      <c r="AD152" s="14">
        <f t="shared" ca="1" si="62"/>
        <v>0</v>
      </c>
      <c r="AE152" s="14">
        <f t="shared" ca="1" si="62"/>
        <v>0</v>
      </c>
      <c r="AF152" s="14">
        <f t="shared" ca="1" si="62"/>
        <v>0</v>
      </c>
      <c r="AG152" s="14">
        <f t="shared" ca="1" si="62"/>
        <v>0</v>
      </c>
      <c r="AH152" s="14">
        <f t="shared" ca="1" si="62"/>
        <v>0</v>
      </c>
      <c r="AI152" s="14">
        <f t="shared" ca="1" si="62"/>
        <v>0</v>
      </c>
      <c r="AJ152" s="14">
        <f t="shared" ca="1" si="62"/>
        <v>0</v>
      </c>
      <c r="AK152" s="14">
        <f t="shared" ca="1" si="62"/>
        <v>0</v>
      </c>
      <c r="AL152" s="14">
        <f t="shared" ca="1" si="62"/>
        <v>0</v>
      </c>
      <c r="AM152" s="14">
        <f t="shared" ca="1" si="62"/>
        <v>0</v>
      </c>
      <c r="AN152" s="14">
        <f t="shared" ca="1" si="62"/>
        <v>0</v>
      </c>
      <c r="AO152" s="14">
        <f t="shared" ca="1" si="62"/>
        <v>0</v>
      </c>
      <c r="AP152" s="14">
        <f t="shared" ca="1" si="62"/>
        <v>0</v>
      </c>
      <c r="AQ152" s="14">
        <f t="shared" ca="1" si="62"/>
        <v>0</v>
      </c>
      <c r="AR152" s="14">
        <f t="shared" ca="1" si="62"/>
        <v>0</v>
      </c>
      <c r="AS152" s="14">
        <f t="shared" ca="1" si="62"/>
        <v>0</v>
      </c>
    </row>
    <row r="153" spans="2:45" hidden="1" outlineLevel="2" x14ac:dyDescent="0.15">
      <c r="B153" s="107" t="s">
        <v>418</v>
      </c>
      <c r="J153" s="23">
        <f t="shared" ref="J153:AS153" ca="1" si="63">J144/J$126*MAX(MIN(INDEX($J$128:$AS$128,J150),J147)-INDEX($J$127:$AS$127,J150),0)</f>
        <v>0</v>
      </c>
      <c r="K153" s="23">
        <f t="shared" ca="1" si="63"/>
        <v>0</v>
      </c>
      <c r="L153" s="23">
        <f t="shared" ca="1" si="63"/>
        <v>0</v>
      </c>
      <c r="M153" s="23">
        <f t="shared" ca="1" si="63"/>
        <v>0</v>
      </c>
      <c r="N153" s="23">
        <f t="shared" ca="1" si="63"/>
        <v>0</v>
      </c>
      <c r="O153" s="23">
        <f t="shared" ca="1" si="63"/>
        <v>0</v>
      </c>
      <c r="P153" s="23">
        <f t="shared" ca="1" si="63"/>
        <v>0</v>
      </c>
      <c r="Q153" s="23">
        <f t="shared" ca="1" si="63"/>
        <v>0</v>
      </c>
      <c r="R153" s="23">
        <f t="shared" ca="1" si="63"/>
        <v>0</v>
      </c>
      <c r="S153" s="23">
        <f t="shared" ca="1" si="63"/>
        <v>0</v>
      </c>
      <c r="T153" s="23">
        <f t="shared" ca="1" si="63"/>
        <v>0</v>
      </c>
      <c r="U153" s="23">
        <f t="shared" ca="1" si="63"/>
        <v>0</v>
      </c>
      <c r="V153" s="23">
        <f t="shared" ca="1" si="63"/>
        <v>0</v>
      </c>
      <c r="W153" s="23">
        <f t="shared" ca="1" si="63"/>
        <v>0</v>
      </c>
      <c r="X153" s="23">
        <f t="shared" ca="1" si="63"/>
        <v>0</v>
      </c>
      <c r="Y153" s="23">
        <f t="shared" ca="1" si="63"/>
        <v>0</v>
      </c>
      <c r="Z153" s="23">
        <f t="shared" ca="1" si="63"/>
        <v>0</v>
      </c>
      <c r="AA153" s="23">
        <f t="shared" ca="1" si="63"/>
        <v>0</v>
      </c>
      <c r="AB153" s="23">
        <f t="shared" ca="1" si="63"/>
        <v>0</v>
      </c>
      <c r="AC153" s="23">
        <f t="shared" ca="1" si="63"/>
        <v>0</v>
      </c>
      <c r="AD153" s="23">
        <f t="shared" ca="1" si="63"/>
        <v>0</v>
      </c>
      <c r="AE153" s="23">
        <f t="shared" ca="1" si="63"/>
        <v>0</v>
      </c>
      <c r="AF153" s="23">
        <f t="shared" ca="1" si="63"/>
        <v>0</v>
      </c>
      <c r="AG153" s="23">
        <f t="shared" ca="1" si="63"/>
        <v>0</v>
      </c>
      <c r="AH153" s="23">
        <f t="shared" ca="1" si="63"/>
        <v>0</v>
      </c>
      <c r="AI153" s="23">
        <f t="shared" ca="1" si="63"/>
        <v>0</v>
      </c>
      <c r="AJ153" s="23">
        <f t="shared" ca="1" si="63"/>
        <v>0</v>
      </c>
      <c r="AK153" s="23">
        <f t="shared" ca="1" si="63"/>
        <v>0</v>
      </c>
      <c r="AL153" s="23">
        <f t="shared" ca="1" si="63"/>
        <v>0</v>
      </c>
      <c r="AM153" s="23">
        <f t="shared" ca="1" si="63"/>
        <v>0</v>
      </c>
      <c r="AN153" s="23">
        <f t="shared" ca="1" si="63"/>
        <v>0</v>
      </c>
      <c r="AO153" s="23">
        <f t="shared" ca="1" si="63"/>
        <v>0</v>
      </c>
      <c r="AP153" s="23">
        <f t="shared" ca="1" si="63"/>
        <v>0</v>
      </c>
      <c r="AQ153" s="23">
        <f t="shared" ca="1" si="63"/>
        <v>0</v>
      </c>
      <c r="AR153" s="23">
        <f t="shared" ca="1" si="63"/>
        <v>0</v>
      </c>
      <c r="AS153" s="23">
        <f t="shared" ca="1" si="63"/>
        <v>0</v>
      </c>
    </row>
    <row r="154" spans="2:45" outlineLevel="1" collapsed="1" x14ac:dyDescent="0.15">
      <c r="B154" s="16" t="str">
        <f>B143</f>
        <v>Expenses VAT Cash Payments</v>
      </c>
      <c r="J154" s="18">
        <f t="shared" ref="J154:AS154" ca="1" si="64">SUMPRODUCT((($J148:$AS150)=J$8)*$J151:$AS153)</f>
        <v>-43264.449339182793</v>
      </c>
      <c r="K154" s="18">
        <f t="shared" ca="1" si="64"/>
        <v>-1329.4426461093335</v>
      </c>
      <c r="L154" s="18">
        <f t="shared" ca="1" si="64"/>
        <v>-1330.3131622537639</v>
      </c>
      <c r="M154" s="18">
        <f t="shared" ca="1" si="64"/>
        <v>-1335.0642964000008</v>
      </c>
      <c r="N154" s="18">
        <f t="shared" ca="1" si="64"/>
        <v>-1318.1685618288175</v>
      </c>
      <c r="O154" s="18">
        <f t="shared" ca="1" si="64"/>
        <v>-1328.5805420344086</v>
      </c>
      <c r="P154" s="18">
        <f t="shared" ca="1" si="64"/>
        <v>-1555.1646860800001</v>
      </c>
      <c r="Q154" s="18">
        <f t="shared" ca="1" si="64"/>
        <v>-1555.0339562417203</v>
      </c>
      <c r="R154" s="18">
        <f t="shared" ca="1" si="64"/>
        <v>-1560.6275283306668</v>
      </c>
      <c r="S154" s="18">
        <f t="shared" ca="1" si="64"/>
        <v>-1574.7324942683872</v>
      </c>
      <c r="T154" s="18">
        <f t="shared" ca="1" si="64"/>
        <v>-1542.5405013333339</v>
      </c>
      <c r="U154" s="18">
        <f t="shared" ca="1" si="64"/>
        <v>-1572.5967494744091</v>
      </c>
      <c r="V154" s="18">
        <f t="shared" ca="1" si="64"/>
        <v>-1559.9308484129033</v>
      </c>
      <c r="W154" s="18">
        <f t="shared" ca="1" si="64"/>
        <v>-1562.6174768613328</v>
      </c>
      <c r="X154" s="18">
        <f t="shared" ca="1" si="64"/>
        <v>-1586.0992540731195</v>
      </c>
      <c r="Y154" s="18">
        <f t="shared" ca="1" si="64"/>
        <v>-1568.1869230000002</v>
      </c>
      <c r="Z154" s="18">
        <f t="shared" ca="1" si="64"/>
        <v>-1557.8019765230101</v>
      </c>
      <c r="AA154" s="18">
        <f t="shared" ca="1" si="64"/>
        <v>-1581.7403850176343</v>
      </c>
      <c r="AB154" s="18">
        <f t="shared" ca="1" si="64"/>
        <v>-1552.5281728000009</v>
      </c>
      <c r="AC154" s="18">
        <f t="shared" ca="1" si="64"/>
        <v>-1564.0905906984945</v>
      </c>
      <c r="AD154" s="18">
        <f t="shared" ca="1" si="64"/>
        <v>-1567.904853066666</v>
      </c>
      <c r="AE154" s="18">
        <f t="shared" ca="1" si="64"/>
        <v>-1571.2429660748385</v>
      </c>
      <c r="AF154" s="18">
        <f t="shared" ca="1" si="64"/>
        <v>-1562.3149776533328</v>
      </c>
      <c r="AG154" s="18">
        <f t="shared" ca="1" si="64"/>
        <v>-1579.8652615156998</v>
      </c>
      <c r="AH154" s="18">
        <f t="shared" ca="1" si="64"/>
        <v>-1555.0093139612909</v>
      </c>
      <c r="AI154" s="18">
        <f t="shared" ca="1" si="64"/>
        <v>-1585.0900682933334</v>
      </c>
      <c r="AJ154" s="18">
        <f t="shared" ca="1" si="64"/>
        <v>-1596.6746870021507</v>
      </c>
      <c r="AK154" s="18">
        <f t="shared" ca="1" si="64"/>
        <v>-1564.6180000000004</v>
      </c>
      <c r="AL154" s="18">
        <f t="shared" ca="1" si="64"/>
        <v>-1574.7067266288177</v>
      </c>
      <c r="AM154" s="18">
        <f t="shared" ca="1" si="64"/>
        <v>-1578.6256383776345</v>
      </c>
      <c r="AN154" s="18">
        <f t="shared" ca="1" si="64"/>
        <v>-1559.7412160000013</v>
      </c>
      <c r="AO154" s="18">
        <f t="shared" ca="1" si="64"/>
        <v>-1583.6243628610746</v>
      </c>
      <c r="AP154" s="18">
        <f t="shared" ca="1" si="64"/>
        <v>-1573.4221778026667</v>
      </c>
      <c r="AQ154" s="18">
        <f t="shared" ca="1" si="64"/>
        <v>-1565.4862942219343</v>
      </c>
      <c r="AR154" s="18">
        <f t="shared" ca="1" si="64"/>
        <v>-1580.886589013332</v>
      </c>
      <c r="AS154" s="18">
        <f t="shared" ca="1" si="64"/>
        <v>-1585.3737735569894</v>
      </c>
    </row>
    <row r="155" spans="2:45" outlineLevel="1" x14ac:dyDescent="0.15"/>
    <row r="156" spans="2:45" outlineLevel="1" x14ac:dyDescent="0.15">
      <c r="B156" s="16" t="s">
        <v>532</v>
      </c>
      <c r="J156" s="19">
        <f t="shared" ref="J156:AS156" ca="1" si="65">J141+J154</f>
        <v>-43156.449339182793</v>
      </c>
      <c r="K156" s="19">
        <f t="shared" ca="1" si="65"/>
        <v>-1220.7759794426665</v>
      </c>
      <c r="L156" s="19">
        <f t="shared" ca="1" si="65"/>
        <v>-1220.9798289204309</v>
      </c>
      <c r="M156" s="19">
        <f t="shared" ca="1" si="65"/>
        <v>-1225.0642964000008</v>
      </c>
      <c r="N156" s="19">
        <f t="shared" ca="1" si="65"/>
        <v>-1207.501895162151</v>
      </c>
      <c r="O156" s="19">
        <f t="shared" ca="1" si="65"/>
        <v>-1217.2472087010756</v>
      </c>
      <c r="P156" s="19">
        <f t="shared" ca="1" si="65"/>
        <v>-1363.1646860800001</v>
      </c>
      <c r="Q156" s="19">
        <f t="shared" ca="1" si="65"/>
        <v>-1362.3672895750533</v>
      </c>
      <c r="R156" s="19">
        <f t="shared" ca="1" si="65"/>
        <v>-1367.2941949973338</v>
      </c>
      <c r="S156" s="19">
        <f t="shared" ca="1" si="65"/>
        <v>-1380.7324942683872</v>
      </c>
      <c r="T156" s="19">
        <f t="shared" ca="1" si="65"/>
        <v>-1347.8738346666669</v>
      </c>
      <c r="U156" s="19">
        <f t="shared" ca="1" si="65"/>
        <v>-1377.263416141076</v>
      </c>
      <c r="V156" s="19">
        <f t="shared" ca="1" si="65"/>
        <v>-1363.9308484129033</v>
      </c>
      <c r="W156" s="19">
        <f t="shared" ca="1" si="65"/>
        <v>-1365.9508101946658</v>
      </c>
      <c r="X156" s="19">
        <f t="shared" ca="1" si="65"/>
        <v>-1388.7659207397855</v>
      </c>
      <c r="Y156" s="19">
        <f t="shared" ca="1" si="65"/>
        <v>-1370.1869230000002</v>
      </c>
      <c r="Z156" s="19">
        <f t="shared" ca="1" si="65"/>
        <v>-1359.1353098563432</v>
      </c>
      <c r="AA156" s="19">
        <f t="shared" ca="1" si="65"/>
        <v>-1382.4070516843012</v>
      </c>
      <c r="AB156" s="19">
        <f t="shared" ca="1" si="65"/>
        <v>-1272.5281728000009</v>
      </c>
      <c r="AC156" s="19">
        <f t="shared" ca="1" si="65"/>
        <v>-1283.4239240318275</v>
      </c>
      <c r="AD156" s="19">
        <f t="shared" ca="1" si="65"/>
        <v>-1286.5715197333329</v>
      </c>
      <c r="AE156" s="19">
        <f t="shared" ca="1" si="65"/>
        <v>-1289.2429660748385</v>
      </c>
      <c r="AF156" s="19">
        <f t="shared" ca="1" si="65"/>
        <v>-1279.6483109866658</v>
      </c>
      <c r="AG156" s="19">
        <f t="shared" ca="1" si="65"/>
        <v>-1296.5319281823668</v>
      </c>
      <c r="AH156" s="19">
        <f t="shared" ca="1" si="65"/>
        <v>-1271.0093139612909</v>
      </c>
      <c r="AI156" s="19">
        <f t="shared" ca="1" si="65"/>
        <v>-1300.4234016266673</v>
      </c>
      <c r="AJ156" s="19">
        <f t="shared" ca="1" si="65"/>
        <v>-1311.3413536688167</v>
      </c>
      <c r="AK156" s="19">
        <f t="shared" ca="1" si="65"/>
        <v>-1278.6180000000004</v>
      </c>
      <c r="AL156" s="19">
        <f t="shared" ca="1" si="65"/>
        <v>-1288.0400599621507</v>
      </c>
      <c r="AM156" s="19">
        <f t="shared" ca="1" si="65"/>
        <v>-1291.2923050443005</v>
      </c>
      <c r="AN156" s="19">
        <f t="shared" ca="1" si="65"/>
        <v>-1271.7412160000013</v>
      </c>
      <c r="AO156" s="19">
        <f t="shared" ca="1" si="65"/>
        <v>-1294.9576961944085</v>
      </c>
      <c r="AP156" s="19">
        <f t="shared" ca="1" si="65"/>
        <v>-1284.0888444693337</v>
      </c>
      <c r="AQ156" s="19">
        <f t="shared" ca="1" si="65"/>
        <v>-1275.4862942219343</v>
      </c>
      <c r="AR156" s="19">
        <f t="shared" ca="1" si="65"/>
        <v>-1290.219922346666</v>
      </c>
      <c r="AS156" s="19">
        <f t="shared" ca="1" si="65"/>
        <v>-1294.0404402236563</v>
      </c>
    </row>
    <row r="157" spans="2:45" outlineLevel="1" x14ac:dyDescent="0.15"/>
    <row r="158" spans="2:45" outlineLevel="1" x14ac:dyDescent="0.15">
      <c r="B158" s="108" t="s">
        <v>533</v>
      </c>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row>
    <row r="159" spans="2:45" outlineLevel="1" x14ac:dyDescent="0.15"/>
    <row r="160" spans="2:45" outlineLevel="1" x14ac:dyDescent="0.15">
      <c r="B160" s="107" t="s">
        <v>375</v>
      </c>
      <c r="J160" s="14">
        <f t="shared" ref="J160:AS160" si="66">IF(J$8=1,$I$25,I165)</f>
        <v>0</v>
      </c>
      <c r="K160" s="14">
        <f t="shared" ca="1" si="66"/>
        <v>-43156.449339182793</v>
      </c>
      <c r="L160" s="14">
        <f t="shared" ca="1" si="66"/>
        <v>-44377.22531862546</v>
      </c>
      <c r="M160" s="14">
        <f t="shared" ca="1" si="66"/>
        <v>-1220.9798289204336</v>
      </c>
      <c r="N160" s="14">
        <f t="shared" ca="1" si="66"/>
        <v>-2446.0441253204344</v>
      </c>
      <c r="O160" s="14">
        <f t="shared" ca="1" si="66"/>
        <v>-3653.5460204825854</v>
      </c>
      <c r="P160" s="14">
        <f t="shared" ca="1" si="66"/>
        <v>-1217.2472087010779</v>
      </c>
      <c r="Q160" s="14">
        <f t="shared" ca="1" si="66"/>
        <v>-2580.411894781078</v>
      </c>
      <c r="R160" s="14">
        <f t="shared" ca="1" si="66"/>
        <v>-3942.7791843561313</v>
      </c>
      <c r="S160" s="14">
        <f t="shared" ca="1" si="66"/>
        <v>-1367.2941949973365</v>
      </c>
      <c r="T160" s="14">
        <f t="shared" ca="1" si="66"/>
        <v>-2748.0266892657237</v>
      </c>
      <c r="U160" s="14">
        <f t="shared" ca="1" si="66"/>
        <v>-4095.9005239323906</v>
      </c>
      <c r="V160" s="14">
        <f t="shared" ca="1" si="66"/>
        <v>-1377.2634161410788</v>
      </c>
      <c r="W160" s="14">
        <f t="shared" ca="1" si="66"/>
        <v>-2741.1942645539821</v>
      </c>
      <c r="X160" s="14">
        <f t="shared" ca="1" si="66"/>
        <v>-4107.1450747486479</v>
      </c>
      <c r="Y160" s="14">
        <f t="shared" ca="1" si="66"/>
        <v>-1388.7659207397883</v>
      </c>
      <c r="Z160" s="14">
        <f t="shared" ca="1" si="66"/>
        <v>-2758.9528437397885</v>
      </c>
      <c r="AA160" s="14">
        <f t="shared" ca="1" si="66"/>
        <v>-4118.0881535961316</v>
      </c>
      <c r="AB160" s="14">
        <f t="shared" ca="1" si="66"/>
        <v>-1382.407051684304</v>
      </c>
      <c r="AC160" s="14">
        <f t="shared" ca="1" si="66"/>
        <v>-2654.9352244843049</v>
      </c>
      <c r="AD160" s="14">
        <f t="shared" ca="1" si="66"/>
        <v>-3938.3591485161323</v>
      </c>
      <c r="AE160" s="14">
        <f t="shared" ca="1" si="66"/>
        <v>-1286.5715197333357</v>
      </c>
      <c r="AF160" s="14">
        <f t="shared" ca="1" si="66"/>
        <v>-2575.8144858081741</v>
      </c>
      <c r="AG160" s="14">
        <f t="shared" ca="1" si="66"/>
        <v>-3855.46279679484</v>
      </c>
      <c r="AH160" s="14">
        <f t="shared" ca="1" si="66"/>
        <v>-1296.5319281823695</v>
      </c>
      <c r="AI160" s="14">
        <f t="shared" ca="1" si="66"/>
        <v>-2567.5412421436604</v>
      </c>
      <c r="AJ160" s="14">
        <f t="shared" ca="1" si="66"/>
        <v>-3867.9646437703277</v>
      </c>
      <c r="AK160" s="14">
        <f t="shared" ca="1" si="66"/>
        <v>-1311.3413536688195</v>
      </c>
      <c r="AL160" s="14">
        <f t="shared" ca="1" si="66"/>
        <v>-2589.9593536688199</v>
      </c>
      <c r="AM160" s="14">
        <f t="shared" ca="1" si="66"/>
        <v>-3877.9994136309706</v>
      </c>
      <c r="AN160" s="14">
        <f t="shared" ca="1" si="66"/>
        <v>-1291.2923050443032</v>
      </c>
      <c r="AO160" s="14">
        <f t="shared" ca="1" si="66"/>
        <v>-2563.0335210443045</v>
      </c>
      <c r="AP160" s="14">
        <f t="shared" ca="1" si="66"/>
        <v>-3857.991217238713</v>
      </c>
      <c r="AQ160" s="14">
        <f t="shared" ca="1" si="66"/>
        <v>-1284.0888444693364</v>
      </c>
      <c r="AR160" s="14">
        <f t="shared" ca="1" si="66"/>
        <v>-2559.5751386912707</v>
      </c>
      <c r="AS160" s="14">
        <f t="shared" ca="1" si="66"/>
        <v>-3849.7950610379366</v>
      </c>
    </row>
    <row r="161" spans="2:45" outlineLevel="1" x14ac:dyDescent="0.15">
      <c r="B161" s="107" t="s">
        <v>534</v>
      </c>
      <c r="J161" s="14">
        <f t="shared" ref="J161:AS161" ca="1" si="67">J111</f>
        <v>-43156.449339182793</v>
      </c>
      <c r="K161" s="14">
        <f t="shared" ca="1" si="67"/>
        <v>-1220.7759794426665</v>
      </c>
      <c r="L161" s="14">
        <f t="shared" ca="1" si="67"/>
        <v>-1220.9798289204309</v>
      </c>
      <c r="M161" s="14">
        <f t="shared" ca="1" si="67"/>
        <v>-1225.0642964000008</v>
      </c>
      <c r="N161" s="14">
        <f t="shared" ca="1" si="67"/>
        <v>-1207.501895162151</v>
      </c>
      <c r="O161" s="14">
        <f t="shared" ca="1" si="67"/>
        <v>-1217.2472087010756</v>
      </c>
      <c r="P161" s="14">
        <f t="shared" ca="1" si="67"/>
        <v>-1363.1646860800001</v>
      </c>
      <c r="Q161" s="14">
        <f t="shared" ca="1" si="67"/>
        <v>-1362.3672895750533</v>
      </c>
      <c r="R161" s="14">
        <f t="shared" ca="1" si="67"/>
        <v>-1367.2941949973338</v>
      </c>
      <c r="S161" s="14">
        <f t="shared" ca="1" si="67"/>
        <v>-1380.7324942683872</v>
      </c>
      <c r="T161" s="14">
        <f t="shared" ca="1" si="67"/>
        <v>-1347.8738346666669</v>
      </c>
      <c r="U161" s="14">
        <f t="shared" ca="1" si="67"/>
        <v>-1377.263416141076</v>
      </c>
      <c r="V161" s="14">
        <f t="shared" ca="1" si="67"/>
        <v>-1363.9308484129033</v>
      </c>
      <c r="W161" s="14">
        <f t="shared" ca="1" si="67"/>
        <v>-1365.9508101946658</v>
      </c>
      <c r="X161" s="14">
        <f t="shared" ca="1" si="67"/>
        <v>-1388.7659207397855</v>
      </c>
      <c r="Y161" s="14">
        <f t="shared" ca="1" si="67"/>
        <v>-1370.1869230000002</v>
      </c>
      <c r="Z161" s="14">
        <f t="shared" ca="1" si="67"/>
        <v>-1359.1353098563432</v>
      </c>
      <c r="AA161" s="14">
        <f t="shared" ca="1" si="67"/>
        <v>-1382.4070516843012</v>
      </c>
      <c r="AB161" s="14">
        <f t="shared" ca="1" si="67"/>
        <v>-1272.5281728000009</v>
      </c>
      <c r="AC161" s="14">
        <f t="shared" ca="1" si="67"/>
        <v>-1283.4239240318275</v>
      </c>
      <c r="AD161" s="14">
        <f t="shared" ca="1" si="67"/>
        <v>-1286.5715197333329</v>
      </c>
      <c r="AE161" s="14">
        <f t="shared" ca="1" si="67"/>
        <v>-1289.2429660748385</v>
      </c>
      <c r="AF161" s="14">
        <f t="shared" ca="1" si="67"/>
        <v>-1279.6483109866658</v>
      </c>
      <c r="AG161" s="14">
        <f t="shared" ca="1" si="67"/>
        <v>-1296.5319281823668</v>
      </c>
      <c r="AH161" s="14">
        <f t="shared" ca="1" si="67"/>
        <v>-1271.0093139612909</v>
      </c>
      <c r="AI161" s="14">
        <f t="shared" ca="1" si="67"/>
        <v>-1300.4234016266673</v>
      </c>
      <c r="AJ161" s="14">
        <f t="shared" ca="1" si="67"/>
        <v>-1311.3413536688167</v>
      </c>
      <c r="AK161" s="14">
        <f t="shared" ca="1" si="67"/>
        <v>-1278.6180000000004</v>
      </c>
      <c r="AL161" s="14">
        <f t="shared" ca="1" si="67"/>
        <v>-1288.0400599621507</v>
      </c>
      <c r="AM161" s="14">
        <f t="shared" ca="1" si="67"/>
        <v>-1291.2923050443005</v>
      </c>
      <c r="AN161" s="14">
        <f t="shared" ca="1" si="67"/>
        <v>-1271.7412160000013</v>
      </c>
      <c r="AO161" s="14">
        <f t="shared" ca="1" si="67"/>
        <v>-1294.9576961944085</v>
      </c>
      <c r="AP161" s="14">
        <f t="shared" ca="1" si="67"/>
        <v>-1284.0888444693337</v>
      </c>
      <c r="AQ161" s="14">
        <f t="shared" ca="1" si="67"/>
        <v>-1275.4862942219343</v>
      </c>
      <c r="AR161" s="14">
        <f t="shared" ca="1" si="67"/>
        <v>-1290.219922346666</v>
      </c>
      <c r="AS161" s="14">
        <f t="shared" ca="1" si="67"/>
        <v>-1294.0404402236563</v>
      </c>
    </row>
    <row r="162" spans="2:45" hidden="1" outlineLevel="2" x14ac:dyDescent="0.15">
      <c r="C162" s="107" t="s">
        <v>535</v>
      </c>
      <c r="J162" s="14">
        <f>IF(J$8=$I$26,-$J160*$I$27,IF(AND(J$8&gt;$I$26,NOT(ISERROR(MATCH(J$7,$J121:J121,0)))),-($J160+SUM($I162:I162)),0))</f>
        <v>0</v>
      </c>
      <c r="K162" s="14">
        <f>IF(K$8=$I$26,-$J160*$I$27,IF(AND(K$8&gt;$I$26,NOT(ISERROR(MATCH(K$7,$J121:K121,0)))),-($J160+SUM($I162:J162)),0))</f>
        <v>0</v>
      </c>
      <c r="L162" s="14">
        <f>IF(L$8=$I$26,-$J160*$I$27,IF(AND(L$8&gt;$I$26,NOT(ISERROR(MATCH(L$7,$J121:L121,0)))),-($J160+SUM($I162:K162)),0))</f>
        <v>0</v>
      </c>
      <c r="M162" s="14">
        <f>IF(M$8=$I$26,-$J160*$I$27,IF(AND(M$8&gt;$I$26,NOT(ISERROR(MATCH(M$7,$J121:M121,0)))),-($J160+SUM($I162:L162)),0))</f>
        <v>0</v>
      </c>
      <c r="N162" s="14">
        <f>IF(N$8=$I$26,-$J160*$I$27,IF(AND(N$8&gt;$I$26,NOT(ISERROR(MATCH(N$7,$J121:N121,0)))),-($J160+SUM($I162:M162)),0))</f>
        <v>0</v>
      </c>
      <c r="O162" s="14">
        <f>IF(O$8=$I$26,-$J160*$I$27,IF(AND(O$8&gt;$I$26,NOT(ISERROR(MATCH(O$7,$J121:O121,0)))),-($J160+SUM($I162:N162)),0))</f>
        <v>0</v>
      </c>
      <c r="P162" s="14">
        <f>IF(P$8=$I$26,-$J160*$I$27,IF(AND(P$8&gt;$I$26,NOT(ISERROR(MATCH(P$7,$J121:P121,0)))),-($J160+SUM($I162:O162)),0))</f>
        <v>0</v>
      </c>
      <c r="Q162" s="14">
        <f>IF(Q$8=$I$26,-$J160*$I$27,IF(AND(Q$8&gt;$I$26,NOT(ISERROR(MATCH(Q$7,$J121:Q121,0)))),-($J160+SUM($I162:P162)),0))</f>
        <v>0</v>
      </c>
      <c r="R162" s="14">
        <f>IF(R$8=$I$26,-$J160*$I$27,IF(AND(R$8&gt;$I$26,NOT(ISERROR(MATCH(R$7,$J121:R121,0)))),-($J160+SUM($I162:Q162)),0))</f>
        <v>0</v>
      </c>
      <c r="S162" s="14">
        <f>IF(S$8=$I$26,-$J160*$I$27,IF(AND(S$8&gt;$I$26,NOT(ISERROR(MATCH(S$7,$J121:S121,0)))),-($J160+SUM($I162:R162)),0))</f>
        <v>0</v>
      </c>
      <c r="T162" s="14">
        <f>IF(T$8=$I$26,-$J160*$I$27,IF(AND(T$8&gt;$I$26,NOT(ISERROR(MATCH(T$7,$J121:T121,0)))),-($J160+SUM($I162:S162)),0))</f>
        <v>0</v>
      </c>
      <c r="U162" s="14">
        <f>IF(U$8=$I$26,-$J160*$I$27,IF(AND(U$8&gt;$I$26,NOT(ISERROR(MATCH(U$7,$J121:U121,0)))),-($J160+SUM($I162:T162)),0))</f>
        <v>0</v>
      </c>
      <c r="V162" s="14">
        <f>IF(V$8=$I$26,-$J160*$I$27,IF(AND(V$8&gt;$I$26,NOT(ISERROR(MATCH(V$7,$J121:V121,0)))),-($J160+SUM($I162:U162)),0))</f>
        <v>0</v>
      </c>
      <c r="W162" s="14">
        <f>IF(W$8=$I$26,-$J160*$I$27,IF(AND(W$8&gt;$I$26,NOT(ISERROR(MATCH(W$7,$J121:W121,0)))),-($J160+SUM($I162:V162)),0))</f>
        <v>0</v>
      </c>
      <c r="X162" s="14">
        <f>IF(X$8=$I$26,-$J160*$I$27,IF(AND(X$8&gt;$I$26,NOT(ISERROR(MATCH(X$7,$J121:X121,0)))),-($J160+SUM($I162:W162)),0))</f>
        <v>0</v>
      </c>
      <c r="Y162" s="14">
        <f>IF(Y$8=$I$26,-$J160*$I$27,IF(AND(Y$8&gt;$I$26,NOT(ISERROR(MATCH(Y$7,$J121:Y121,0)))),-($J160+SUM($I162:X162)),0))</f>
        <v>0</v>
      </c>
      <c r="Z162" s="14">
        <f>IF(Z$8=$I$26,-$J160*$I$27,IF(AND(Z$8&gt;$I$26,NOT(ISERROR(MATCH(Z$7,$J121:Z121,0)))),-($J160+SUM($I162:Y162)),0))</f>
        <v>0</v>
      </c>
      <c r="AA162" s="14">
        <f>IF(AA$8=$I$26,-$J160*$I$27,IF(AND(AA$8&gt;$I$26,NOT(ISERROR(MATCH(AA$7,$J121:AA121,0)))),-($J160+SUM($I162:Z162)),0))</f>
        <v>0</v>
      </c>
      <c r="AB162" s="14">
        <f>IF(AB$8=$I$26,-$J160*$I$27,IF(AND(AB$8&gt;$I$26,NOT(ISERROR(MATCH(AB$7,$J121:AB121,0)))),-($J160+SUM($I162:AA162)),0))</f>
        <v>0</v>
      </c>
      <c r="AC162" s="14">
        <f>IF(AC$8=$I$26,-$J160*$I$27,IF(AND(AC$8&gt;$I$26,NOT(ISERROR(MATCH(AC$7,$J121:AC121,0)))),-($J160+SUM($I162:AB162)),0))</f>
        <v>0</v>
      </c>
      <c r="AD162" s="14">
        <f>IF(AD$8=$I$26,-$J160*$I$27,IF(AND(AD$8&gt;$I$26,NOT(ISERROR(MATCH(AD$7,$J121:AD121,0)))),-($J160+SUM($I162:AC162)),0))</f>
        <v>0</v>
      </c>
      <c r="AE162" s="14">
        <f>IF(AE$8=$I$26,-$J160*$I$27,IF(AND(AE$8&gt;$I$26,NOT(ISERROR(MATCH(AE$7,$J121:AE121,0)))),-($J160+SUM($I162:AD162)),0))</f>
        <v>0</v>
      </c>
      <c r="AF162" s="14">
        <f>IF(AF$8=$I$26,-$J160*$I$27,IF(AND(AF$8&gt;$I$26,NOT(ISERROR(MATCH(AF$7,$J121:AF121,0)))),-($J160+SUM($I162:AE162)),0))</f>
        <v>0</v>
      </c>
      <c r="AG162" s="14">
        <f>IF(AG$8=$I$26,-$J160*$I$27,IF(AND(AG$8&gt;$I$26,NOT(ISERROR(MATCH(AG$7,$J121:AG121,0)))),-($J160+SUM($I162:AF162)),0))</f>
        <v>0</v>
      </c>
      <c r="AH162" s="14">
        <f>IF(AH$8=$I$26,-$J160*$I$27,IF(AND(AH$8&gt;$I$26,NOT(ISERROR(MATCH(AH$7,$J121:AH121,0)))),-($J160+SUM($I162:AG162)),0))</f>
        <v>0</v>
      </c>
      <c r="AI162" s="14">
        <f>IF(AI$8=$I$26,-$J160*$I$27,IF(AND(AI$8&gt;$I$26,NOT(ISERROR(MATCH(AI$7,$J121:AI121,0)))),-($J160+SUM($I162:AH162)),0))</f>
        <v>0</v>
      </c>
      <c r="AJ162" s="14">
        <f>IF(AJ$8=$I$26,-$J160*$I$27,IF(AND(AJ$8&gt;$I$26,NOT(ISERROR(MATCH(AJ$7,$J121:AJ121,0)))),-($J160+SUM($I162:AI162)),0))</f>
        <v>0</v>
      </c>
      <c r="AK162" s="14">
        <f>IF(AK$8=$I$26,-$J160*$I$27,IF(AND(AK$8&gt;$I$26,NOT(ISERROR(MATCH(AK$7,$J121:AK121,0)))),-($J160+SUM($I162:AJ162)),0))</f>
        <v>0</v>
      </c>
      <c r="AL162" s="14">
        <f>IF(AL$8=$I$26,-$J160*$I$27,IF(AND(AL$8&gt;$I$26,NOT(ISERROR(MATCH(AL$7,$J121:AL121,0)))),-($J160+SUM($I162:AK162)),0))</f>
        <v>0</v>
      </c>
      <c r="AM162" s="14">
        <f>IF(AM$8=$I$26,-$J160*$I$27,IF(AND(AM$8&gt;$I$26,NOT(ISERROR(MATCH(AM$7,$J121:AM121,0)))),-($J160+SUM($I162:AL162)),0))</f>
        <v>0</v>
      </c>
      <c r="AN162" s="14">
        <f>IF(AN$8=$I$26,-$J160*$I$27,IF(AND(AN$8&gt;$I$26,NOT(ISERROR(MATCH(AN$7,$J121:AN121,0)))),-($J160+SUM($I162:AM162)),0))</f>
        <v>0</v>
      </c>
      <c r="AO162" s="14">
        <f>IF(AO$8=$I$26,-$J160*$I$27,IF(AND(AO$8&gt;$I$26,NOT(ISERROR(MATCH(AO$7,$J121:AO121,0)))),-($J160+SUM($I162:AN162)),0))</f>
        <v>0</v>
      </c>
      <c r="AP162" s="14">
        <f>IF(AP$8=$I$26,-$J160*$I$27,IF(AND(AP$8&gt;$I$26,NOT(ISERROR(MATCH(AP$7,$J121:AP121,0)))),-($J160+SUM($I162:AO162)),0))</f>
        <v>0</v>
      </c>
      <c r="AQ162" s="14">
        <f>IF(AQ$8=$I$26,-$J160*$I$27,IF(AND(AQ$8&gt;$I$26,NOT(ISERROR(MATCH(AQ$7,$J121:AQ121,0)))),-($J160+SUM($I162:AP162)),0))</f>
        <v>0</v>
      </c>
      <c r="AR162" s="14">
        <f>IF(AR$8=$I$26,-$J160*$I$27,IF(AND(AR$8&gt;$I$26,NOT(ISERROR(MATCH(AR$7,$J121:AR121,0)))),-($J160+SUM($I162:AQ162)),0))</f>
        <v>0</v>
      </c>
      <c r="AS162" s="14">
        <f>IF(AS$8=$I$26,-$J160*$I$27,IF(AND(AS$8&gt;$I$26,NOT(ISERROR(MATCH(AS$7,$J121:AS121,0)))),-($J160+SUM($I162:AR162)),0))</f>
        <v>0</v>
      </c>
    </row>
    <row r="163" spans="2:45" hidden="1" outlineLevel="2" x14ac:dyDescent="0.15">
      <c r="C163" s="107" t="s">
        <v>536</v>
      </c>
      <c r="J163" s="24">
        <f t="shared" ref="J163:AS163" si="68">-J122</f>
        <v>0</v>
      </c>
      <c r="K163" s="24">
        <f t="shared" si="68"/>
        <v>0</v>
      </c>
      <c r="L163" s="24">
        <f t="shared" ca="1" si="68"/>
        <v>44377.22531862546</v>
      </c>
      <c r="M163" s="24">
        <f t="shared" si="68"/>
        <v>0</v>
      </c>
      <c r="N163" s="24">
        <f t="shared" si="68"/>
        <v>0</v>
      </c>
      <c r="O163" s="24">
        <f t="shared" ca="1" si="68"/>
        <v>3653.5460204825827</v>
      </c>
      <c r="P163" s="24">
        <f t="shared" si="68"/>
        <v>0</v>
      </c>
      <c r="Q163" s="24">
        <f t="shared" si="68"/>
        <v>0</v>
      </c>
      <c r="R163" s="24">
        <f t="shared" ca="1" si="68"/>
        <v>3942.779184356129</v>
      </c>
      <c r="S163" s="24">
        <f t="shared" si="68"/>
        <v>0</v>
      </c>
      <c r="T163" s="24">
        <f t="shared" si="68"/>
        <v>0</v>
      </c>
      <c r="U163" s="24">
        <f t="shared" ca="1" si="68"/>
        <v>4095.9005239323878</v>
      </c>
      <c r="V163" s="24">
        <f t="shared" si="68"/>
        <v>0</v>
      </c>
      <c r="W163" s="24">
        <f t="shared" si="68"/>
        <v>0</v>
      </c>
      <c r="X163" s="24">
        <f t="shared" ca="1" si="68"/>
        <v>4107.1450747486451</v>
      </c>
      <c r="Y163" s="24">
        <f t="shared" si="68"/>
        <v>0</v>
      </c>
      <c r="Z163" s="24">
        <f t="shared" si="68"/>
        <v>0</v>
      </c>
      <c r="AA163" s="24">
        <f t="shared" ca="1" si="68"/>
        <v>4118.0881535961289</v>
      </c>
      <c r="AB163" s="24">
        <f t="shared" si="68"/>
        <v>0</v>
      </c>
      <c r="AC163" s="24">
        <f t="shared" si="68"/>
        <v>0</v>
      </c>
      <c r="AD163" s="24">
        <f t="shared" ca="1" si="68"/>
        <v>3938.3591485161296</v>
      </c>
      <c r="AE163" s="24">
        <f t="shared" si="68"/>
        <v>0</v>
      </c>
      <c r="AF163" s="24">
        <f t="shared" si="68"/>
        <v>0</v>
      </c>
      <c r="AG163" s="24">
        <f t="shared" ca="1" si="68"/>
        <v>3855.4627967948372</v>
      </c>
      <c r="AH163" s="24">
        <f t="shared" si="68"/>
        <v>0</v>
      </c>
      <c r="AI163" s="24">
        <f t="shared" si="68"/>
        <v>0</v>
      </c>
      <c r="AJ163" s="24">
        <f t="shared" ca="1" si="68"/>
        <v>3867.964643770325</v>
      </c>
      <c r="AK163" s="24">
        <f t="shared" si="68"/>
        <v>0</v>
      </c>
      <c r="AL163" s="24">
        <f t="shared" si="68"/>
        <v>0</v>
      </c>
      <c r="AM163" s="24">
        <f t="shared" ca="1" si="68"/>
        <v>3877.9994136309679</v>
      </c>
      <c r="AN163" s="24">
        <f t="shared" si="68"/>
        <v>0</v>
      </c>
      <c r="AO163" s="24">
        <f t="shared" si="68"/>
        <v>0</v>
      </c>
      <c r="AP163" s="24">
        <f t="shared" ca="1" si="68"/>
        <v>3857.9912172387103</v>
      </c>
      <c r="AQ163" s="24">
        <f t="shared" si="68"/>
        <v>0</v>
      </c>
      <c r="AR163" s="24">
        <f t="shared" si="68"/>
        <v>0</v>
      </c>
      <c r="AS163" s="24">
        <f t="shared" ca="1" si="68"/>
        <v>3849.7950610379339</v>
      </c>
    </row>
    <row r="164" spans="2:45" outlineLevel="1" collapsed="1" x14ac:dyDescent="0.15">
      <c r="B164" s="107" t="s">
        <v>537</v>
      </c>
      <c r="J164" s="14">
        <f t="shared" ref="J164:AS164" si="69">SUM(J162:J163)</f>
        <v>0</v>
      </c>
      <c r="K164" s="14">
        <f t="shared" si="69"/>
        <v>0</v>
      </c>
      <c r="L164" s="14">
        <f t="shared" ca="1" si="69"/>
        <v>44377.22531862546</v>
      </c>
      <c r="M164" s="14">
        <f t="shared" si="69"/>
        <v>0</v>
      </c>
      <c r="N164" s="14">
        <f t="shared" si="69"/>
        <v>0</v>
      </c>
      <c r="O164" s="14">
        <f t="shared" ca="1" si="69"/>
        <v>3653.5460204825827</v>
      </c>
      <c r="P164" s="14">
        <f t="shared" si="69"/>
        <v>0</v>
      </c>
      <c r="Q164" s="14">
        <f t="shared" si="69"/>
        <v>0</v>
      </c>
      <c r="R164" s="14">
        <f t="shared" ca="1" si="69"/>
        <v>3942.779184356129</v>
      </c>
      <c r="S164" s="14">
        <f t="shared" si="69"/>
        <v>0</v>
      </c>
      <c r="T164" s="14">
        <f t="shared" si="69"/>
        <v>0</v>
      </c>
      <c r="U164" s="14">
        <f t="shared" ca="1" si="69"/>
        <v>4095.9005239323878</v>
      </c>
      <c r="V164" s="14">
        <f t="shared" si="69"/>
        <v>0</v>
      </c>
      <c r="W164" s="14">
        <f t="shared" si="69"/>
        <v>0</v>
      </c>
      <c r="X164" s="14">
        <f t="shared" ca="1" si="69"/>
        <v>4107.1450747486451</v>
      </c>
      <c r="Y164" s="14">
        <f t="shared" si="69"/>
        <v>0</v>
      </c>
      <c r="Z164" s="14">
        <f t="shared" si="69"/>
        <v>0</v>
      </c>
      <c r="AA164" s="14">
        <f t="shared" ca="1" si="69"/>
        <v>4118.0881535961289</v>
      </c>
      <c r="AB164" s="14">
        <f t="shared" si="69"/>
        <v>0</v>
      </c>
      <c r="AC164" s="14">
        <f t="shared" si="69"/>
        <v>0</v>
      </c>
      <c r="AD164" s="14">
        <f t="shared" ca="1" si="69"/>
        <v>3938.3591485161296</v>
      </c>
      <c r="AE164" s="14">
        <f t="shared" si="69"/>
        <v>0</v>
      </c>
      <c r="AF164" s="14">
        <f t="shared" si="69"/>
        <v>0</v>
      </c>
      <c r="AG164" s="14">
        <f t="shared" ca="1" si="69"/>
        <v>3855.4627967948372</v>
      </c>
      <c r="AH164" s="14">
        <f t="shared" si="69"/>
        <v>0</v>
      </c>
      <c r="AI164" s="14">
        <f t="shared" si="69"/>
        <v>0</v>
      </c>
      <c r="AJ164" s="14">
        <f t="shared" ca="1" si="69"/>
        <v>3867.964643770325</v>
      </c>
      <c r="AK164" s="14">
        <f t="shared" si="69"/>
        <v>0</v>
      </c>
      <c r="AL164" s="14">
        <f t="shared" si="69"/>
        <v>0</v>
      </c>
      <c r="AM164" s="14">
        <f t="shared" ca="1" si="69"/>
        <v>3877.9994136309679</v>
      </c>
      <c r="AN164" s="14">
        <f t="shared" si="69"/>
        <v>0</v>
      </c>
      <c r="AO164" s="14">
        <f t="shared" si="69"/>
        <v>0</v>
      </c>
      <c r="AP164" s="14">
        <f t="shared" ca="1" si="69"/>
        <v>3857.9912172387103</v>
      </c>
      <c r="AQ164" s="14">
        <f t="shared" si="69"/>
        <v>0</v>
      </c>
      <c r="AR164" s="14">
        <f t="shared" si="69"/>
        <v>0</v>
      </c>
      <c r="AS164" s="14">
        <f t="shared" ca="1" si="69"/>
        <v>3849.7950610379339</v>
      </c>
    </row>
    <row r="165" spans="2:45" outlineLevel="1" x14ac:dyDescent="0.15">
      <c r="B165" s="16" t="s">
        <v>538</v>
      </c>
      <c r="J165" s="18">
        <f t="shared" ref="J165:AS165" ca="1" si="70">SUM(J160:J161,J164)</f>
        <v>-43156.449339182793</v>
      </c>
      <c r="K165" s="18">
        <f t="shared" ca="1" si="70"/>
        <v>-44377.22531862546</v>
      </c>
      <c r="L165" s="18">
        <f t="shared" ca="1" si="70"/>
        <v>-1220.9798289204336</v>
      </c>
      <c r="M165" s="18">
        <f t="shared" ca="1" si="70"/>
        <v>-2446.0441253204344</v>
      </c>
      <c r="N165" s="18">
        <f t="shared" ca="1" si="70"/>
        <v>-3653.5460204825854</v>
      </c>
      <c r="O165" s="18">
        <f t="shared" ca="1" si="70"/>
        <v>-1217.2472087010779</v>
      </c>
      <c r="P165" s="18">
        <f t="shared" ca="1" si="70"/>
        <v>-2580.411894781078</v>
      </c>
      <c r="Q165" s="18">
        <f t="shared" ca="1" si="70"/>
        <v>-3942.7791843561313</v>
      </c>
      <c r="R165" s="18">
        <f t="shared" ca="1" si="70"/>
        <v>-1367.2941949973365</v>
      </c>
      <c r="S165" s="18">
        <f t="shared" ca="1" si="70"/>
        <v>-2748.0266892657237</v>
      </c>
      <c r="T165" s="18">
        <f t="shared" ca="1" si="70"/>
        <v>-4095.9005239323906</v>
      </c>
      <c r="U165" s="18">
        <f t="shared" ca="1" si="70"/>
        <v>-1377.2634161410788</v>
      </c>
      <c r="V165" s="18">
        <f t="shared" ca="1" si="70"/>
        <v>-2741.1942645539821</v>
      </c>
      <c r="W165" s="18">
        <f t="shared" ca="1" si="70"/>
        <v>-4107.1450747486479</v>
      </c>
      <c r="X165" s="18">
        <f t="shared" ca="1" si="70"/>
        <v>-1388.7659207397883</v>
      </c>
      <c r="Y165" s="18">
        <f t="shared" ca="1" si="70"/>
        <v>-2758.9528437397885</v>
      </c>
      <c r="Z165" s="18">
        <f t="shared" ca="1" si="70"/>
        <v>-4118.0881535961316</v>
      </c>
      <c r="AA165" s="18">
        <f t="shared" ca="1" si="70"/>
        <v>-1382.407051684304</v>
      </c>
      <c r="AB165" s="18">
        <f t="shared" ca="1" si="70"/>
        <v>-2654.9352244843049</v>
      </c>
      <c r="AC165" s="18">
        <f t="shared" ca="1" si="70"/>
        <v>-3938.3591485161323</v>
      </c>
      <c r="AD165" s="18">
        <f t="shared" ca="1" si="70"/>
        <v>-1286.5715197333357</v>
      </c>
      <c r="AE165" s="18">
        <f t="shared" ca="1" si="70"/>
        <v>-2575.8144858081741</v>
      </c>
      <c r="AF165" s="18">
        <f t="shared" ca="1" si="70"/>
        <v>-3855.46279679484</v>
      </c>
      <c r="AG165" s="18">
        <f t="shared" ca="1" si="70"/>
        <v>-1296.5319281823695</v>
      </c>
      <c r="AH165" s="18">
        <f t="shared" ca="1" si="70"/>
        <v>-2567.5412421436604</v>
      </c>
      <c r="AI165" s="18">
        <f t="shared" ca="1" si="70"/>
        <v>-3867.9646437703277</v>
      </c>
      <c r="AJ165" s="18">
        <f t="shared" ca="1" si="70"/>
        <v>-1311.3413536688195</v>
      </c>
      <c r="AK165" s="18">
        <f t="shared" ca="1" si="70"/>
        <v>-2589.9593536688199</v>
      </c>
      <c r="AL165" s="18">
        <f t="shared" ca="1" si="70"/>
        <v>-3877.9994136309706</v>
      </c>
      <c r="AM165" s="18">
        <f t="shared" ca="1" si="70"/>
        <v>-1291.2923050443032</v>
      </c>
      <c r="AN165" s="18">
        <f t="shared" ca="1" si="70"/>
        <v>-2563.0335210443045</v>
      </c>
      <c r="AO165" s="18">
        <f t="shared" ca="1" si="70"/>
        <v>-3857.991217238713</v>
      </c>
      <c r="AP165" s="18">
        <f t="shared" ca="1" si="70"/>
        <v>-1284.0888444693364</v>
      </c>
      <c r="AQ165" s="18">
        <f t="shared" ca="1" si="70"/>
        <v>-2559.5751386912707</v>
      </c>
      <c r="AR165" s="18">
        <f t="shared" ca="1" si="70"/>
        <v>-3849.7950610379366</v>
      </c>
      <c r="AS165" s="18">
        <f t="shared" ca="1" si="70"/>
        <v>-1294.0404402236591</v>
      </c>
    </row>
    <row r="166" spans="2:45" outlineLevel="1" x14ac:dyDescent="0.15"/>
    <row r="167" spans="2:45" outlineLevel="1" x14ac:dyDescent="0.15">
      <c r="B167" s="108" t="str">
        <f>B36</f>
        <v>VAT Rate</v>
      </c>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row>
    <row r="168" spans="2:45" outlineLevel="1" x14ac:dyDescent="0.15"/>
    <row r="169" spans="2:45" outlineLevel="1" x14ac:dyDescent="0.15">
      <c r="B169" s="107" t="str">
        <f>B37</f>
        <v>VAT Rate (%)</v>
      </c>
      <c r="J169" s="25">
        <f t="shared" ref="J169:AS169" si="71">J37</f>
        <v>0.2</v>
      </c>
      <c r="K169" s="25">
        <f t="shared" si="71"/>
        <v>0.2</v>
      </c>
      <c r="L169" s="25">
        <f t="shared" si="71"/>
        <v>0.2</v>
      </c>
      <c r="M169" s="25">
        <f t="shared" si="71"/>
        <v>0.2</v>
      </c>
      <c r="N169" s="25">
        <f t="shared" si="71"/>
        <v>0.2</v>
      </c>
      <c r="O169" s="25">
        <f t="shared" si="71"/>
        <v>0.2</v>
      </c>
      <c r="P169" s="25">
        <f t="shared" si="71"/>
        <v>0.2</v>
      </c>
      <c r="Q169" s="25">
        <f t="shared" si="71"/>
        <v>0.2</v>
      </c>
      <c r="R169" s="25">
        <f t="shared" si="71"/>
        <v>0.2</v>
      </c>
      <c r="S169" s="25">
        <f t="shared" si="71"/>
        <v>0.2</v>
      </c>
      <c r="T169" s="25">
        <f t="shared" si="71"/>
        <v>0.2</v>
      </c>
      <c r="U169" s="25">
        <f t="shared" si="71"/>
        <v>0.2</v>
      </c>
      <c r="V169" s="25">
        <f t="shared" si="71"/>
        <v>0.2</v>
      </c>
      <c r="W169" s="25">
        <f t="shared" si="71"/>
        <v>0.2</v>
      </c>
      <c r="X169" s="25">
        <f t="shared" si="71"/>
        <v>0.2</v>
      </c>
      <c r="Y169" s="25">
        <f t="shared" si="71"/>
        <v>0.2</v>
      </c>
      <c r="Z169" s="25">
        <f t="shared" si="71"/>
        <v>0.2</v>
      </c>
      <c r="AA169" s="25">
        <f t="shared" si="71"/>
        <v>0.2</v>
      </c>
      <c r="AB169" s="25">
        <f t="shared" si="71"/>
        <v>0.2</v>
      </c>
      <c r="AC169" s="25">
        <f t="shared" si="71"/>
        <v>0.2</v>
      </c>
      <c r="AD169" s="25">
        <f t="shared" si="71"/>
        <v>0.2</v>
      </c>
      <c r="AE169" s="25">
        <f t="shared" si="71"/>
        <v>0.2</v>
      </c>
      <c r="AF169" s="25">
        <f t="shared" si="71"/>
        <v>0.2</v>
      </c>
      <c r="AG169" s="25">
        <f t="shared" si="71"/>
        <v>0.2</v>
      </c>
      <c r="AH169" s="25">
        <f t="shared" si="71"/>
        <v>0.2</v>
      </c>
      <c r="AI169" s="25">
        <f t="shared" si="71"/>
        <v>0.2</v>
      </c>
      <c r="AJ169" s="25">
        <f t="shared" si="71"/>
        <v>0.2</v>
      </c>
      <c r="AK169" s="25">
        <f t="shared" si="71"/>
        <v>0.2</v>
      </c>
      <c r="AL169" s="25">
        <f t="shared" si="71"/>
        <v>0.2</v>
      </c>
      <c r="AM169" s="25">
        <f t="shared" si="71"/>
        <v>0.2</v>
      </c>
      <c r="AN169" s="25">
        <f t="shared" si="71"/>
        <v>0.2</v>
      </c>
      <c r="AO169" s="25">
        <f t="shared" si="71"/>
        <v>0.2</v>
      </c>
      <c r="AP169" s="25">
        <f t="shared" si="71"/>
        <v>0.2</v>
      </c>
      <c r="AQ169" s="25">
        <f t="shared" si="71"/>
        <v>0.2</v>
      </c>
      <c r="AR169" s="25">
        <f t="shared" si="71"/>
        <v>0.2</v>
      </c>
      <c r="AS169" s="25">
        <f t="shared" si="71"/>
        <v>0.2</v>
      </c>
    </row>
    <row r="170" spans="2:45" outlineLevel="1" x14ac:dyDescent="0.15"/>
    <row r="171" spans="2:45" outlineLevel="1" x14ac:dyDescent="0.15">
      <c r="B171" s="108" t="s">
        <v>539</v>
      </c>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row>
    <row r="172" spans="2:45" outlineLevel="1" x14ac:dyDescent="0.15"/>
    <row r="173" spans="2:45" outlineLevel="1" x14ac:dyDescent="0.15">
      <c r="B173" s="16" t="str">
        <f t="shared" ref="B173:B178" si="72">B51</f>
        <v>Revenue</v>
      </c>
      <c r="I173" s="153" t="str">
        <f t="shared" ref="I173:I178" si="73">I51</f>
        <v xml:space="preserve">VAT Applicable </v>
      </c>
      <c r="J173" s="16" t="str">
        <f>" "&amp;INDEX(LU_Ts_Denom,DD_Ts_Denom)&amp;" (Including VAT)"</f>
        <v xml:space="preserve"> £ (Including VAT)</v>
      </c>
    </row>
    <row r="174" spans="2:45" outlineLevel="1" x14ac:dyDescent="0.15">
      <c r="B174" s="107" t="str">
        <f t="shared" si="72"/>
        <v>Membership Fees</v>
      </c>
      <c r="I174" s="50">
        <f t="shared" si="73"/>
        <v>0</v>
      </c>
      <c r="J174" s="14">
        <f t="shared" ref="J174:AS174" si="74">J52*(1+$I174*J$169)</f>
        <v>350</v>
      </c>
      <c r="K174" s="14">
        <f t="shared" si="74"/>
        <v>350</v>
      </c>
      <c r="L174" s="14">
        <f t="shared" si="74"/>
        <v>358.33333333333337</v>
      </c>
      <c r="M174" s="14">
        <f t="shared" si="74"/>
        <v>366.66666666666663</v>
      </c>
      <c r="N174" s="14">
        <f t="shared" si="74"/>
        <v>375</v>
      </c>
      <c r="O174" s="14">
        <f t="shared" si="74"/>
        <v>383.33333333333337</v>
      </c>
      <c r="P174" s="14">
        <f t="shared" si="74"/>
        <v>391.66666666666663</v>
      </c>
      <c r="Q174" s="14">
        <f t="shared" si="74"/>
        <v>400</v>
      </c>
      <c r="R174" s="14">
        <f t="shared" si="74"/>
        <v>408.33333333333337</v>
      </c>
      <c r="S174" s="14">
        <f t="shared" si="74"/>
        <v>416.66666666666663</v>
      </c>
      <c r="T174" s="14">
        <f t="shared" si="74"/>
        <v>425</v>
      </c>
      <c r="U174" s="14">
        <f t="shared" si="74"/>
        <v>433.33333333333337</v>
      </c>
      <c r="V174" s="14">
        <f t="shared" si="74"/>
        <v>441.66666666666663</v>
      </c>
      <c r="W174" s="14">
        <f t="shared" si="74"/>
        <v>450</v>
      </c>
      <c r="X174" s="14">
        <f t="shared" si="74"/>
        <v>458.33333333333337</v>
      </c>
      <c r="Y174" s="14">
        <f t="shared" si="74"/>
        <v>466.66666666666663</v>
      </c>
      <c r="Z174" s="14">
        <f t="shared" si="74"/>
        <v>475</v>
      </c>
      <c r="AA174" s="14">
        <f t="shared" si="74"/>
        <v>483.33333333333337</v>
      </c>
      <c r="AB174" s="14">
        <f t="shared" si="74"/>
        <v>491.66666666666663</v>
      </c>
      <c r="AC174" s="14">
        <f t="shared" si="74"/>
        <v>500</v>
      </c>
      <c r="AD174" s="14">
        <f t="shared" si="74"/>
        <v>508.33333333333331</v>
      </c>
      <c r="AE174" s="14">
        <f t="shared" si="74"/>
        <v>516.66666666666674</v>
      </c>
      <c r="AF174" s="14">
        <f t="shared" si="74"/>
        <v>525</v>
      </c>
      <c r="AG174" s="14">
        <f t="shared" si="74"/>
        <v>533.33333333333326</v>
      </c>
      <c r="AH174" s="14">
        <f t="shared" si="74"/>
        <v>541.66666666666674</v>
      </c>
      <c r="AI174" s="14">
        <f t="shared" si="74"/>
        <v>550</v>
      </c>
      <c r="AJ174" s="14">
        <f t="shared" si="74"/>
        <v>558.33333333333326</v>
      </c>
      <c r="AK174" s="14">
        <f t="shared" si="74"/>
        <v>566.66666666666674</v>
      </c>
      <c r="AL174" s="14">
        <f t="shared" si="74"/>
        <v>575</v>
      </c>
      <c r="AM174" s="14">
        <f t="shared" si="74"/>
        <v>583.33333333333326</v>
      </c>
      <c r="AN174" s="14">
        <f t="shared" si="74"/>
        <v>591.66666666666674</v>
      </c>
      <c r="AO174" s="14">
        <f t="shared" si="74"/>
        <v>600</v>
      </c>
      <c r="AP174" s="14">
        <f t="shared" si="74"/>
        <v>608.33333333333326</v>
      </c>
      <c r="AQ174" s="14">
        <f t="shared" si="74"/>
        <v>616.66666666666674</v>
      </c>
      <c r="AR174" s="14">
        <f t="shared" si="74"/>
        <v>625</v>
      </c>
      <c r="AS174" s="14">
        <f t="shared" si="74"/>
        <v>633.33333333333326</v>
      </c>
    </row>
    <row r="175" spans="2:45" outlineLevel="1" x14ac:dyDescent="0.15">
      <c r="B175" s="107" t="str">
        <f t="shared" si="72"/>
        <v>PAYG Fencing</v>
      </c>
      <c r="I175" s="50">
        <f t="shared" si="73"/>
        <v>0</v>
      </c>
      <c r="J175" s="14">
        <f t="shared" ref="J175:AS175" si="75">J53*(1+$I175*J$169)</f>
        <v>2481.0619354838709</v>
      </c>
      <c r="K175" s="14">
        <f t="shared" si="75"/>
        <v>4567.1165399999991</v>
      </c>
      <c r="L175" s="14">
        <f t="shared" si="75"/>
        <v>4753.2944516129037</v>
      </c>
      <c r="M175" s="14">
        <f t="shared" si="75"/>
        <v>5821.4309999999996</v>
      </c>
      <c r="N175" s="14">
        <f t="shared" si="75"/>
        <v>1969.8246580645155</v>
      </c>
      <c r="O175" s="14">
        <f t="shared" si="75"/>
        <v>4324.5171290322578</v>
      </c>
      <c r="P175" s="14">
        <f t="shared" si="75"/>
        <v>4722.8832000000002</v>
      </c>
      <c r="Q175" s="14">
        <f t="shared" si="75"/>
        <v>4681.505206451613</v>
      </c>
      <c r="R175" s="14">
        <f t="shared" si="75"/>
        <v>3527.4685600000003</v>
      </c>
      <c r="S175" s="14">
        <f t="shared" si="75"/>
        <v>4307.8396064516119</v>
      </c>
      <c r="T175" s="14">
        <f t="shared" si="75"/>
        <v>4220.72</v>
      </c>
      <c r="U175" s="14">
        <f t="shared" si="75"/>
        <v>3799.1097290322577</v>
      </c>
      <c r="V175" s="14">
        <f t="shared" si="75"/>
        <v>3322.465548387097</v>
      </c>
      <c r="W175" s="14">
        <f t="shared" si="75"/>
        <v>6335.03262</v>
      </c>
      <c r="X175" s="14">
        <f t="shared" si="75"/>
        <v>6832.8607741935475</v>
      </c>
      <c r="Y175" s="14">
        <f t="shared" si="75"/>
        <v>7577.4824999999992</v>
      </c>
      <c r="Z175" s="14">
        <f t="shared" si="75"/>
        <v>2791.9643612903224</v>
      </c>
      <c r="AA175" s="14">
        <f t="shared" si="75"/>
        <v>5807.2087161290319</v>
      </c>
      <c r="AB175" s="14">
        <f t="shared" si="75"/>
        <v>5997.3119999999999</v>
      </c>
      <c r="AC175" s="14">
        <f t="shared" si="75"/>
        <v>6199.831219354839</v>
      </c>
      <c r="AD175" s="14">
        <f t="shared" si="75"/>
        <v>4641.4059999999999</v>
      </c>
      <c r="AE175" s="14">
        <f t="shared" si="75"/>
        <v>5388.4013806451612</v>
      </c>
      <c r="AF175" s="14">
        <f t="shared" si="75"/>
        <v>5761.2828000000009</v>
      </c>
      <c r="AG175" s="14">
        <f t="shared" si="75"/>
        <v>4911.0442838709669</v>
      </c>
      <c r="AH175" s="14">
        <f t="shared" si="75"/>
        <v>4077.5713548387102</v>
      </c>
      <c r="AI175" s="14">
        <f t="shared" si="75"/>
        <v>8488.8034000000007</v>
      </c>
      <c r="AJ175" s="14">
        <f t="shared" si="75"/>
        <v>8696.3682580645163</v>
      </c>
      <c r="AK175" s="14">
        <f t="shared" si="75"/>
        <v>8640</v>
      </c>
      <c r="AL175" s="14">
        <f t="shared" si="75"/>
        <v>3680.3166580645147</v>
      </c>
      <c r="AM175" s="14">
        <f t="shared" si="75"/>
        <v>6972.9481161290332</v>
      </c>
      <c r="AN175" s="14">
        <f t="shared" si="75"/>
        <v>7496.6399999999994</v>
      </c>
      <c r="AO175" s="14">
        <f t="shared" si="75"/>
        <v>8085.6885290322589</v>
      </c>
      <c r="AP175" s="14">
        <f t="shared" si="75"/>
        <v>5755.3434400000006</v>
      </c>
      <c r="AQ175" s="14">
        <f t="shared" si="75"/>
        <v>6353.7032322580644</v>
      </c>
      <c r="AR175" s="14">
        <f t="shared" si="75"/>
        <v>7428.467200000001</v>
      </c>
      <c r="AS175" s="14">
        <f t="shared" si="75"/>
        <v>6022.9788387096769</v>
      </c>
    </row>
    <row r="176" spans="2:45" outlineLevel="1" x14ac:dyDescent="0.15">
      <c r="B176" s="107" t="str">
        <f t="shared" si="72"/>
        <v>Private Hire</v>
      </c>
      <c r="I176" s="50">
        <f t="shared" si="73"/>
        <v>1</v>
      </c>
      <c r="J176" s="14">
        <f t="shared" ref="J176:AS176" si="76">J54*(1+$I176*J$169)</f>
        <v>480</v>
      </c>
      <c r="K176" s="14">
        <f t="shared" si="76"/>
        <v>480</v>
      </c>
      <c r="L176" s="14">
        <f t="shared" si="76"/>
        <v>480</v>
      </c>
      <c r="M176" s="14">
        <f t="shared" si="76"/>
        <v>480</v>
      </c>
      <c r="N176" s="14">
        <f t="shared" si="76"/>
        <v>480</v>
      </c>
      <c r="O176" s="14">
        <f t="shared" si="76"/>
        <v>480</v>
      </c>
      <c r="P176" s="14">
        <f t="shared" si="76"/>
        <v>960</v>
      </c>
      <c r="Q176" s="14">
        <f t="shared" si="76"/>
        <v>960</v>
      </c>
      <c r="R176" s="14">
        <f t="shared" si="76"/>
        <v>960</v>
      </c>
      <c r="S176" s="14">
        <f t="shared" si="76"/>
        <v>960</v>
      </c>
      <c r="T176" s="14">
        <f t="shared" si="76"/>
        <v>960</v>
      </c>
      <c r="U176" s="14">
        <f t="shared" si="76"/>
        <v>960</v>
      </c>
      <c r="V176" s="14">
        <f t="shared" si="76"/>
        <v>960</v>
      </c>
      <c r="W176" s="14">
        <f t="shared" si="76"/>
        <v>960</v>
      </c>
      <c r="X176" s="14">
        <f t="shared" si="76"/>
        <v>960</v>
      </c>
      <c r="Y176" s="14">
        <f t="shared" si="76"/>
        <v>960</v>
      </c>
      <c r="Z176" s="14">
        <f t="shared" si="76"/>
        <v>960</v>
      </c>
      <c r="AA176" s="14">
        <f t="shared" si="76"/>
        <v>960</v>
      </c>
      <c r="AB176" s="14">
        <f t="shared" si="76"/>
        <v>1440</v>
      </c>
      <c r="AC176" s="14">
        <f t="shared" si="76"/>
        <v>1440</v>
      </c>
      <c r="AD176" s="14">
        <f t="shared" si="76"/>
        <v>1440</v>
      </c>
      <c r="AE176" s="14">
        <f t="shared" si="76"/>
        <v>1440</v>
      </c>
      <c r="AF176" s="14">
        <f t="shared" si="76"/>
        <v>1440</v>
      </c>
      <c r="AG176" s="14">
        <f t="shared" si="76"/>
        <v>1440</v>
      </c>
      <c r="AH176" s="14">
        <f t="shared" si="76"/>
        <v>1440</v>
      </c>
      <c r="AI176" s="14">
        <f t="shared" si="76"/>
        <v>1440</v>
      </c>
      <c r="AJ176" s="14">
        <f t="shared" si="76"/>
        <v>1440</v>
      </c>
      <c r="AK176" s="14">
        <f t="shared" si="76"/>
        <v>1440</v>
      </c>
      <c r="AL176" s="14">
        <f t="shared" si="76"/>
        <v>1440</v>
      </c>
      <c r="AM176" s="14">
        <f t="shared" si="76"/>
        <v>1440</v>
      </c>
      <c r="AN176" s="14">
        <f t="shared" si="76"/>
        <v>1440</v>
      </c>
      <c r="AO176" s="14">
        <f t="shared" si="76"/>
        <v>1440</v>
      </c>
      <c r="AP176" s="14">
        <f t="shared" si="76"/>
        <v>1440</v>
      </c>
      <c r="AQ176" s="14">
        <f t="shared" si="76"/>
        <v>1440</v>
      </c>
      <c r="AR176" s="14">
        <f t="shared" si="76"/>
        <v>1440</v>
      </c>
      <c r="AS176" s="14">
        <f t="shared" si="76"/>
        <v>1440</v>
      </c>
    </row>
    <row r="177" spans="2:45" outlineLevel="1" x14ac:dyDescent="0.15">
      <c r="B177" s="107" t="str">
        <f t="shared" si="72"/>
        <v>Book a Piste</v>
      </c>
      <c r="I177" s="50">
        <f t="shared" si="73"/>
        <v>1</v>
      </c>
      <c r="J177" s="14">
        <f t="shared" ref="J177:AS177" si="77">J55*(1+$I177*J$169)</f>
        <v>48</v>
      </c>
      <c r="K177" s="14">
        <f t="shared" si="77"/>
        <v>48</v>
      </c>
      <c r="L177" s="14">
        <f t="shared" si="77"/>
        <v>48</v>
      </c>
      <c r="M177" s="14">
        <f t="shared" si="77"/>
        <v>48</v>
      </c>
      <c r="N177" s="14">
        <f t="shared" si="77"/>
        <v>48</v>
      </c>
      <c r="O177" s="14">
        <f t="shared" si="77"/>
        <v>48</v>
      </c>
      <c r="P177" s="14">
        <f t="shared" si="77"/>
        <v>48</v>
      </c>
      <c r="Q177" s="14">
        <f t="shared" si="77"/>
        <v>48</v>
      </c>
      <c r="R177" s="14">
        <f t="shared" si="77"/>
        <v>48</v>
      </c>
      <c r="S177" s="14">
        <f t="shared" si="77"/>
        <v>48</v>
      </c>
      <c r="T177" s="14">
        <f t="shared" si="77"/>
        <v>48</v>
      </c>
      <c r="U177" s="14">
        <f t="shared" si="77"/>
        <v>48</v>
      </c>
      <c r="V177" s="14">
        <f t="shared" si="77"/>
        <v>48</v>
      </c>
      <c r="W177" s="14">
        <f t="shared" si="77"/>
        <v>48</v>
      </c>
      <c r="X177" s="14">
        <f t="shared" si="77"/>
        <v>48</v>
      </c>
      <c r="Y177" s="14">
        <f t="shared" si="77"/>
        <v>48</v>
      </c>
      <c r="Z177" s="14">
        <f t="shared" si="77"/>
        <v>48</v>
      </c>
      <c r="AA177" s="14">
        <f t="shared" si="77"/>
        <v>48</v>
      </c>
      <c r="AB177" s="14">
        <f t="shared" si="77"/>
        <v>48</v>
      </c>
      <c r="AC177" s="14">
        <f t="shared" si="77"/>
        <v>48</v>
      </c>
      <c r="AD177" s="14">
        <f t="shared" si="77"/>
        <v>48</v>
      </c>
      <c r="AE177" s="14">
        <f t="shared" si="77"/>
        <v>48</v>
      </c>
      <c r="AF177" s="14">
        <f t="shared" si="77"/>
        <v>48</v>
      </c>
      <c r="AG177" s="14">
        <f t="shared" si="77"/>
        <v>48</v>
      </c>
      <c r="AH177" s="14">
        <f t="shared" si="77"/>
        <v>48</v>
      </c>
      <c r="AI177" s="14">
        <f t="shared" si="77"/>
        <v>48</v>
      </c>
      <c r="AJ177" s="14">
        <f t="shared" si="77"/>
        <v>48</v>
      </c>
      <c r="AK177" s="14">
        <f t="shared" si="77"/>
        <v>48</v>
      </c>
      <c r="AL177" s="14">
        <f t="shared" si="77"/>
        <v>48</v>
      </c>
      <c r="AM177" s="14">
        <f t="shared" si="77"/>
        <v>48</v>
      </c>
      <c r="AN177" s="14">
        <f t="shared" si="77"/>
        <v>48</v>
      </c>
      <c r="AO177" s="14">
        <f t="shared" si="77"/>
        <v>48</v>
      </c>
      <c r="AP177" s="14">
        <f t="shared" si="77"/>
        <v>48</v>
      </c>
      <c r="AQ177" s="14">
        <f t="shared" si="77"/>
        <v>48</v>
      </c>
      <c r="AR177" s="14">
        <f t="shared" si="77"/>
        <v>48</v>
      </c>
      <c r="AS177" s="14">
        <f t="shared" si="77"/>
        <v>48</v>
      </c>
    </row>
    <row r="178" spans="2:45" outlineLevel="1" x14ac:dyDescent="0.15">
      <c r="B178" s="107" t="str">
        <f t="shared" si="72"/>
        <v>Merch Sales</v>
      </c>
      <c r="I178" s="50">
        <f t="shared" si="73"/>
        <v>1</v>
      </c>
      <c r="J178" s="14">
        <f t="shared" ref="J178:AS178" si="78">J56*(1+$I178*J$169)</f>
        <v>120</v>
      </c>
      <c r="K178" s="14">
        <f t="shared" si="78"/>
        <v>124</v>
      </c>
      <c r="L178" s="14">
        <f t="shared" si="78"/>
        <v>128</v>
      </c>
      <c r="M178" s="14">
        <f t="shared" si="78"/>
        <v>132</v>
      </c>
      <c r="N178" s="14">
        <f t="shared" si="78"/>
        <v>136</v>
      </c>
      <c r="O178" s="14">
        <f t="shared" si="78"/>
        <v>140</v>
      </c>
      <c r="P178" s="14">
        <f t="shared" si="78"/>
        <v>144</v>
      </c>
      <c r="Q178" s="14">
        <f t="shared" si="78"/>
        <v>148</v>
      </c>
      <c r="R178" s="14">
        <f t="shared" si="78"/>
        <v>152</v>
      </c>
      <c r="S178" s="14">
        <f t="shared" si="78"/>
        <v>156</v>
      </c>
      <c r="T178" s="14">
        <f t="shared" si="78"/>
        <v>160</v>
      </c>
      <c r="U178" s="14">
        <f t="shared" si="78"/>
        <v>164.00000000000003</v>
      </c>
      <c r="V178" s="14">
        <f t="shared" si="78"/>
        <v>168</v>
      </c>
      <c r="W178" s="14">
        <f t="shared" si="78"/>
        <v>172</v>
      </c>
      <c r="X178" s="14">
        <f t="shared" si="78"/>
        <v>176.00000000000003</v>
      </c>
      <c r="Y178" s="14">
        <f t="shared" si="78"/>
        <v>180</v>
      </c>
      <c r="Z178" s="14">
        <f t="shared" si="78"/>
        <v>184</v>
      </c>
      <c r="AA178" s="14">
        <f t="shared" si="78"/>
        <v>188.00000000000003</v>
      </c>
      <c r="AB178" s="14">
        <f t="shared" si="78"/>
        <v>192</v>
      </c>
      <c r="AC178" s="14">
        <f t="shared" si="78"/>
        <v>196</v>
      </c>
      <c r="AD178" s="14">
        <f t="shared" si="78"/>
        <v>200.00000000000003</v>
      </c>
      <c r="AE178" s="14">
        <f t="shared" si="78"/>
        <v>204</v>
      </c>
      <c r="AF178" s="14">
        <f t="shared" si="78"/>
        <v>208</v>
      </c>
      <c r="AG178" s="14">
        <f t="shared" si="78"/>
        <v>212.00000000000003</v>
      </c>
      <c r="AH178" s="14">
        <f t="shared" si="78"/>
        <v>216</v>
      </c>
      <c r="AI178" s="14">
        <f t="shared" si="78"/>
        <v>220</v>
      </c>
      <c r="AJ178" s="14">
        <f t="shared" si="78"/>
        <v>224.00000000000003</v>
      </c>
      <c r="AK178" s="14">
        <f t="shared" si="78"/>
        <v>228</v>
      </c>
      <c r="AL178" s="14">
        <f t="shared" si="78"/>
        <v>232</v>
      </c>
      <c r="AM178" s="14">
        <f t="shared" si="78"/>
        <v>236</v>
      </c>
      <c r="AN178" s="14">
        <f t="shared" si="78"/>
        <v>240</v>
      </c>
      <c r="AO178" s="14">
        <f t="shared" si="78"/>
        <v>244</v>
      </c>
      <c r="AP178" s="14">
        <f t="shared" si="78"/>
        <v>248</v>
      </c>
      <c r="AQ178" s="14">
        <f t="shared" si="78"/>
        <v>252</v>
      </c>
      <c r="AR178" s="14">
        <f t="shared" si="78"/>
        <v>256</v>
      </c>
      <c r="AS178" s="14">
        <f t="shared" si="78"/>
        <v>260</v>
      </c>
    </row>
    <row r="179" spans="2:45" outlineLevel="1" x14ac:dyDescent="0.15">
      <c r="B179" s="16" t="str">
        <f>"Total Applicable "&amp;B173</f>
        <v>Total Applicable Revenue</v>
      </c>
      <c r="J179" s="18">
        <f t="shared" ref="J179:AS179" si="79">SUM(J174:J178)</f>
        <v>3479.0619354838709</v>
      </c>
      <c r="K179" s="18">
        <f t="shared" si="79"/>
        <v>5569.1165399999991</v>
      </c>
      <c r="L179" s="18">
        <f t="shared" si="79"/>
        <v>5767.6277849462367</v>
      </c>
      <c r="M179" s="18">
        <f t="shared" si="79"/>
        <v>6848.0976666666666</v>
      </c>
      <c r="N179" s="18">
        <f t="shared" si="79"/>
        <v>3008.8246580645155</v>
      </c>
      <c r="O179" s="18">
        <f t="shared" si="79"/>
        <v>5375.8504623655908</v>
      </c>
      <c r="P179" s="18">
        <f t="shared" si="79"/>
        <v>6266.5498666666672</v>
      </c>
      <c r="Q179" s="18">
        <f t="shared" si="79"/>
        <v>6237.505206451613</v>
      </c>
      <c r="R179" s="18">
        <f t="shared" si="79"/>
        <v>5095.8018933333333</v>
      </c>
      <c r="S179" s="18">
        <f t="shared" si="79"/>
        <v>5888.5062731182788</v>
      </c>
      <c r="T179" s="18">
        <f t="shared" si="79"/>
        <v>5813.72</v>
      </c>
      <c r="U179" s="18">
        <f t="shared" si="79"/>
        <v>5404.4430623655908</v>
      </c>
      <c r="V179" s="18">
        <f t="shared" si="79"/>
        <v>4940.1322150537635</v>
      </c>
      <c r="W179" s="18">
        <f t="shared" si="79"/>
        <v>7965.03262</v>
      </c>
      <c r="X179" s="18">
        <f t="shared" si="79"/>
        <v>8475.1941075268805</v>
      </c>
      <c r="Y179" s="18">
        <f t="shared" si="79"/>
        <v>9232.1491666666661</v>
      </c>
      <c r="Z179" s="18">
        <f t="shared" si="79"/>
        <v>4458.9643612903219</v>
      </c>
      <c r="AA179" s="18">
        <f t="shared" si="79"/>
        <v>7486.542049462365</v>
      </c>
      <c r="AB179" s="18">
        <f t="shared" si="79"/>
        <v>8168.9786666666669</v>
      </c>
      <c r="AC179" s="18">
        <f t="shared" si="79"/>
        <v>8383.831219354839</v>
      </c>
      <c r="AD179" s="18">
        <f t="shared" si="79"/>
        <v>6837.739333333333</v>
      </c>
      <c r="AE179" s="18">
        <f t="shared" si="79"/>
        <v>7597.0680473118282</v>
      </c>
      <c r="AF179" s="18">
        <f t="shared" si="79"/>
        <v>7982.2828000000009</v>
      </c>
      <c r="AG179" s="18">
        <f t="shared" si="79"/>
        <v>7144.3776172042999</v>
      </c>
      <c r="AH179" s="18">
        <f t="shared" si="79"/>
        <v>6323.2380215053772</v>
      </c>
      <c r="AI179" s="18">
        <f t="shared" si="79"/>
        <v>10746.803400000001</v>
      </c>
      <c r="AJ179" s="18">
        <f t="shared" si="79"/>
        <v>10966.70159139785</v>
      </c>
      <c r="AK179" s="18">
        <f t="shared" si="79"/>
        <v>10922.666666666666</v>
      </c>
      <c r="AL179" s="18">
        <f t="shared" si="79"/>
        <v>5975.3166580645147</v>
      </c>
      <c r="AM179" s="18">
        <f t="shared" si="79"/>
        <v>9280.2814494623672</v>
      </c>
      <c r="AN179" s="18">
        <f t="shared" si="79"/>
        <v>9816.3066666666673</v>
      </c>
      <c r="AO179" s="18">
        <f t="shared" si="79"/>
        <v>10417.688529032259</v>
      </c>
      <c r="AP179" s="18">
        <f t="shared" si="79"/>
        <v>8099.6767733333336</v>
      </c>
      <c r="AQ179" s="18">
        <f t="shared" si="79"/>
        <v>8710.3698989247314</v>
      </c>
      <c r="AR179" s="18">
        <f t="shared" si="79"/>
        <v>9797.467200000001</v>
      </c>
      <c r="AS179" s="18">
        <f t="shared" si="79"/>
        <v>8404.3121720430099</v>
      </c>
    </row>
    <row r="180" spans="2:45" outlineLevel="1" x14ac:dyDescent="0.15"/>
    <row r="181" spans="2:45" outlineLevel="1" x14ac:dyDescent="0.15">
      <c r="B181" s="16" t="str">
        <f>B59</f>
        <v>Other Revenue</v>
      </c>
      <c r="I181" s="153" t="str">
        <f>I59</f>
        <v xml:space="preserve">VAT Applicable </v>
      </c>
      <c r="J181" s="16" t="str">
        <f>" "&amp;INDEX(LU_Ts_Denom,DD_Ts_Denom)&amp;" (Including VAT)"</f>
        <v xml:space="preserve"> £ (Including VAT)</v>
      </c>
    </row>
    <row r="182" spans="2:45" outlineLevel="1" x14ac:dyDescent="0.15">
      <c r="B182" s="107" t="str">
        <f>B60</f>
        <v>Grant Income A</v>
      </c>
      <c r="I182" s="50">
        <f>I60</f>
        <v>0</v>
      </c>
      <c r="J182" s="14">
        <f t="shared" ref="J182:AS182" si="80">J60*(1+$I182*J$169)</f>
        <v>0</v>
      </c>
      <c r="K182" s="14">
        <f t="shared" si="80"/>
        <v>0</v>
      </c>
      <c r="L182" s="14">
        <f t="shared" si="80"/>
        <v>0</v>
      </c>
      <c r="M182" s="14">
        <f t="shared" si="80"/>
        <v>0</v>
      </c>
      <c r="N182" s="14">
        <f t="shared" si="80"/>
        <v>0</v>
      </c>
      <c r="O182" s="14">
        <f t="shared" si="80"/>
        <v>0</v>
      </c>
      <c r="P182" s="14">
        <f t="shared" si="80"/>
        <v>0</v>
      </c>
      <c r="Q182" s="14">
        <f t="shared" si="80"/>
        <v>0</v>
      </c>
      <c r="R182" s="14">
        <f t="shared" si="80"/>
        <v>0</v>
      </c>
      <c r="S182" s="14">
        <f t="shared" si="80"/>
        <v>0</v>
      </c>
      <c r="T182" s="14">
        <f t="shared" si="80"/>
        <v>0</v>
      </c>
      <c r="U182" s="14">
        <f t="shared" si="80"/>
        <v>0</v>
      </c>
      <c r="V182" s="14">
        <f t="shared" si="80"/>
        <v>0</v>
      </c>
      <c r="W182" s="14">
        <f t="shared" si="80"/>
        <v>0</v>
      </c>
      <c r="X182" s="14">
        <f t="shared" si="80"/>
        <v>0</v>
      </c>
      <c r="Y182" s="14">
        <f t="shared" si="80"/>
        <v>0</v>
      </c>
      <c r="Z182" s="14">
        <f t="shared" si="80"/>
        <v>0</v>
      </c>
      <c r="AA182" s="14">
        <f t="shared" si="80"/>
        <v>0</v>
      </c>
      <c r="AB182" s="14">
        <f t="shared" si="80"/>
        <v>0</v>
      </c>
      <c r="AC182" s="14">
        <f t="shared" si="80"/>
        <v>0</v>
      </c>
      <c r="AD182" s="14">
        <f t="shared" si="80"/>
        <v>0</v>
      </c>
      <c r="AE182" s="14">
        <f t="shared" si="80"/>
        <v>0</v>
      </c>
      <c r="AF182" s="14">
        <f t="shared" si="80"/>
        <v>0</v>
      </c>
      <c r="AG182" s="14">
        <f t="shared" si="80"/>
        <v>0</v>
      </c>
      <c r="AH182" s="14">
        <f t="shared" si="80"/>
        <v>0</v>
      </c>
      <c r="AI182" s="14">
        <f t="shared" si="80"/>
        <v>0</v>
      </c>
      <c r="AJ182" s="14">
        <f t="shared" si="80"/>
        <v>0</v>
      </c>
      <c r="AK182" s="14">
        <f t="shared" si="80"/>
        <v>0</v>
      </c>
      <c r="AL182" s="14">
        <f t="shared" si="80"/>
        <v>0</v>
      </c>
      <c r="AM182" s="14">
        <f t="shared" si="80"/>
        <v>0</v>
      </c>
      <c r="AN182" s="14">
        <f t="shared" si="80"/>
        <v>0</v>
      </c>
      <c r="AO182" s="14">
        <f t="shared" si="80"/>
        <v>0</v>
      </c>
      <c r="AP182" s="14">
        <f t="shared" si="80"/>
        <v>0</v>
      </c>
      <c r="AQ182" s="14">
        <f t="shared" si="80"/>
        <v>0</v>
      </c>
      <c r="AR182" s="14">
        <f t="shared" si="80"/>
        <v>0</v>
      </c>
      <c r="AS182" s="14">
        <f t="shared" si="80"/>
        <v>0</v>
      </c>
    </row>
    <row r="183" spans="2:45" outlineLevel="1" x14ac:dyDescent="0.15">
      <c r="B183" s="107" t="str">
        <f>B61</f>
        <v>Grant Income B</v>
      </c>
      <c r="I183" s="50">
        <f>I61</f>
        <v>0</v>
      </c>
      <c r="J183" s="14">
        <f t="shared" ref="J183:AS183" si="81">J61*(1+$I183*J$169)</f>
        <v>0</v>
      </c>
      <c r="K183" s="14">
        <f t="shared" si="81"/>
        <v>0</v>
      </c>
      <c r="L183" s="14">
        <f t="shared" si="81"/>
        <v>0</v>
      </c>
      <c r="M183" s="14">
        <f t="shared" si="81"/>
        <v>0</v>
      </c>
      <c r="N183" s="14">
        <f t="shared" si="81"/>
        <v>0</v>
      </c>
      <c r="O183" s="14">
        <f t="shared" si="81"/>
        <v>0</v>
      </c>
      <c r="P183" s="14">
        <f t="shared" si="81"/>
        <v>0</v>
      </c>
      <c r="Q183" s="14">
        <f t="shared" si="81"/>
        <v>0</v>
      </c>
      <c r="R183" s="14">
        <f t="shared" si="81"/>
        <v>0</v>
      </c>
      <c r="S183" s="14">
        <f t="shared" si="81"/>
        <v>0</v>
      </c>
      <c r="T183" s="14">
        <f t="shared" si="81"/>
        <v>0</v>
      </c>
      <c r="U183" s="14">
        <f t="shared" si="81"/>
        <v>0</v>
      </c>
      <c r="V183" s="14">
        <f t="shared" si="81"/>
        <v>0</v>
      </c>
      <c r="W183" s="14">
        <f t="shared" si="81"/>
        <v>0</v>
      </c>
      <c r="X183" s="14">
        <f t="shared" si="81"/>
        <v>0</v>
      </c>
      <c r="Y183" s="14">
        <f t="shared" si="81"/>
        <v>0</v>
      </c>
      <c r="Z183" s="14">
        <f t="shared" si="81"/>
        <v>0</v>
      </c>
      <c r="AA183" s="14">
        <f t="shared" si="81"/>
        <v>0</v>
      </c>
      <c r="AB183" s="14">
        <f t="shared" si="81"/>
        <v>0</v>
      </c>
      <c r="AC183" s="14">
        <f t="shared" si="81"/>
        <v>0</v>
      </c>
      <c r="AD183" s="14">
        <f t="shared" si="81"/>
        <v>0</v>
      </c>
      <c r="AE183" s="14">
        <f t="shared" si="81"/>
        <v>0</v>
      </c>
      <c r="AF183" s="14">
        <f t="shared" si="81"/>
        <v>0</v>
      </c>
      <c r="AG183" s="14">
        <f t="shared" si="81"/>
        <v>0</v>
      </c>
      <c r="AH183" s="14">
        <f t="shared" si="81"/>
        <v>0</v>
      </c>
      <c r="AI183" s="14">
        <f t="shared" si="81"/>
        <v>0</v>
      </c>
      <c r="AJ183" s="14">
        <f t="shared" si="81"/>
        <v>0</v>
      </c>
      <c r="AK183" s="14">
        <f t="shared" si="81"/>
        <v>0</v>
      </c>
      <c r="AL183" s="14">
        <f t="shared" si="81"/>
        <v>0</v>
      </c>
      <c r="AM183" s="14">
        <f t="shared" si="81"/>
        <v>0</v>
      </c>
      <c r="AN183" s="14">
        <f t="shared" si="81"/>
        <v>0</v>
      </c>
      <c r="AO183" s="14">
        <f t="shared" si="81"/>
        <v>0</v>
      </c>
      <c r="AP183" s="14">
        <f t="shared" si="81"/>
        <v>0</v>
      </c>
      <c r="AQ183" s="14">
        <f t="shared" si="81"/>
        <v>0</v>
      </c>
      <c r="AR183" s="14">
        <f t="shared" si="81"/>
        <v>0</v>
      </c>
      <c r="AS183" s="14">
        <f t="shared" si="81"/>
        <v>0</v>
      </c>
    </row>
    <row r="184" spans="2:45" outlineLevel="1" x14ac:dyDescent="0.15">
      <c r="B184" s="16" t="str">
        <f>"Total Applicable "&amp;B181</f>
        <v>Total Applicable Other Revenue</v>
      </c>
      <c r="J184" s="18">
        <f t="shared" ref="J184:AS184" si="82">SUM(J182:J183)</f>
        <v>0</v>
      </c>
      <c r="K184" s="18">
        <f t="shared" si="82"/>
        <v>0</v>
      </c>
      <c r="L184" s="18">
        <f t="shared" si="82"/>
        <v>0</v>
      </c>
      <c r="M184" s="18">
        <f t="shared" si="82"/>
        <v>0</v>
      </c>
      <c r="N184" s="18">
        <f t="shared" si="82"/>
        <v>0</v>
      </c>
      <c r="O184" s="18">
        <f t="shared" si="82"/>
        <v>0</v>
      </c>
      <c r="P184" s="18">
        <f t="shared" si="82"/>
        <v>0</v>
      </c>
      <c r="Q184" s="18">
        <f t="shared" si="82"/>
        <v>0</v>
      </c>
      <c r="R184" s="18">
        <f t="shared" si="82"/>
        <v>0</v>
      </c>
      <c r="S184" s="18">
        <f t="shared" si="82"/>
        <v>0</v>
      </c>
      <c r="T184" s="18">
        <f t="shared" si="82"/>
        <v>0</v>
      </c>
      <c r="U184" s="18">
        <f t="shared" si="82"/>
        <v>0</v>
      </c>
      <c r="V184" s="18">
        <f t="shared" si="82"/>
        <v>0</v>
      </c>
      <c r="W184" s="18">
        <f t="shared" si="82"/>
        <v>0</v>
      </c>
      <c r="X184" s="18">
        <f t="shared" si="82"/>
        <v>0</v>
      </c>
      <c r="Y184" s="18">
        <f t="shared" si="82"/>
        <v>0</v>
      </c>
      <c r="Z184" s="18">
        <f t="shared" si="82"/>
        <v>0</v>
      </c>
      <c r="AA184" s="18">
        <f t="shared" si="82"/>
        <v>0</v>
      </c>
      <c r="AB184" s="18">
        <f t="shared" si="82"/>
        <v>0</v>
      </c>
      <c r="AC184" s="18">
        <f t="shared" si="82"/>
        <v>0</v>
      </c>
      <c r="AD184" s="18">
        <f t="shared" si="82"/>
        <v>0</v>
      </c>
      <c r="AE184" s="18">
        <f t="shared" si="82"/>
        <v>0</v>
      </c>
      <c r="AF184" s="18">
        <f t="shared" si="82"/>
        <v>0</v>
      </c>
      <c r="AG184" s="18">
        <f t="shared" si="82"/>
        <v>0</v>
      </c>
      <c r="AH184" s="18">
        <f t="shared" si="82"/>
        <v>0</v>
      </c>
      <c r="AI184" s="18">
        <f t="shared" si="82"/>
        <v>0</v>
      </c>
      <c r="AJ184" s="18">
        <f t="shared" si="82"/>
        <v>0</v>
      </c>
      <c r="AK184" s="18">
        <f t="shared" si="82"/>
        <v>0</v>
      </c>
      <c r="AL184" s="18">
        <f t="shared" si="82"/>
        <v>0</v>
      </c>
      <c r="AM184" s="18">
        <f t="shared" si="82"/>
        <v>0</v>
      </c>
      <c r="AN184" s="18">
        <f t="shared" si="82"/>
        <v>0</v>
      </c>
      <c r="AO184" s="18">
        <f t="shared" si="82"/>
        <v>0</v>
      </c>
      <c r="AP184" s="18">
        <f t="shared" si="82"/>
        <v>0</v>
      </c>
      <c r="AQ184" s="18">
        <f t="shared" si="82"/>
        <v>0</v>
      </c>
      <c r="AR184" s="18">
        <f t="shared" si="82"/>
        <v>0</v>
      </c>
      <c r="AS184" s="18">
        <f t="shared" si="82"/>
        <v>0</v>
      </c>
    </row>
    <row r="185" spans="2:45" outlineLevel="1" x14ac:dyDescent="0.15"/>
    <row r="186" spans="2:45" outlineLevel="1" x14ac:dyDescent="0.15">
      <c r="B186" s="108" t="s">
        <v>540</v>
      </c>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row>
    <row r="187" spans="2:45" outlineLevel="1" x14ac:dyDescent="0.15"/>
    <row r="188" spans="2:45" outlineLevel="1" x14ac:dyDescent="0.15">
      <c r="B188" s="16" t="str">
        <f>B66</f>
        <v>Cost of Goods Sold</v>
      </c>
      <c r="I188" s="153" t="str">
        <f>I66</f>
        <v xml:space="preserve">VAT Applicable </v>
      </c>
      <c r="J188" s="16" t="str">
        <f>" "&amp;INDEX(LU_Ts_Denom,DD_Ts_Denom)&amp;" (Including VAT)"</f>
        <v xml:space="preserve"> £ (Including VAT)</v>
      </c>
    </row>
    <row r="189" spans="2:45" outlineLevel="1" x14ac:dyDescent="0.15">
      <c r="B189" s="107" t="str">
        <f>B67</f>
        <v>Instructor Grants</v>
      </c>
      <c r="I189" s="50">
        <f>I67</f>
        <v>0</v>
      </c>
      <c r="J189" s="14">
        <f t="shared" ref="J189:AS189" si="83">J67*(1+$I189*J$169)</f>
        <v>769.57999999999981</v>
      </c>
      <c r="K189" s="14">
        <f t="shared" si="83"/>
        <v>702.66</v>
      </c>
      <c r="L189" s="14">
        <f t="shared" si="83"/>
        <v>736.12</v>
      </c>
      <c r="M189" s="14">
        <f t="shared" si="83"/>
        <v>736.12</v>
      </c>
      <c r="N189" s="14">
        <f t="shared" si="83"/>
        <v>702.66</v>
      </c>
      <c r="O189" s="14">
        <f t="shared" si="83"/>
        <v>769.57999999999981</v>
      </c>
      <c r="P189" s="14">
        <f t="shared" si="83"/>
        <v>702.66</v>
      </c>
      <c r="Q189" s="14">
        <f t="shared" si="83"/>
        <v>702.66</v>
      </c>
      <c r="R189" s="14">
        <f t="shared" si="83"/>
        <v>736.12</v>
      </c>
      <c r="S189" s="14">
        <f t="shared" si="83"/>
        <v>769.57999999999981</v>
      </c>
      <c r="T189" s="14">
        <f t="shared" si="83"/>
        <v>669.19999999999993</v>
      </c>
      <c r="U189" s="14">
        <f t="shared" si="83"/>
        <v>769.57999999999981</v>
      </c>
      <c r="V189" s="14">
        <f t="shared" si="83"/>
        <v>841.28</v>
      </c>
      <c r="W189" s="14">
        <f t="shared" si="83"/>
        <v>803.04</v>
      </c>
      <c r="X189" s="14">
        <f t="shared" si="83"/>
        <v>879.51999999999987</v>
      </c>
      <c r="Y189" s="14">
        <f t="shared" si="83"/>
        <v>803.04</v>
      </c>
      <c r="Z189" s="14">
        <f t="shared" si="83"/>
        <v>841.28</v>
      </c>
      <c r="AA189" s="14">
        <f t="shared" si="83"/>
        <v>879.51999999999987</v>
      </c>
      <c r="AB189" s="14">
        <f t="shared" si="83"/>
        <v>764.8</v>
      </c>
      <c r="AC189" s="14">
        <f t="shared" si="83"/>
        <v>903.42000000000007</v>
      </c>
      <c r="AD189" s="14">
        <f t="shared" si="83"/>
        <v>946.43999999999994</v>
      </c>
      <c r="AE189" s="14">
        <f t="shared" si="83"/>
        <v>946.43999999999994</v>
      </c>
      <c r="AF189" s="14">
        <f t="shared" si="83"/>
        <v>903.42000000000007</v>
      </c>
      <c r="AG189" s="14">
        <f t="shared" si="83"/>
        <v>989.45999999999992</v>
      </c>
      <c r="AH189" s="14">
        <f t="shared" si="83"/>
        <v>903.42000000000007</v>
      </c>
      <c r="AI189" s="14">
        <f t="shared" si="83"/>
        <v>946.43999999999994</v>
      </c>
      <c r="AJ189" s="14">
        <f t="shared" si="83"/>
        <v>989.45999999999992</v>
      </c>
      <c r="AK189" s="14">
        <f t="shared" si="83"/>
        <v>860.4</v>
      </c>
      <c r="AL189" s="14">
        <f t="shared" si="83"/>
        <v>989.45999999999992</v>
      </c>
      <c r="AM189" s="14">
        <f t="shared" si="83"/>
        <v>1051.5999999999999</v>
      </c>
      <c r="AN189" s="14">
        <f t="shared" si="83"/>
        <v>956</v>
      </c>
      <c r="AO189" s="14">
        <f t="shared" si="83"/>
        <v>1051.5999999999999</v>
      </c>
      <c r="AP189" s="14">
        <f t="shared" si="83"/>
        <v>1051.5999999999999</v>
      </c>
      <c r="AQ189" s="14">
        <f t="shared" si="83"/>
        <v>1003.8</v>
      </c>
      <c r="AR189" s="14">
        <f t="shared" si="83"/>
        <v>1051.5999999999999</v>
      </c>
      <c r="AS189" s="14">
        <f t="shared" si="83"/>
        <v>1099.3999999999999</v>
      </c>
    </row>
    <row r="190" spans="2:45" outlineLevel="1" x14ac:dyDescent="0.15">
      <c r="B190" s="107" t="str">
        <f>B68</f>
        <v>Merch CoGS</v>
      </c>
      <c r="I190" s="50">
        <f>I68</f>
        <v>0</v>
      </c>
      <c r="J190" s="14">
        <f t="shared" ref="J190:AS190" si="84">J68*(1+$I190*J$169)</f>
        <v>50</v>
      </c>
      <c r="K190" s="14">
        <f t="shared" si="84"/>
        <v>51.666666666666671</v>
      </c>
      <c r="L190" s="14">
        <f t="shared" si="84"/>
        <v>53.333333333333336</v>
      </c>
      <c r="M190" s="14">
        <f t="shared" si="84"/>
        <v>55</v>
      </c>
      <c r="N190" s="14">
        <f t="shared" si="84"/>
        <v>56.666666666666671</v>
      </c>
      <c r="O190" s="14">
        <f t="shared" si="84"/>
        <v>58.333333333333336</v>
      </c>
      <c r="P190" s="14">
        <f t="shared" si="84"/>
        <v>60</v>
      </c>
      <c r="Q190" s="14">
        <f t="shared" si="84"/>
        <v>61.666666666666671</v>
      </c>
      <c r="R190" s="14">
        <f t="shared" si="84"/>
        <v>63.333333333333336</v>
      </c>
      <c r="S190" s="14">
        <f t="shared" si="84"/>
        <v>65</v>
      </c>
      <c r="T190" s="14">
        <f t="shared" si="84"/>
        <v>66.666666666666671</v>
      </c>
      <c r="U190" s="14">
        <f t="shared" si="84"/>
        <v>68.333333333333343</v>
      </c>
      <c r="V190" s="14">
        <f t="shared" si="84"/>
        <v>70</v>
      </c>
      <c r="W190" s="14">
        <f t="shared" si="84"/>
        <v>71.666666666666671</v>
      </c>
      <c r="X190" s="14">
        <f t="shared" si="84"/>
        <v>73.333333333333343</v>
      </c>
      <c r="Y190" s="14">
        <f t="shared" si="84"/>
        <v>75</v>
      </c>
      <c r="Z190" s="14">
        <f t="shared" si="84"/>
        <v>76.666666666666671</v>
      </c>
      <c r="AA190" s="14">
        <f t="shared" si="84"/>
        <v>78.333333333333343</v>
      </c>
      <c r="AB190" s="14">
        <f t="shared" si="84"/>
        <v>80</v>
      </c>
      <c r="AC190" s="14">
        <f t="shared" si="84"/>
        <v>81.666666666666671</v>
      </c>
      <c r="AD190" s="14">
        <f t="shared" si="84"/>
        <v>83.333333333333343</v>
      </c>
      <c r="AE190" s="14">
        <f t="shared" si="84"/>
        <v>85</v>
      </c>
      <c r="AF190" s="14">
        <f t="shared" si="84"/>
        <v>86.666666666666671</v>
      </c>
      <c r="AG190" s="14">
        <f t="shared" si="84"/>
        <v>88.333333333333343</v>
      </c>
      <c r="AH190" s="14">
        <f t="shared" si="84"/>
        <v>90</v>
      </c>
      <c r="AI190" s="14">
        <f t="shared" si="84"/>
        <v>91.666666666666671</v>
      </c>
      <c r="AJ190" s="14">
        <f t="shared" si="84"/>
        <v>93.333333333333343</v>
      </c>
      <c r="AK190" s="14">
        <f t="shared" si="84"/>
        <v>95</v>
      </c>
      <c r="AL190" s="14">
        <f t="shared" si="84"/>
        <v>96.666666666666671</v>
      </c>
      <c r="AM190" s="14">
        <f t="shared" si="84"/>
        <v>98.333333333333343</v>
      </c>
      <c r="AN190" s="14">
        <f t="shared" si="84"/>
        <v>100</v>
      </c>
      <c r="AO190" s="14">
        <f t="shared" si="84"/>
        <v>101.66666666666667</v>
      </c>
      <c r="AP190" s="14">
        <f t="shared" si="84"/>
        <v>103.33333333333334</v>
      </c>
      <c r="AQ190" s="14">
        <f t="shared" si="84"/>
        <v>105</v>
      </c>
      <c r="AR190" s="14">
        <f t="shared" si="84"/>
        <v>106.66666666666667</v>
      </c>
      <c r="AS190" s="14">
        <f t="shared" si="84"/>
        <v>108.33333333333334</v>
      </c>
    </row>
    <row r="191" spans="2:45" outlineLevel="1" x14ac:dyDescent="0.15">
      <c r="B191" s="107" t="str">
        <f>B69</f>
        <v>Discounts (Gift Cards)</v>
      </c>
      <c r="I191" s="50">
        <f>I69</f>
        <v>0</v>
      </c>
      <c r="J191" s="14">
        <f t="shared" ref="J191:AS191" si="85">J69*(1+$I191*J$169)</f>
        <v>34.734867096774195</v>
      </c>
      <c r="K191" s="14">
        <f t="shared" si="85"/>
        <v>63.939631559999988</v>
      </c>
      <c r="L191" s="14">
        <f t="shared" si="85"/>
        <v>66.546122322580658</v>
      </c>
      <c r="M191" s="14">
        <f t="shared" si="85"/>
        <v>81.500033999999999</v>
      </c>
      <c r="N191" s="14">
        <f t="shared" si="85"/>
        <v>27.577545212903217</v>
      </c>
      <c r="O191" s="14">
        <f t="shared" si="85"/>
        <v>60.543239806451609</v>
      </c>
      <c r="P191" s="14">
        <f t="shared" si="85"/>
        <v>66.120364800000004</v>
      </c>
      <c r="Q191" s="14">
        <f t="shared" si="85"/>
        <v>65.541072890322582</v>
      </c>
      <c r="R191" s="14">
        <f t="shared" si="85"/>
        <v>49.384559840000001</v>
      </c>
      <c r="S191" s="14">
        <f t="shared" si="85"/>
        <v>60.309754490322568</v>
      </c>
      <c r="T191" s="14">
        <f t="shared" si="85"/>
        <v>59.090080000000007</v>
      </c>
      <c r="U191" s="14">
        <f t="shared" si="85"/>
        <v>53.187536206451611</v>
      </c>
      <c r="V191" s="14">
        <f t="shared" si="85"/>
        <v>46.514517677419356</v>
      </c>
      <c r="W191" s="14">
        <f t="shared" si="85"/>
        <v>88.690456679999997</v>
      </c>
      <c r="X191" s="14">
        <f t="shared" si="85"/>
        <v>95.660050838709665</v>
      </c>
      <c r="Y191" s="14">
        <f t="shared" si="85"/>
        <v>106.08475499999999</v>
      </c>
      <c r="Z191" s="14">
        <f t="shared" si="85"/>
        <v>39.087501058064511</v>
      </c>
      <c r="AA191" s="14">
        <f t="shared" si="85"/>
        <v>81.300922025806443</v>
      </c>
      <c r="AB191" s="14">
        <f t="shared" si="85"/>
        <v>83.962367999999998</v>
      </c>
      <c r="AC191" s="14">
        <f t="shared" si="85"/>
        <v>86.797637070967752</v>
      </c>
      <c r="AD191" s="14">
        <f t="shared" si="85"/>
        <v>64.979684000000006</v>
      </c>
      <c r="AE191" s="14">
        <f t="shared" si="85"/>
        <v>75.437619329032259</v>
      </c>
      <c r="AF191" s="14">
        <f t="shared" si="85"/>
        <v>80.657959200000008</v>
      </c>
      <c r="AG191" s="14">
        <f t="shared" si="85"/>
        <v>68.754619974193531</v>
      </c>
      <c r="AH191" s="14">
        <f t="shared" si="85"/>
        <v>57.085998967741943</v>
      </c>
      <c r="AI191" s="14">
        <f t="shared" si="85"/>
        <v>118.84324760000001</v>
      </c>
      <c r="AJ191" s="14">
        <f t="shared" si="85"/>
        <v>121.74915561290324</v>
      </c>
      <c r="AK191" s="14">
        <f t="shared" si="85"/>
        <v>120.96000000000001</v>
      </c>
      <c r="AL191" s="14">
        <f t="shared" si="85"/>
        <v>51.524433212903205</v>
      </c>
      <c r="AM191" s="14">
        <f t="shared" si="85"/>
        <v>97.621273625806467</v>
      </c>
      <c r="AN191" s="14">
        <f t="shared" si="85"/>
        <v>104.95295999999999</v>
      </c>
      <c r="AO191" s="14">
        <f t="shared" si="85"/>
        <v>113.19963940645162</v>
      </c>
      <c r="AP191" s="14">
        <f t="shared" si="85"/>
        <v>80.574808160000003</v>
      </c>
      <c r="AQ191" s="14">
        <f t="shared" si="85"/>
        <v>88.951845251612909</v>
      </c>
      <c r="AR191" s="14">
        <f t="shared" si="85"/>
        <v>103.99854080000001</v>
      </c>
      <c r="AS191" s="14">
        <f t="shared" si="85"/>
        <v>84.32170374193548</v>
      </c>
    </row>
    <row r="192" spans="2:45" outlineLevel="1" x14ac:dyDescent="0.15">
      <c r="B192" s="16" t="str">
        <f>"Total Applicable "&amp;B188</f>
        <v>Total Applicable Cost of Goods Sold</v>
      </c>
      <c r="J192" s="18">
        <f t="shared" ref="J192:AS192" si="86">SUM(J189:J191)</f>
        <v>854.31486709677404</v>
      </c>
      <c r="K192" s="18">
        <f t="shared" si="86"/>
        <v>818.26629822666655</v>
      </c>
      <c r="L192" s="18">
        <f t="shared" si="86"/>
        <v>855.99945565591406</v>
      </c>
      <c r="M192" s="18">
        <f t="shared" si="86"/>
        <v>872.62003400000003</v>
      </c>
      <c r="N192" s="18">
        <f t="shared" si="86"/>
        <v>786.90421187956986</v>
      </c>
      <c r="O192" s="18">
        <f t="shared" si="86"/>
        <v>888.45657313978484</v>
      </c>
      <c r="P192" s="18">
        <f t="shared" si="86"/>
        <v>828.78036479999992</v>
      </c>
      <c r="Q192" s="18">
        <f t="shared" si="86"/>
        <v>829.86773955698914</v>
      </c>
      <c r="R192" s="18">
        <f t="shared" si="86"/>
        <v>848.83789317333333</v>
      </c>
      <c r="S192" s="18">
        <f t="shared" si="86"/>
        <v>894.88975449032239</v>
      </c>
      <c r="T192" s="18">
        <f t="shared" si="86"/>
        <v>794.95674666666662</v>
      </c>
      <c r="U192" s="18">
        <f t="shared" si="86"/>
        <v>891.10086953978475</v>
      </c>
      <c r="V192" s="18">
        <f t="shared" si="86"/>
        <v>957.79451767741932</v>
      </c>
      <c r="W192" s="18">
        <f t="shared" si="86"/>
        <v>963.3971233466666</v>
      </c>
      <c r="X192" s="18">
        <f t="shared" si="86"/>
        <v>1048.5133841720428</v>
      </c>
      <c r="Y192" s="18">
        <f t="shared" si="86"/>
        <v>984.12475499999994</v>
      </c>
      <c r="Z192" s="18">
        <f t="shared" si="86"/>
        <v>957.03416772473111</v>
      </c>
      <c r="AA192" s="18">
        <f t="shared" si="86"/>
        <v>1039.1542553591396</v>
      </c>
      <c r="AB192" s="18">
        <f t="shared" si="86"/>
        <v>928.76236799999992</v>
      </c>
      <c r="AC192" s="18">
        <f t="shared" si="86"/>
        <v>1071.8843037376344</v>
      </c>
      <c r="AD192" s="18">
        <f t="shared" si="86"/>
        <v>1094.7530173333332</v>
      </c>
      <c r="AE192" s="18">
        <f t="shared" si="86"/>
        <v>1106.8776193290323</v>
      </c>
      <c r="AF192" s="18">
        <f t="shared" si="86"/>
        <v>1070.7446258666666</v>
      </c>
      <c r="AG192" s="18">
        <f t="shared" si="86"/>
        <v>1146.5479533075268</v>
      </c>
      <c r="AH192" s="18">
        <f t="shared" si="86"/>
        <v>1050.505998967742</v>
      </c>
      <c r="AI192" s="18">
        <f t="shared" si="86"/>
        <v>1156.9499142666666</v>
      </c>
      <c r="AJ192" s="18">
        <f t="shared" si="86"/>
        <v>1204.5424889462365</v>
      </c>
      <c r="AK192" s="18">
        <f t="shared" si="86"/>
        <v>1076.3599999999999</v>
      </c>
      <c r="AL192" s="18">
        <f t="shared" si="86"/>
        <v>1137.6510998795698</v>
      </c>
      <c r="AM192" s="18">
        <f t="shared" si="86"/>
        <v>1247.5546069591396</v>
      </c>
      <c r="AN192" s="18">
        <f t="shared" si="86"/>
        <v>1160.9529600000001</v>
      </c>
      <c r="AO192" s="18">
        <f t="shared" si="86"/>
        <v>1266.4663060731182</v>
      </c>
      <c r="AP192" s="18">
        <f t="shared" si="86"/>
        <v>1235.5081414933331</v>
      </c>
      <c r="AQ192" s="18">
        <f t="shared" si="86"/>
        <v>1197.7518452516128</v>
      </c>
      <c r="AR192" s="18">
        <f t="shared" si="86"/>
        <v>1262.2652074666667</v>
      </c>
      <c r="AS192" s="18">
        <f t="shared" si="86"/>
        <v>1292.0550370752685</v>
      </c>
    </row>
    <row r="193" spans="2:45" outlineLevel="1" x14ac:dyDescent="0.15"/>
    <row r="194" spans="2:45" outlineLevel="1" x14ac:dyDescent="0.15">
      <c r="B194" s="16" t="str">
        <f>B72</f>
        <v>Inventory Purchases</v>
      </c>
      <c r="I194" s="97" t="str">
        <f>I72</f>
        <v xml:space="preserve">VAT Applicable </v>
      </c>
      <c r="J194" s="16" t="str">
        <f>" "&amp;INDEX(LU_Ts_Denom,DD_Ts_Denom)&amp;" (Including VAT)"</f>
        <v xml:space="preserve"> £ (Including VAT)</v>
      </c>
    </row>
    <row r="195" spans="2:45" outlineLevel="1" x14ac:dyDescent="0.15">
      <c r="B195" s="107" t="str">
        <f>B73</f>
        <v>Inventory</v>
      </c>
      <c r="I195" s="50">
        <f>I73</f>
        <v>1</v>
      </c>
      <c r="J195" s="14">
        <f t="shared" ref="J195:AS195" ca="1" si="87">J73*(1+$I195*J$169)</f>
        <v>-334.8</v>
      </c>
      <c r="K195" s="14">
        <f t="shared" ca="1" si="87"/>
        <v>0</v>
      </c>
      <c r="L195" s="14">
        <f t="shared" ca="1" si="87"/>
        <v>0</v>
      </c>
      <c r="M195" s="14">
        <f t="shared" ca="1" si="87"/>
        <v>0</v>
      </c>
      <c r="N195" s="14">
        <f t="shared" ca="1" si="87"/>
        <v>0</v>
      </c>
      <c r="O195" s="14">
        <f t="shared" ca="1" si="87"/>
        <v>0</v>
      </c>
      <c r="P195" s="14">
        <f t="shared" ca="1" si="87"/>
        <v>0</v>
      </c>
      <c r="Q195" s="14">
        <f t="shared" ca="1" si="87"/>
        <v>0</v>
      </c>
      <c r="R195" s="14">
        <f t="shared" ca="1" si="87"/>
        <v>0</v>
      </c>
      <c r="S195" s="14">
        <f t="shared" ca="1" si="87"/>
        <v>0</v>
      </c>
      <c r="T195" s="14">
        <f t="shared" ca="1" si="87"/>
        <v>0</v>
      </c>
      <c r="U195" s="14">
        <f t="shared" ca="1" si="87"/>
        <v>0</v>
      </c>
      <c r="V195" s="14">
        <f t="shared" ca="1" si="87"/>
        <v>0</v>
      </c>
      <c r="W195" s="14">
        <f t="shared" ca="1" si="87"/>
        <v>0</v>
      </c>
      <c r="X195" s="14">
        <f t="shared" ca="1" si="87"/>
        <v>0</v>
      </c>
      <c r="Y195" s="14">
        <f t="shared" ca="1" si="87"/>
        <v>0</v>
      </c>
      <c r="Z195" s="14">
        <f t="shared" ca="1" si="87"/>
        <v>0</v>
      </c>
      <c r="AA195" s="14">
        <f t="shared" ca="1" si="87"/>
        <v>0</v>
      </c>
      <c r="AB195" s="14">
        <f t="shared" ca="1" si="87"/>
        <v>0</v>
      </c>
      <c r="AC195" s="14">
        <f t="shared" ca="1" si="87"/>
        <v>0</v>
      </c>
      <c r="AD195" s="14">
        <f t="shared" ca="1" si="87"/>
        <v>0</v>
      </c>
      <c r="AE195" s="14">
        <f t="shared" ca="1" si="87"/>
        <v>0</v>
      </c>
      <c r="AF195" s="14">
        <f t="shared" ca="1" si="87"/>
        <v>0</v>
      </c>
      <c r="AG195" s="14">
        <f t="shared" ca="1" si="87"/>
        <v>0</v>
      </c>
      <c r="AH195" s="14">
        <f t="shared" ca="1" si="87"/>
        <v>0</v>
      </c>
      <c r="AI195" s="14">
        <f t="shared" ca="1" si="87"/>
        <v>0</v>
      </c>
      <c r="AJ195" s="14">
        <f t="shared" ca="1" si="87"/>
        <v>0</v>
      </c>
      <c r="AK195" s="14">
        <f t="shared" ca="1" si="87"/>
        <v>0</v>
      </c>
      <c r="AL195" s="14">
        <f t="shared" ca="1" si="87"/>
        <v>0</v>
      </c>
      <c r="AM195" s="14">
        <f t="shared" ca="1" si="87"/>
        <v>0</v>
      </c>
      <c r="AN195" s="14">
        <f t="shared" ca="1" si="87"/>
        <v>0</v>
      </c>
      <c r="AO195" s="14">
        <f t="shared" ca="1" si="87"/>
        <v>0</v>
      </c>
      <c r="AP195" s="14">
        <f t="shared" ca="1" si="87"/>
        <v>0</v>
      </c>
      <c r="AQ195" s="14">
        <f t="shared" ca="1" si="87"/>
        <v>0</v>
      </c>
      <c r="AR195" s="14">
        <f t="shared" ca="1" si="87"/>
        <v>0</v>
      </c>
      <c r="AS195" s="14">
        <f t="shared" ca="1" si="87"/>
        <v>0</v>
      </c>
    </row>
    <row r="196" spans="2:45" outlineLevel="1" x14ac:dyDescent="0.15">
      <c r="B196" s="16" t="str">
        <f>"Total Applicable "&amp;B194</f>
        <v>Total Applicable Inventory Purchases</v>
      </c>
      <c r="J196" s="18">
        <f t="shared" ref="J196:AS196" ca="1" si="88">SUM(J195:J195)</f>
        <v>-334.8</v>
      </c>
      <c r="K196" s="18">
        <f t="shared" ca="1" si="88"/>
        <v>0</v>
      </c>
      <c r="L196" s="18">
        <f t="shared" ca="1" si="88"/>
        <v>0</v>
      </c>
      <c r="M196" s="18">
        <f t="shared" ca="1" si="88"/>
        <v>0</v>
      </c>
      <c r="N196" s="18">
        <f t="shared" ca="1" si="88"/>
        <v>0</v>
      </c>
      <c r="O196" s="18">
        <f t="shared" ca="1" si="88"/>
        <v>0</v>
      </c>
      <c r="P196" s="18">
        <f t="shared" ca="1" si="88"/>
        <v>0</v>
      </c>
      <c r="Q196" s="18">
        <f t="shared" ca="1" si="88"/>
        <v>0</v>
      </c>
      <c r="R196" s="18">
        <f t="shared" ca="1" si="88"/>
        <v>0</v>
      </c>
      <c r="S196" s="18">
        <f t="shared" ca="1" si="88"/>
        <v>0</v>
      </c>
      <c r="T196" s="18">
        <f t="shared" ca="1" si="88"/>
        <v>0</v>
      </c>
      <c r="U196" s="18">
        <f t="shared" ca="1" si="88"/>
        <v>0</v>
      </c>
      <c r="V196" s="18">
        <f t="shared" ca="1" si="88"/>
        <v>0</v>
      </c>
      <c r="W196" s="18">
        <f t="shared" ca="1" si="88"/>
        <v>0</v>
      </c>
      <c r="X196" s="18">
        <f t="shared" ca="1" si="88"/>
        <v>0</v>
      </c>
      <c r="Y196" s="18">
        <f t="shared" ca="1" si="88"/>
        <v>0</v>
      </c>
      <c r="Z196" s="18">
        <f t="shared" ca="1" si="88"/>
        <v>0</v>
      </c>
      <c r="AA196" s="18">
        <f t="shared" ca="1" si="88"/>
        <v>0</v>
      </c>
      <c r="AB196" s="18">
        <f t="shared" ca="1" si="88"/>
        <v>0</v>
      </c>
      <c r="AC196" s="18">
        <f t="shared" ca="1" si="88"/>
        <v>0</v>
      </c>
      <c r="AD196" s="18">
        <f t="shared" ca="1" si="88"/>
        <v>0</v>
      </c>
      <c r="AE196" s="18">
        <f t="shared" ca="1" si="88"/>
        <v>0</v>
      </c>
      <c r="AF196" s="18">
        <f t="shared" ca="1" si="88"/>
        <v>0</v>
      </c>
      <c r="AG196" s="18">
        <f t="shared" ca="1" si="88"/>
        <v>0</v>
      </c>
      <c r="AH196" s="18">
        <f t="shared" ca="1" si="88"/>
        <v>0</v>
      </c>
      <c r="AI196" s="18">
        <f t="shared" ca="1" si="88"/>
        <v>0</v>
      </c>
      <c r="AJ196" s="18">
        <f t="shared" ca="1" si="88"/>
        <v>0</v>
      </c>
      <c r="AK196" s="18">
        <f t="shared" ca="1" si="88"/>
        <v>0</v>
      </c>
      <c r="AL196" s="18">
        <f t="shared" ca="1" si="88"/>
        <v>0</v>
      </c>
      <c r="AM196" s="18">
        <f t="shared" ca="1" si="88"/>
        <v>0</v>
      </c>
      <c r="AN196" s="18">
        <f t="shared" ca="1" si="88"/>
        <v>0</v>
      </c>
      <c r="AO196" s="18">
        <f t="shared" ca="1" si="88"/>
        <v>0</v>
      </c>
      <c r="AP196" s="18">
        <f t="shared" ca="1" si="88"/>
        <v>0</v>
      </c>
      <c r="AQ196" s="18">
        <f t="shared" ca="1" si="88"/>
        <v>0</v>
      </c>
      <c r="AR196" s="18">
        <f t="shared" ca="1" si="88"/>
        <v>0</v>
      </c>
      <c r="AS196" s="18">
        <f t="shared" ca="1" si="88"/>
        <v>0</v>
      </c>
    </row>
    <row r="197" spans="2:45" outlineLevel="1" x14ac:dyDescent="0.15"/>
    <row r="198" spans="2:45" outlineLevel="1" x14ac:dyDescent="0.15">
      <c r="B198" s="16" t="str">
        <f>B76</f>
        <v>Operating Expenditure</v>
      </c>
      <c r="I198" s="153" t="str">
        <f>I76</f>
        <v xml:space="preserve">VAT Applicable </v>
      </c>
      <c r="J198" s="16" t="str">
        <f>" "&amp;INDEX(LU_Ts_Denom,DD_Ts_Denom)&amp;" (Including VAT)"</f>
        <v xml:space="preserve"> £ (Including VAT)</v>
      </c>
    </row>
    <row r="199" spans="2:45" outlineLevel="1" x14ac:dyDescent="0.15">
      <c r="B199" s="107" t="str">
        <f t="shared" ref="B199:B206" si="89">B77</f>
        <v>Rent</v>
      </c>
      <c r="I199" s="211">
        <f t="shared" ref="I199:I206" si="90">I77</f>
        <v>1</v>
      </c>
      <c r="J199" s="14">
        <f t="shared" ref="J199:AS199" si="91">J77*(1+$I199*J$169)</f>
        <v>7000.0000000000009</v>
      </c>
      <c r="K199" s="14">
        <f t="shared" si="91"/>
        <v>7000.0000000000009</v>
      </c>
      <c r="L199" s="14">
        <f t="shared" si="91"/>
        <v>7000.0000000000009</v>
      </c>
      <c r="M199" s="14">
        <f t="shared" si="91"/>
        <v>7000.0000000000009</v>
      </c>
      <c r="N199" s="14">
        <f t="shared" si="91"/>
        <v>7000.0000000000009</v>
      </c>
      <c r="O199" s="14">
        <f t="shared" si="91"/>
        <v>7000.0000000000009</v>
      </c>
      <c r="P199" s="14">
        <f t="shared" si="91"/>
        <v>7000.0000000000009</v>
      </c>
      <c r="Q199" s="14">
        <f t="shared" si="91"/>
        <v>7000.0000000000009</v>
      </c>
      <c r="R199" s="14">
        <f t="shared" si="91"/>
        <v>7000.0000000000009</v>
      </c>
      <c r="S199" s="14">
        <f t="shared" si="91"/>
        <v>7000.0000000000009</v>
      </c>
      <c r="T199" s="14">
        <f t="shared" si="91"/>
        <v>7000.0000000000009</v>
      </c>
      <c r="U199" s="14">
        <f t="shared" si="91"/>
        <v>7000.0000000000009</v>
      </c>
      <c r="V199" s="14">
        <f t="shared" si="91"/>
        <v>7000.0000000000009</v>
      </c>
      <c r="W199" s="14">
        <f t="shared" si="91"/>
        <v>7000.0000000000009</v>
      </c>
      <c r="X199" s="14">
        <f t="shared" si="91"/>
        <v>7000.0000000000009</v>
      </c>
      <c r="Y199" s="14">
        <f t="shared" si="91"/>
        <v>7000.0000000000009</v>
      </c>
      <c r="Z199" s="14">
        <f t="shared" si="91"/>
        <v>7000.0000000000009</v>
      </c>
      <c r="AA199" s="14">
        <f t="shared" si="91"/>
        <v>7000.0000000000009</v>
      </c>
      <c r="AB199" s="14">
        <f t="shared" si="91"/>
        <v>7000.0000000000009</v>
      </c>
      <c r="AC199" s="14">
        <f t="shared" si="91"/>
        <v>7000.0000000000009</v>
      </c>
      <c r="AD199" s="14">
        <f t="shared" si="91"/>
        <v>7000.0000000000009</v>
      </c>
      <c r="AE199" s="14">
        <f t="shared" si="91"/>
        <v>7000.0000000000009</v>
      </c>
      <c r="AF199" s="14">
        <f t="shared" si="91"/>
        <v>7000.0000000000009</v>
      </c>
      <c r="AG199" s="14">
        <f t="shared" si="91"/>
        <v>7000.0000000000009</v>
      </c>
      <c r="AH199" s="14">
        <f t="shared" si="91"/>
        <v>7000.0000000000009</v>
      </c>
      <c r="AI199" s="14">
        <f t="shared" si="91"/>
        <v>7000.0000000000009</v>
      </c>
      <c r="AJ199" s="14">
        <f t="shared" si="91"/>
        <v>7000.0000000000009</v>
      </c>
      <c r="AK199" s="14">
        <f t="shared" si="91"/>
        <v>7000.0000000000009</v>
      </c>
      <c r="AL199" s="14">
        <f t="shared" si="91"/>
        <v>7000.0000000000009</v>
      </c>
      <c r="AM199" s="14">
        <f t="shared" si="91"/>
        <v>7000.0000000000009</v>
      </c>
      <c r="AN199" s="14">
        <f t="shared" si="91"/>
        <v>7000.0000000000009</v>
      </c>
      <c r="AO199" s="14">
        <f t="shared" si="91"/>
        <v>7000.0000000000009</v>
      </c>
      <c r="AP199" s="14">
        <f t="shared" si="91"/>
        <v>7000.0000000000009</v>
      </c>
      <c r="AQ199" s="14">
        <f t="shared" si="91"/>
        <v>7000.0000000000009</v>
      </c>
      <c r="AR199" s="14">
        <f t="shared" si="91"/>
        <v>7000.0000000000009</v>
      </c>
      <c r="AS199" s="14">
        <f t="shared" si="91"/>
        <v>7000.0000000000009</v>
      </c>
    </row>
    <row r="200" spans="2:45" outlineLevel="1" x14ac:dyDescent="0.15">
      <c r="B200" s="107" t="str">
        <f t="shared" si="89"/>
        <v>Rates</v>
      </c>
      <c r="I200" s="50">
        <f t="shared" si="90"/>
        <v>1</v>
      </c>
      <c r="J200" s="14">
        <f t="shared" ref="J200:AS200" si="92">J78*(1+$I200*J$169)</f>
        <v>272.50000000000006</v>
      </c>
      <c r="K200" s="14">
        <f t="shared" si="92"/>
        <v>272.50000000000006</v>
      </c>
      <c r="L200" s="14">
        <f t="shared" si="92"/>
        <v>272.50000000000006</v>
      </c>
      <c r="M200" s="14">
        <f t="shared" si="92"/>
        <v>272.50000000000006</v>
      </c>
      <c r="N200" s="14">
        <f t="shared" si="92"/>
        <v>272.50000000000006</v>
      </c>
      <c r="O200" s="14">
        <f t="shared" si="92"/>
        <v>272.50000000000006</v>
      </c>
      <c r="P200" s="14">
        <f t="shared" si="92"/>
        <v>272.50000000000006</v>
      </c>
      <c r="Q200" s="14">
        <f t="shared" si="92"/>
        <v>272.50000000000006</v>
      </c>
      <c r="R200" s="14">
        <f t="shared" si="92"/>
        <v>272.50000000000006</v>
      </c>
      <c r="S200" s="14">
        <f t="shared" si="92"/>
        <v>272.50000000000006</v>
      </c>
      <c r="T200" s="14">
        <f t="shared" si="92"/>
        <v>272.50000000000006</v>
      </c>
      <c r="U200" s="14">
        <f t="shared" si="92"/>
        <v>272.50000000000006</v>
      </c>
      <c r="V200" s="14">
        <f t="shared" si="92"/>
        <v>272.50000000000006</v>
      </c>
      <c r="W200" s="14">
        <f t="shared" si="92"/>
        <v>272.50000000000006</v>
      </c>
      <c r="X200" s="14">
        <f t="shared" si="92"/>
        <v>272.50000000000006</v>
      </c>
      <c r="Y200" s="14">
        <f t="shared" si="92"/>
        <v>272.50000000000006</v>
      </c>
      <c r="Z200" s="14">
        <f t="shared" si="92"/>
        <v>272.50000000000006</v>
      </c>
      <c r="AA200" s="14">
        <f t="shared" si="92"/>
        <v>272.50000000000006</v>
      </c>
      <c r="AB200" s="14">
        <f t="shared" si="92"/>
        <v>272.50000000000006</v>
      </c>
      <c r="AC200" s="14">
        <f t="shared" si="92"/>
        <v>272.50000000000006</v>
      </c>
      <c r="AD200" s="14">
        <f t="shared" si="92"/>
        <v>272.50000000000006</v>
      </c>
      <c r="AE200" s="14">
        <f t="shared" si="92"/>
        <v>272.50000000000006</v>
      </c>
      <c r="AF200" s="14">
        <f t="shared" si="92"/>
        <v>272.50000000000006</v>
      </c>
      <c r="AG200" s="14">
        <f t="shared" si="92"/>
        <v>272.50000000000006</v>
      </c>
      <c r="AH200" s="14">
        <f t="shared" si="92"/>
        <v>272.50000000000006</v>
      </c>
      <c r="AI200" s="14">
        <f t="shared" si="92"/>
        <v>272.50000000000006</v>
      </c>
      <c r="AJ200" s="14">
        <f t="shared" si="92"/>
        <v>272.50000000000006</v>
      </c>
      <c r="AK200" s="14">
        <f t="shared" si="92"/>
        <v>272.50000000000006</v>
      </c>
      <c r="AL200" s="14">
        <f t="shared" si="92"/>
        <v>272.50000000000006</v>
      </c>
      <c r="AM200" s="14">
        <f t="shared" si="92"/>
        <v>272.50000000000006</v>
      </c>
      <c r="AN200" s="14">
        <f t="shared" si="92"/>
        <v>272.50000000000006</v>
      </c>
      <c r="AO200" s="14">
        <f t="shared" si="92"/>
        <v>272.50000000000006</v>
      </c>
      <c r="AP200" s="14">
        <f t="shared" si="92"/>
        <v>272.50000000000006</v>
      </c>
      <c r="AQ200" s="14">
        <f t="shared" si="92"/>
        <v>272.50000000000006</v>
      </c>
      <c r="AR200" s="14">
        <f t="shared" si="92"/>
        <v>272.50000000000006</v>
      </c>
      <c r="AS200" s="14">
        <f t="shared" si="92"/>
        <v>272.50000000000006</v>
      </c>
    </row>
    <row r="201" spans="2:45" outlineLevel="1" x14ac:dyDescent="0.15">
      <c r="B201" s="107" t="str">
        <f t="shared" si="89"/>
        <v>Staff Cost</v>
      </c>
      <c r="I201" s="50">
        <f t="shared" si="90"/>
        <v>1</v>
      </c>
      <c r="J201" s="14">
        <f t="shared" ref="J201:AS201" si="93">J79*(1+$I201*J$169)</f>
        <v>0</v>
      </c>
      <c r="K201" s="14">
        <f t="shared" si="93"/>
        <v>0</v>
      </c>
      <c r="L201" s="14">
        <f t="shared" si="93"/>
        <v>0</v>
      </c>
      <c r="M201" s="14">
        <f t="shared" si="93"/>
        <v>0</v>
      </c>
      <c r="N201" s="14">
        <f t="shared" si="93"/>
        <v>0</v>
      </c>
      <c r="O201" s="14">
        <f t="shared" si="93"/>
        <v>0</v>
      </c>
      <c r="P201" s="14">
        <f t="shared" si="93"/>
        <v>1338.1200000000001</v>
      </c>
      <c r="Q201" s="14">
        <f t="shared" si="93"/>
        <v>1338.1200000000001</v>
      </c>
      <c r="R201" s="14">
        <f t="shared" si="93"/>
        <v>1401.84</v>
      </c>
      <c r="S201" s="14">
        <f t="shared" si="93"/>
        <v>1465.56</v>
      </c>
      <c r="T201" s="14">
        <f t="shared" si="93"/>
        <v>1274.3999999999999</v>
      </c>
      <c r="U201" s="14">
        <f t="shared" si="93"/>
        <v>1465.56</v>
      </c>
      <c r="V201" s="14">
        <f t="shared" si="93"/>
        <v>1401.84</v>
      </c>
      <c r="W201" s="14">
        <f t="shared" si="93"/>
        <v>1338.1200000000001</v>
      </c>
      <c r="X201" s="14">
        <f t="shared" si="93"/>
        <v>1465.56</v>
      </c>
      <c r="Y201" s="14">
        <f t="shared" si="93"/>
        <v>1338.1200000000001</v>
      </c>
      <c r="Z201" s="14">
        <f t="shared" si="93"/>
        <v>1401.84</v>
      </c>
      <c r="AA201" s="14">
        <f t="shared" si="93"/>
        <v>1465.56</v>
      </c>
      <c r="AB201" s="14">
        <f t="shared" si="93"/>
        <v>1274.3999999999999</v>
      </c>
      <c r="AC201" s="14">
        <f t="shared" si="93"/>
        <v>1338.1200000000001</v>
      </c>
      <c r="AD201" s="14">
        <f t="shared" si="93"/>
        <v>1401.84</v>
      </c>
      <c r="AE201" s="14">
        <f t="shared" si="93"/>
        <v>1401.84</v>
      </c>
      <c r="AF201" s="14">
        <f t="shared" si="93"/>
        <v>1338.1200000000001</v>
      </c>
      <c r="AG201" s="14">
        <f t="shared" si="93"/>
        <v>1465.56</v>
      </c>
      <c r="AH201" s="14">
        <f t="shared" si="93"/>
        <v>1338.1200000000001</v>
      </c>
      <c r="AI201" s="14">
        <f t="shared" si="93"/>
        <v>1401.84</v>
      </c>
      <c r="AJ201" s="14">
        <f t="shared" si="93"/>
        <v>1465.56</v>
      </c>
      <c r="AK201" s="14">
        <f t="shared" si="93"/>
        <v>1274.3999999999999</v>
      </c>
      <c r="AL201" s="14">
        <f t="shared" si="93"/>
        <v>1465.56</v>
      </c>
      <c r="AM201" s="14">
        <f t="shared" si="93"/>
        <v>1401.84</v>
      </c>
      <c r="AN201" s="14">
        <f t="shared" si="93"/>
        <v>1274.3999999999999</v>
      </c>
      <c r="AO201" s="14">
        <f t="shared" si="93"/>
        <v>1401.84</v>
      </c>
      <c r="AP201" s="14">
        <f t="shared" si="93"/>
        <v>1401.84</v>
      </c>
      <c r="AQ201" s="14">
        <f t="shared" si="93"/>
        <v>1338.1200000000001</v>
      </c>
      <c r="AR201" s="14">
        <f t="shared" si="93"/>
        <v>1401.84</v>
      </c>
      <c r="AS201" s="14">
        <f t="shared" si="93"/>
        <v>1465.56</v>
      </c>
    </row>
    <row r="202" spans="2:45" outlineLevel="1" x14ac:dyDescent="0.15">
      <c r="B202" s="107" t="str">
        <f t="shared" si="89"/>
        <v>Utilities</v>
      </c>
      <c r="I202" s="50">
        <f t="shared" si="90"/>
        <v>1</v>
      </c>
      <c r="J202" s="14">
        <f t="shared" ref="J202:AS202" si="94">J80*(1+$I202*J$169)</f>
        <v>120</v>
      </c>
      <c r="K202" s="14">
        <f t="shared" si="94"/>
        <v>120</v>
      </c>
      <c r="L202" s="14">
        <f t="shared" si="94"/>
        <v>120</v>
      </c>
      <c r="M202" s="14">
        <f t="shared" si="94"/>
        <v>120</v>
      </c>
      <c r="N202" s="14">
        <f t="shared" si="94"/>
        <v>120</v>
      </c>
      <c r="O202" s="14">
        <f t="shared" si="94"/>
        <v>120</v>
      </c>
      <c r="P202" s="14">
        <f t="shared" si="94"/>
        <v>120</v>
      </c>
      <c r="Q202" s="14">
        <f t="shared" si="94"/>
        <v>120</v>
      </c>
      <c r="R202" s="14">
        <f t="shared" si="94"/>
        <v>120</v>
      </c>
      <c r="S202" s="14">
        <f t="shared" si="94"/>
        <v>120</v>
      </c>
      <c r="T202" s="14">
        <f t="shared" si="94"/>
        <v>120</v>
      </c>
      <c r="U202" s="14">
        <f t="shared" si="94"/>
        <v>120</v>
      </c>
      <c r="V202" s="14">
        <f t="shared" si="94"/>
        <v>120</v>
      </c>
      <c r="W202" s="14">
        <f t="shared" si="94"/>
        <v>120</v>
      </c>
      <c r="X202" s="14">
        <f t="shared" si="94"/>
        <v>120</v>
      </c>
      <c r="Y202" s="14">
        <f t="shared" si="94"/>
        <v>120</v>
      </c>
      <c r="Z202" s="14">
        <f t="shared" si="94"/>
        <v>120</v>
      </c>
      <c r="AA202" s="14">
        <f t="shared" si="94"/>
        <v>120</v>
      </c>
      <c r="AB202" s="14">
        <f t="shared" si="94"/>
        <v>120</v>
      </c>
      <c r="AC202" s="14">
        <f t="shared" si="94"/>
        <v>120</v>
      </c>
      <c r="AD202" s="14">
        <f t="shared" si="94"/>
        <v>120</v>
      </c>
      <c r="AE202" s="14">
        <f t="shared" si="94"/>
        <v>120</v>
      </c>
      <c r="AF202" s="14">
        <f t="shared" si="94"/>
        <v>120</v>
      </c>
      <c r="AG202" s="14">
        <f t="shared" si="94"/>
        <v>120</v>
      </c>
      <c r="AH202" s="14">
        <f t="shared" si="94"/>
        <v>120</v>
      </c>
      <c r="AI202" s="14">
        <f t="shared" si="94"/>
        <v>120</v>
      </c>
      <c r="AJ202" s="14">
        <f t="shared" si="94"/>
        <v>120</v>
      </c>
      <c r="AK202" s="14">
        <f t="shared" si="94"/>
        <v>120</v>
      </c>
      <c r="AL202" s="14">
        <f t="shared" si="94"/>
        <v>120</v>
      </c>
      <c r="AM202" s="14">
        <f t="shared" si="94"/>
        <v>120</v>
      </c>
      <c r="AN202" s="14">
        <f t="shared" si="94"/>
        <v>120</v>
      </c>
      <c r="AO202" s="14">
        <f t="shared" si="94"/>
        <v>120</v>
      </c>
      <c r="AP202" s="14">
        <f t="shared" si="94"/>
        <v>120</v>
      </c>
      <c r="AQ202" s="14">
        <f t="shared" si="94"/>
        <v>120</v>
      </c>
      <c r="AR202" s="14">
        <f t="shared" si="94"/>
        <v>120</v>
      </c>
      <c r="AS202" s="14">
        <f t="shared" si="94"/>
        <v>120</v>
      </c>
    </row>
    <row r="203" spans="2:45" outlineLevel="1" x14ac:dyDescent="0.15">
      <c r="B203" s="107" t="str">
        <f t="shared" si="89"/>
        <v>Insurance</v>
      </c>
      <c r="I203" s="50">
        <f t="shared" si="90"/>
        <v>1</v>
      </c>
      <c r="J203" s="14">
        <f t="shared" ref="J203:AS203" si="95">J81*(1+$I203*J$169)</f>
        <v>199.99999999999997</v>
      </c>
      <c r="K203" s="14">
        <f t="shared" si="95"/>
        <v>199.99999999999997</v>
      </c>
      <c r="L203" s="14">
        <f t="shared" si="95"/>
        <v>199.99999999999997</v>
      </c>
      <c r="M203" s="14">
        <f t="shared" si="95"/>
        <v>199.99999999999997</v>
      </c>
      <c r="N203" s="14">
        <f t="shared" si="95"/>
        <v>199.99999999999997</v>
      </c>
      <c r="O203" s="14">
        <f t="shared" si="95"/>
        <v>199.99999999999997</v>
      </c>
      <c r="P203" s="14">
        <f t="shared" si="95"/>
        <v>199.99999999999997</v>
      </c>
      <c r="Q203" s="14">
        <f t="shared" si="95"/>
        <v>199.99999999999997</v>
      </c>
      <c r="R203" s="14">
        <f t="shared" si="95"/>
        <v>199.99999999999997</v>
      </c>
      <c r="S203" s="14">
        <f t="shared" si="95"/>
        <v>199.99999999999997</v>
      </c>
      <c r="T203" s="14">
        <f t="shared" si="95"/>
        <v>199.99999999999997</v>
      </c>
      <c r="U203" s="14">
        <f t="shared" si="95"/>
        <v>199.99999999999997</v>
      </c>
      <c r="V203" s="14">
        <f t="shared" si="95"/>
        <v>199.99999999999997</v>
      </c>
      <c r="W203" s="14">
        <f t="shared" si="95"/>
        <v>199.99999999999997</v>
      </c>
      <c r="X203" s="14">
        <f t="shared" si="95"/>
        <v>199.99999999999997</v>
      </c>
      <c r="Y203" s="14">
        <f t="shared" si="95"/>
        <v>199.99999999999997</v>
      </c>
      <c r="Z203" s="14">
        <f t="shared" si="95"/>
        <v>199.99999999999997</v>
      </c>
      <c r="AA203" s="14">
        <f t="shared" si="95"/>
        <v>199.99999999999997</v>
      </c>
      <c r="AB203" s="14">
        <f t="shared" si="95"/>
        <v>199.99999999999997</v>
      </c>
      <c r="AC203" s="14">
        <f t="shared" si="95"/>
        <v>199.99999999999997</v>
      </c>
      <c r="AD203" s="14">
        <f t="shared" si="95"/>
        <v>199.99999999999997</v>
      </c>
      <c r="AE203" s="14">
        <f t="shared" si="95"/>
        <v>199.99999999999997</v>
      </c>
      <c r="AF203" s="14">
        <f t="shared" si="95"/>
        <v>199.99999999999997</v>
      </c>
      <c r="AG203" s="14">
        <f t="shared" si="95"/>
        <v>199.99999999999997</v>
      </c>
      <c r="AH203" s="14">
        <f t="shared" si="95"/>
        <v>199.99999999999997</v>
      </c>
      <c r="AI203" s="14">
        <f t="shared" si="95"/>
        <v>199.99999999999997</v>
      </c>
      <c r="AJ203" s="14">
        <f t="shared" si="95"/>
        <v>199.99999999999997</v>
      </c>
      <c r="AK203" s="14">
        <f t="shared" si="95"/>
        <v>199.99999999999997</v>
      </c>
      <c r="AL203" s="14">
        <f t="shared" si="95"/>
        <v>199.99999999999997</v>
      </c>
      <c r="AM203" s="14">
        <f t="shared" si="95"/>
        <v>199.99999999999997</v>
      </c>
      <c r="AN203" s="14">
        <f t="shared" si="95"/>
        <v>199.99999999999997</v>
      </c>
      <c r="AO203" s="14">
        <f t="shared" si="95"/>
        <v>199.99999999999997</v>
      </c>
      <c r="AP203" s="14">
        <f t="shared" si="95"/>
        <v>199.99999999999997</v>
      </c>
      <c r="AQ203" s="14">
        <f t="shared" si="95"/>
        <v>199.99999999999997</v>
      </c>
      <c r="AR203" s="14">
        <f t="shared" si="95"/>
        <v>199.99999999999997</v>
      </c>
      <c r="AS203" s="14">
        <f t="shared" si="95"/>
        <v>199.99999999999997</v>
      </c>
    </row>
    <row r="204" spans="2:45" outlineLevel="1" x14ac:dyDescent="0.15">
      <c r="B204" s="107" t="str">
        <f t="shared" si="89"/>
        <v>HEMA Insurance</v>
      </c>
      <c r="I204" s="50">
        <f t="shared" si="90"/>
        <v>0</v>
      </c>
      <c r="J204" s="14">
        <f t="shared" ref="J204:AS204" si="96">J82*(1+$I204*J$169)</f>
        <v>75</v>
      </c>
      <c r="K204" s="14">
        <f t="shared" si="96"/>
        <v>77.5</v>
      </c>
      <c r="L204" s="14">
        <f t="shared" si="96"/>
        <v>80</v>
      </c>
      <c r="M204" s="14">
        <f t="shared" si="96"/>
        <v>82.5</v>
      </c>
      <c r="N204" s="14">
        <f t="shared" si="96"/>
        <v>85</v>
      </c>
      <c r="O204" s="14">
        <f t="shared" si="96"/>
        <v>87.5</v>
      </c>
      <c r="P204" s="14">
        <f t="shared" si="96"/>
        <v>90</v>
      </c>
      <c r="Q204" s="14">
        <f t="shared" si="96"/>
        <v>92.5</v>
      </c>
      <c r="R204" s="14">
        <f t="shared" si="96"/>
        <v>95</v>
      </c>
      <c r="S204" s="14">
        <f t="shared" si="96"/>
        <v>97.5</v>
      </c>
      <c r="T204" s="14">
        <f t="shared" si="96"/>
        <v>100</v>
      </c>
      <c r="U204" s="14">
        <f t="shared" si="96"/>
        <v>102.5</v>
      </c>
      <c r="V204" s="14">
        <f t="shared" si="96"/>
        <v>105</v>
      </c>
      <c r="W204" s="14">
        <f t="shared" si="96"/>
        <v>107.5</v>
      </c>
      <c r="X204" s="14">
        <f t="shared" si="96"/>
        <v>110</v>
      </c>
      <c r="Y204" s="14">
        <f t="shared" si="96"/>
        <v>112.5</v>
      </c>
      <c r="Z204" s="14">
        <f t="shared" si="96"/>
        <v>115</v>
      </c>
      <c r="AA204" s="14">
        <f t="shared" si="96"/>
        <v>117.5</v>
      </c>
      <c r="AB204" s="14">
        <f t="shared" si="96"/>
        <v>120</v>
      </c>
      <c r="AC204" s="14">
        <f t="shared" si="96"/>
        <v>122.5</v>
      </c>
      <c r="AD204" s="14">
        <f t="shared" si="96"/>
        <v>125</v>
      </c>
      <c r="AE204" s="14">
        <f t="shared" si="96"/>
        <v>127.5</v>
      </c>
      <c r="AF204" s="14">
        <f t="shared" si="96"/>
        <v>130</v>
      </c>
      <c r="AG204" s="14">
        <f t="shared" si="96"/>
        <v>132.5</v>
      </c>
      <c r="AH204" s="14">
        <f t="shared" si="96"/>
        <v>135</v>
      </c>
      <c r="AI204" s="14">
        <f t="shared" si="96"/>
        <v>137.5</v>
      </c>
      <c r="AJ204" s="14">
        <f t="shared" si="96"/>
        <v>140</v>
      </c>
      <c r="AK204" s="14">
        <f t="shared" si="96"/>
        <v>142.5</v>
      </c>
      <c r="AL204" s="14">
        <f t="shared" si="96"/>
        <v>145</v>
      </c>
      <c r="AM204" s="14">
        <f t="shared" si="96"/>
        <v>147.5</v>
      </c>
      <c r="AN204" s="14">
        <f t="shared" si="96"/>
        <v>150</v>
      </c>
      <c r="AO204" s="14">
        <f t="shared" si="96"/>
        <v>152.5</v>
      </c>
      <c r="AP204" s="14">
        <f t="shared" si="96"/>
        <v>155</v>
      </c>
      <c r="AQ204" s="14">
        <f t="shared" si="96"/>
        <v>157.5</v>
      </c>
      <c r="AR204" s="14">
        <f t="shared" si="96"/>
        <v>160</v>
      </c>
      <c r="AS204" s="14">
        <f t="shared" si="96"/>
        <v>162.5</v>
      </c>
    </row>
    <row r="205" spans="2:45" outlineLevel="1" x14ac:dyDescent="0.15">
      <c r="B205" s="107" t="str">
        <f t="shared" si="89"/>
        <v>Credit Card Fees</v>
      </c>
      <c r="I205" s="50">
        <f t="shared" si="90"/>
        <v>1</v>
      </c>
      <c r="J205" s="14">
        <f t="shared" ref="J205:AS205" si="97">J83*(1+$I205*J$169)</f>
        <v>88.996035096774179</v>
      </c>
      <c r="K205" s="14">
        <f t="shared" si="97"/>
        <v>144.15587665599995</v>
      </c>
      <c r="L205" s="14">
        <f t="shared" si="97"/>
        <v>149.37897352258065</v>
      </c>
      <c r="M205" s="14">
        <f t="shared" si="97"/>
        <v>177.88577839999999</v>
      </c>
      <c r="N205" s="14">
        <f t="shared" si="97"/>
        <v>76.511370972903208</v>
      </c>
      <c r="O205" s="14">
        <f t="shared" si="97"/>
        <v>138.9832522064516</v>
      </c>
      <c r="P205" s="14">
        <f t="shared" si="97"/>
        <v>160.36811648</v>
      </c>
      <c r="Q205" s="14">
        <f t="shared" si="97"/>
        <v>159.58373745032256</v>
      </c>
      <c r="R205" s="14">
        <f t="shared" si="97"/>
        <v>129.42516998400001</v>
      </c>
      <c r="S205" s="14">
        <f t="shared" si="97"/>
        <v>150.33496561032254</v>
      </c>
      <c r="T205" s="14">
        <f t="shared" si="97"/>
        <v>148.34300799999997</v>
      </c>
      <c r="U205" s="14">
        <f t="shared" si="97"/>
        <v>137.52049684645158</v>
      </c>
      <c r="V205" s="14">
        <f t="shared" si="97"/>
        <v>125.24509047741935</v>
      </c>
      <c r="W205" s="14">
        <f t="shared" si="97"/>
        <v>205.08486116799997</v>
      </c>
      <c r="X205" s="14">
        <f t="shared" si="97"/>
        <v>218.53552443870959</v>
      </c>
      <c r="Y205" s="14">
        <f t="shared" si="97"/>
        <v>238.50153799999995</v>
      </c>
      <c r="Z205" s="14">
        <f t="shared" si="97"/>
        <v>112.47185913806449</v>
      </c>
      <c r="AA205" s="14">
        <f t="shared" si="97"/>
        <v>192.38231010580645</v>
      </c>
      <c r="AB205" s="14">
        <f t="shared" si="97"/>
        <v>208.26903679999998</v>
      </c>
      <c r="AC205" s="14">
        <f t="shared" si="97"/>
        <v>213.92354419096773</v>
      </c>
      <c r="AD205" s="14">
        <f t="shared" si="97"/>
        <v>173.08911839999999</v>
      </c>
      <c r="AE205" s="14">
        <f t="shared" si="97"/>
        <v>193.11779644903226</v>
      </c>
      <c r="AF205" s="14">
        <f t="shared" si="97"/>
        <v>203.26986592</v>
      </c>
      <c r="AG205" s="14">
        <f t="shared" si="97"/>
        <v>181.13156909419351</v>
      </c>
      <c r="AH205" s="14">
        <f t="shared" si="97"/>
        <v>159.43588376774196</v>
      </c>
      <c r="AI205" s="14">
        <f t="shared" si="97"/>
        <v>276.20040976000001</v>
      </c>
      <c r="AJ205" s="14">
        <f t="shared" si="97"/>
        <v>281.9881220129032</v>
      </c>
      <c r="AK205" s="14">
        <f t="shared" si="97"/>
        <v>280.80799999999994</v>
      </c>
      <c r="AL205" s="14">
        <f t="shared" si="97"/>
        <v>150.18035977290316</v>
      </c>
      <c r="AM205" s="14">
        <f t="shared" si="97"/>
        <v>237.41383026580644</v>
      </c>
      <c r="AN205" s="14">
        <f t="shared" si="97"/>
        <v>251.54729599999999</v>
      </c>
      <c r="AO205" s="14">
        <f t="shared" si="97"/>
        <v>267.40617716645158</v>
      </c>
      <c r="AP205" s="14">
        <f t="shared" si="97"/>
        <v>206.19306681599997</v>
      </c>
      <c r="AQ205" s="14">
        <f t="shared" si="97"/>
        <v>222.29776533161288</v>
      </c>
      <c r="AR205" s="14">
        <f t="shared" si="97"/>
        <v>250.97953408000001</v>
      </c>
      <c r="AS205" s="14">
        <f t="shared" si="97"/>
        <v>214.18264134193547</v>
      </c>
    </row>
    <row r="206" spans="2:45" outlineLevel="1" x14ac:dyDescent="0.15">
      <c r="B206" s="107" t="str">
        <f t="shared" si="89"/>
        <v>Cleaning &amp; Other</v>
      </c>
      <c r="I206" s="50">
        <f t="shared" si="90"/>
        <v>1</v>
      </c>
      <c r="J206" s="14">
        <f t="shared" ref="J206:AS206" si="98">J84*(1+$I206*J$169)</f>
        <v>240</v>
      </c>
      <c r="K206" s="14">
        <f t="shared" si="98"/>
        <v>240</v>
      </c>
      <c r="L206" s="14">
        <f t="shared" si="98"/>
        <v>240</v>
      </c>
      <c r="M206" s="14">
        <f t="shared" si="98"/>
        <v>240</v>
      </c>
      <c r="N206" s="14">
        <f t="shared" si="98"/>
        <v>240</v>
      </c>
      <c r="O206" s="14">
        <f t="shared" si="98"/>
        <v>240</v>
      </c>
      <c r="P206" s="14">
        <f t="shared" si="98"/>
        <v>240</v>
      </c>
      <c r="Q206" s="14">
        <f t="shared" si="98"/>
        <v>240</v>
      </c>
      <c r="R206" s="14">
        <f t="shared" si="98"/>
        <v>240</v>
      </c>
      <c r="S206" s="14">
        <f t="shared" si="98"/>
        <v>240</v>
      </c>
      <c r="T206" s="14">
        <f t="shared" si="98"/>
        <v>240</v>
      </c>
      <c r="U206" s="14">
        <f t="shared" si="98"/>
        <v>240</v>
      </c>
      <c r="V206" s="14">
        <f t="shared" si="98"/>
        <v>240</v>
      </c>
      <c r="W206" s="14">
        <f t="shared" si="98"/>
        <v>240</v>
      </c>
      <c r="X206" s="14">
        <f t="shared" si="98"/>
        <v>240</v>
      </c>
      <c r="Y206" s="14">
        <f t="shared" si="98"/>
        <v>240</v>
      </c>
      <c r="Z206" s="14">
        <f t="shared" si="98"/>
        <v>240</v>
      </c>
      <c r="AA206" s="14">
        <f t="shared" si="98"/>
        <v>240</v>
      </c>
      <c r="AB206" s="14">
        <f t="shared" si="98"/>
        <v>240</v>
      </c>
      <c r="AC206" s="14">
        <f t="shared" si="98"/>
        <v>240</v>
      </c>
      <c r="AD206" s="14">
        <f t="shared" si="98"/>
        <v>240</v>
      </c>
      <c r="AE206" s="14">
        <f t="shared" si="98"/>
        <v>240</v>
      </c>
      <c r="AF206" s="14">
        <f t="shared" si="98"/>
        <v>240</v>
      </c>
      <c r="AG206" s="14">
        <f t="shared" si="98"/>
        <v>240</v>
      </c>
      <c r="AH206" s="14">
        <f t="shared" si="98"/>
        <v>240</v>
      </c>
      <c r="AI206" s="14">
        <f t="shared" si="98"/>
        <v>240</v>
      </c>
      <c r="AJ206" s="14">
        <f t="shared" si="98"/>
        <v>240</v>
      </c>
      <c r="AK206" s="14">
        <f t="shared" si="98"/>
        <v>240</v>
      </c>
      <c r="AL206" s="14">
        <f t="shared" si="98"/>
        <v>240</v>
      </c>
      <c r="AM206" s="14">
        <f t="shared" si="98"/>
        <v>240</v>
      </c>
      <c r="AN206" s="14">
        <f t="shared" si="98"/>
        <v>240</v>
      </c>
      <c r="AO206" s="14">
        <f t="shared" si="98"/>
        <v>240</v>
      </c>
      <c r="AP206" s="14">
        <f t="shared" si="98"/>
        <v>240</v>
      </c>
      <c r="AQ206" s="14">
        <f t="shared" si="98"/>
        <v>240</v>
      </c>
      <c r="AR206" s="14">
        <f t="shared" si="98"/>
        <v>240</v>
      </c>
      <c r="AS206" s="14">
        <f t="shared" si="98"/>
        <v>240</v>
      </c>
    </row>
    <row r="207" spans="2:45" outlineLevel="1" x14ac:dyDescent="0.15">
      <c r="B207" s="16" t="str">
        <f>"Total Applicable "&amp;B198</f>
        <v>Total Applicable Operating Expenditure</v>
      </c>
      <c r="J207" s="18">
        <f t="shared" ref="J207:AS207" si="99">SUM(J199:J206)</f>
        <v>7996.4960350967749</v>
      </c>
      <c r="K207" s="18">
        <f t="shared" si="99"/>
        <v>8054.1558766560011</v>
      </c>
      <c r="L207" s="18">
        <f t="shared" si="99"/>
        <v>8061.8789735225819</v>
      </c>
      <c r="M207" s="18">
        <f t="shared" si="99"/>
        <v>8092.8857784000011</v>
      </c>
      <c r="N207" s="18">
        <f t="shared" si="99"/>
        <v>7994.0113709729039</v>
      </c>
      <c r="O207" s="18">
        <f t="shared" si="99"/>
        <v>8058.9832522064526</v>
      </c>
      <c r="P207" s="18">
        <f t="shared" si="99"/>
        <v>9420.9881164800008</v>
      </c>
      <c r="Q207" s="18">
        <f t="shared" si="99"/>
        <v>9422.7037374503234</v>
      </c>
      <c r="R207" s="18">
        <f t="shared" si="99"/>
        <v>9458.7651699840007</v>
      </c>
      <c r="S207" s="18">
        <f t="shared" si="99"/>
        <v>9545.8949656103232</v>
      </c>
      <c r="T207" s="18">
        <f t="shared" si="99"/>
        <v>9355.2430080000013</v>
      </c>
      <c r="U207" s="18">
        <f t="shared" si="99"/>
        <v>9538.0804968464527</v>
      </c>
      <c r="V207" s="18">
        <f t="shared" si="99"/>
        <v>9464.5850904774197</v>
      </c>
      <c r="W207" s="18">
        <f t="shared" si="99"/>
        <v>9483.2048611680002</v>
      </c>
      <c r="X207" s="18">
        <f t="shared" si="99"/>
        <v>9626.5955244387114</v>
      </c>
      <c r="Y207" s="18">
        <f t="shared" si="99"/>
        <v>9521.6215380000012</v>
      </c>
      <c r="Z207" s="18">
        <f t="shared" si="99"/>
        <v>9461.8118591380644</v>
      </c>
      <c r="AA207" s="18">
        <f t="shared" si="99"/>
        <v>9607.9423101058073</v>
      </c>
      <c r="AB207" s="18">
        <f t="shared" si="99"/>
        <v>9435.1690368000018</v>
      </c>
      <c r="AC207" s="18">
        <f t="shared" si="99"/>
        <v>9507.0435441909685</v>
      </c>
      <c r="AD207" s="18">
        <f t="shared" si="99"/>
        <v>9532.4291183999994</v>
      </c>
      <c r="AE207" s="18">
        <f t="shared" si="99"/>
        <v>9554.9577964490327</v>
      </c>
      <c r="AF207" s="18">
        <f t="shared" si="99"/>
        <v>9503.8898659200004</v>
      </c>
      <c r="AG207" s="18">
        <f t="shared" si="99"/>
        <v>9611.6915690941951</v>
      </c>
      <c r="AH207" s="18">
        <f t="shared" si="99"/>
        <v>9465.0558837677436</v>
      </c>
      <c r="AI207" s="18">
        <f t="shared" si="99"/>
        <v>9648.0404097600003</v>
      </c>
      <c r="AJ207" s="18">
        <f t="shared" si="99"/>
        <v>9720.0481220129041</v>
      </c>
      <c r="AK207" s="18">
        <f t="shared" si="99"/>
        <v>9530.2080000000005</v>
      </c>
      <c r="AL207" s="18">
        <f t="shared" si="99"/>
        <v>9593.2403597729044</v>
      </c>
      <c r="AM207" s="18">
        <f t="shared" si="99"/>
        <v>9619.2538302658068</v>
      </c>
      <c r="AN207" s="18">
        <f t="shared" si="99"/>
        <v>9508.4472960000021</v>
      </c>
      <c r="AO207" s="18">
        <f t="shared" si="99"/>
        <v>9654.2461771664512</v>
      </c>
      <c r="AP207" s="18">
        <f t="shared" si="99"/>
        <v>9595.5330668160004</v>
      </c>
      <c r="AQ207" s="18">
        <f t="shared" si="99"/>
        <v>9550.4177653316128</v>
      </c>
      <c r="AR207" s="18">
        <f t="shared" si="99"/>
        <v>9645.3195340799994</v>
      </c>
      <c r="AS207" s="18">
        <f t="shared" si="99"/>
        <v>9674.7426413419362</v>
      </c>
    </row>
    <row r="208" spans="2:45" outlineLevel="1" x14ac:dyDescent="0.15"/>
    <row r="209" spans="2:45" outlineLevel="1" x14ac:dyDescent="0.15">
      <c r="B209" s="16" t="str">
        <f>B87</f>
        <v>Other Expenses</v>
      </c>
      <c r="I209" s="153" t="str">
        <f>I87</f>
        <v xml:space="preserve">VAT Applicable </v>
      </c>
      <c r="J209" s="16" t="str">
        <f>" "&amp;INDEX(LU_Ts_Denom,DD_Ts_Denom)&amp;" (Including VAT)"</f>
        <v xml:space="preserve"> £ (Including VAT)</v>
      </c>
    </row>
    <row r="210" spans="2:45" outlineLevel="1" x14ac:dyDescent="0.15">
      <c r="B210" s="107" t="str">
        <f>B88</f>
        <v>Other Expenses Category</v>
      </c>
      <c r="I210" s="211">
        <f>I88</f>
        <v>1</v>
      </c>
      <c r="J210" s="14">
        <f t="shared" ref="J210:AS210" si="100">J88*(1+$I210*J$169)</f>
        <v>0</v>
      </c>
      <c r="K210" s="14">
        <f t="shared" si="100"/>
        <v>0</v>
      </c>
      <c r="L210" s="14">
        <f t="shared" si="100"/>
        <v>0</v>
      </c>
      <c r="M210" s="14">
        <f t="shared" si="100"/>
        <v>0</v>
      </c>
      <c r="N210" s="14">
        <f t="shared" si="100"/>
        <v>0</v>
      </c>
      <c r="O210" s="14">
        <f t="shared" si="100"/>
        <v>0</v>
      </c>
      <c r="P210" s="14">
        <f t="shared" si="100"/>
        <v>0</v>
      </c>
      <c r="Q210" s="14">
        <f t="shared" si="100"/>
        <v>0</v>
      </c>
      <c r="R210" s="14">
        <f t="shared" si="100"/>
        <v>0</v>
      </c>
      <c r="S210" s="14">
        <f t="shared" si="100"/>
        <v>0</v>
      </c>
      <c r="T210" s="14">
        <f t="shared" si="100"/>
        <v>0</v>
      </c>
      <c r="U210" s="14">
        <f t="shared" si="100"/>
        <v>0</v>
      </c>
      <c r="V210" s="14">
        <f t="shared" si="100"/>
        <v>0</v>
      </c>
      <c r="W210" s="14">
        <f t="shared" si="100"/>
        <v>0</v>
      </c>
      <c r="X210" s="14">
        <f t="shared" si="100"/>
        <v>0</v>
      </c>
      <c r="Y210" s="14">
        <f t="shared" si="100"/>
        <v>0</v>
      </c>
      <c r="Z210" s="14">
        <f t="shared" si="100"/>
        <v>0</v>
      </c>
      <c r="AA210" s="14">
        <f t="shared" si="100"/>
        <v>0</v>
      </c>
      <c r="AB210" s="14">
        <f t="shared" si="100"/>
        <v>0</v>
      </c>
      <c r="AC210" s="14">
        <f t="shared" si="100"/>
        <v>0</v>
      </c>
      <c r="AD210" s="14">
        <f t="shared" si="100"/>
        <v>0</v>
      </c>
      <c r="AE210" s="14">
        <f t="shared" si="100"/>
        <v>0</v>
      </c>
      <c r="AF210" s="14">
        <f t="shared" si="100"/>
        <v>0</v>
      </c>
      <c r="AG210" s="14">
        <f t="shared" si="100"/>
        <v>0</v>
      </c>
      <c r="AH210" s="14">
        <f t="shared" si="100"/>
        <v>0</v>
      </c>
      <c r="AI210" s="14">
        <f t="shared" si="100"/>
        <v>0</v>
      </c>
      <c r="AJ210" s="14">
        <f t="shared" si="100"/>
        <v>0</v>
      </c>
      <c r="AK210" s="14">
        <f t="shared" si="100"/>
        <v>0</v>
      </c>
      <c r="AL210" s="14">
        <f t="shared" si="100"/>
        <v>0</v>
      </c>
      <c r="AM210" s="14">
        <f t="shared" si="100"/>
        <v>0</v>
      </c>
      <c r="AN210" s="14">
        <f t="shared" si="100"/>
        <v>0</v>
      </c>
      <c r="AO210" s="14">
        <f t="shared" si="100"/>
        <v>0</v>
      </c>
      <c r="AP210" s="14">
        <f t="shared" si="100"/>
        <v>0</v>
      </c>
      <c r="AQ210" s="14">
        <f t="shared" si="100"/>
        <v>0</v>
      </c>
      <c r="AR210" s="14">
        <f t="shared" si="100"/>
        <v>0</v>
      </c>
      <c r="AS210" s="14">
        <f t="shared" si="100"/>
        <v>0</v>
      </c>
    </row>
    <row r="211" spans="2:45" outlineLevel="1" x14ac:dyDescent="0.15">
      <c r="B211" s="16" t="str">
        <f>"Total Applicable "&amp;B209</f>
        <v>Total Applicable Other Expenses</v>
      </c>
      <c r="J211" s="18">
        <f t="shared" ref="J211:AS211" si="101">SUM(J210:J210)</f>
        <v>0</v>
      </c>
      <c r="K211" s="18">
        <f t="shared" si="101"/>
        <v>0</v>
      </c>
      <c r="L211" s="18">
        <f t="shared" si="101"/>
        <v>0</v>
      </c>
      <c r="M211" s="18">
        <f t="shared" si="101"/>
        <v>0</v>
      </c>
      <c r="N211" s="18">
        <f t="shared" si="101"/>
        <v>0</v>
      </c>
      <c r="O211" s="18">
        <f t="shared" si="101"/>
        <v>0</v>
      </c>
      <c r="P211" s="18">
        <f t="shared" si="101"/>
        <v>0</v>
      </c>
      <c r="Q211" s="18">
        <f t="shared" si="101"/>
        <v>0</v>
      </c>
      <c r="R211" s="18">
        <f t="shared" si="101"/>
        <v>0</v>
      </c>
      <c r="S211" s="18">
        <f t="shared" si="101"/>
        <v>0</v>
      </c>
      <c r="T211" s="18">
        <f t="shared" si="101"/>
        <v>0</v>
      </c>
      <c r="U211" s="18">
        <f t="shared" si="101"/>
        <v>0</v>
      </c>
      <c r="V211" s="18">
        <f t="shared" si="101"/>
        <v>0</v>
      </c>
      <c r="W211" s="18">
        <f t="shared" si="101"/>
        <v>0</v>
      </c>
      <c r="X211" s="18">
        <f t="shared" si="101"/>
        <v>0</v>
      </c>
      <c r="Y211" s="18">
        <f t="shared" si="101"/>
        <v>0</v>
      </c>
      <c r="Z211" s="18">
        <f t="shared" si="101"/>
        <v>0</v>
      </c>
      <c r="AA211" s="18">
        <f t="shared" si="101"/>
        <v>0</v>
      </c>
      <c r="AB211" s="18">
        <f t="shared" si="101"/>
        <v>0</v>
      </c>
      <c r="AC211" s="18">
        <f t="shared" si="101"/>
        <v>0</v>
      </c>
      <c r="AD211" s="18">
        <f t="shared" si="101"/>
        <v>0</v>
      </c>
      <c r="AE211" s="18">
        <f t="shared" si="101"/>
        <v>0</v>
      </c>
      <c r="AF211" s="18">
        <f t="shared" si="101"/>
        <v>0</v>
      </c>
      <c r="AG211" s="18">
        <f t="shared" si="101"/>
        <v>0</v>
      </c>
      <c r="AH211" s="18">
        <f t="shared" si="101"/>
        <v>0</v>
      </c>
      <c r="AI211" s="18">
        <f t="shared" si="101"/>
        <v>0</v>
      </c>
      <c r="AJ211" s="18">
        <f t="shared" si="101"/>
        <v>0</v>
      </c>
      <c r="AK211" s="18">
        <f t="shared" si="101"/>
        <v>0</v>
      </c>
      <c r="AL211" s="18">
        <f t="shared" si="101"/>
        <v>0</v>
      </c>
      <c r="AM211" s="18">
        <f t="shared" si="101"/>
        <v>0</v>
      </c>
      <c r="AN211" s="18">
        <f t="shared" si="101"/>
        <v>0</v>
      </c>
      <c r="AO211" s="18">
        <f t="shared" si="101"/>
        <v>0</v>
      </c>
      <c r="AP211" s="18">
        <f t="shared" si="101"/>
        <v>0</v>
      </c>
      <c r="AQ211" s="18">
        <f t="shared" si="101"/>
        <v>0</v>
      </c>
      <c r="AR211" s="18">
        <f t="shared" si="101"/>
        <v>0</v>
      </c>
      <c r="AS211" s="18">
        <f t="shared" si="101"/>
        <v>0</v>
      </c>
    </row>
    <row r="212" spans="2:45" outlineLevel="1" x14ac:dyDescent="0.15"/>
    <row r="213" spans="2:45" outlineLevel="1" x14ac:dyDescent="0.15">
      <c r="B213" s="16" t="str">
        <f>B91</f>
        <v>Fixed Assets Capital Expenditure</v>
      </c>
      <c r="I213" s="153" t="str">
        <f>I91</f>
        <v xml:space="preserve">VAT Applicable </v>
      </c>
      <c r="J213" s="16" t="str">
        <f>" "&amp;INDEX(LU_Ts_Denom,DD_Ts_Denom)&amp;" (Including VAT)"</f>
        <v xml:space="preserve"> £ (Including VAT)</v>
      </c>
    </row>
    <row r="214" spans="2:45" outlineLevel="1" x14ac:dyDescent="0.15">
      <c r="B214" s="107" t="str">
        <f>B92</f>
        <v>Fencing Equipment</v>
      </c>
      <c r="I214" s="211">
        <f>I92</f>
        <v>1</v>
      </c>
      <c r="J214" s="14">
        <f t="shared" ref="J214:AS214" si="102">J92*(1+$I214*J$169)</f>
        <v>12000</v>
      </c>
      <c r="K214" s="14">
        <f t="shared" si="102"/>
        <v>0</v>
      </c>
      <c r="L214" s="14">
        <f t="shared" si="102"/>
        <v>0</v>
      </c>
      <c r="M214" s="14">
        <f t="shared" si="102"/>
        <v>0</v>
      </c>
      <c r="N214" s="14">
        <f t="shared" si="102"/>
        <v>0</v>
      </c>
      <c r="O214" s="14">
        <f t="shared" si="102"/>
        <v>0</v>
      </c>
      <c r="P214" s="14">
        <f t="shared" si="102"/>
        <v>0</v>
      </c>
      <c r="Q214" s="14">
        <f t="shared" si="102"/>
        <v>0</v>
      </c>
      <c r="R214" s="14">
        <f t="shared" si="102"/>
        <v>0</v>
      </c>
      <c r="S214" s="14">
        <f t="shared" si="102"/>
        <v>0</v>
      </c>
      <c r="T214" s="14">
        <f t="shared" si="102"/>
        <v>0</v>
      </c>
      <c r="U214" s="14">
        <f t="shared" si="102"/>
        <v>0</v>
      </c>
      <c r="V214" s="14">
        <f t="shared" si="102"/>
        <v>0</v>
      </c>
      <c r="W214" s="14">
        <f t="shared" si="102"/>
        <v>0</v>
      </c>
      <c r="X214" s="14">
        <f t="shared" si="102"/>
        <v>0</v>
      </c>
      <c r="Y214" s="14">
        <f t="shared" si="102"/>
        <v>0</v>
      </c>
      <c r="Z214" s="14">
        <f t="shared" si="102"/>
        <v>0</v>
      </c>
      <c r="AA214" s="14">
        <f t="shared" si="102"/>
        <v>0</v>
      </c>
      <c r="AB214" s="14">
        <f t="shared" si="102"/>
        <v>0</v>
      </c>
      <c r="AC214" s="14">
        <f t="shared" si="102"/>
        <v>0</v>
      </c>
      <c r="AD214" s="14">
        <f t="shared" si="102"/>
        <v>0</v>
      </c>
      <c r="AE214" s="14">
        <f t="shared" si="102"/>
        <v>0</v>
      </c>
      <c r="AF214" s="14">
        <f t="shared" si="102"/>
        <v>0</v>
      </c>
      <c r="AG214" s="14">
        <f t="shared" si="102"/>
        <v>0</v>
      </c>
      <c r="AH214" s="14">
        <f t="shared" si="102"/>
        <v>0</v>
      </c>
      <c r="AI214" s="14">
        <f t="shared" si="102"/>
        <v>0</v>
      </c>
      <c r="AJ214" s="14">
        <f t="shared" si="102"/>
        <v>0</v>
      </c>
      <c r="AK214" s="14">
        <f t="shared" si="102"/>
        <v>0</v>
      </c>
      <c r="AL214" s="14">
        <f t="shared" si="102"/>
        <v>0</v>
      </c>
      <c r="AM214" s="14">
        <f t="shared" si="102"/>
        <v>0</v>
      </c>
      <c r="AN214" s="14">
        <f t="shared" si="102"/>
        <v>0</v>
      </c>
      <c r="AO214" s="14">
        <f t="shared" si="102"/>
        <v>0</v>
      </c>
      <c r="AP214" s="14">
        <f t="shared" si="102"/>
        <v>0</v>
      </c>
      <c r="AQ214" s="14">
        <f t="shared" si="102"/>
        <v>0</v>
      </c>
      <c r="AR214" s="14">
        <f t="shared" si="102"/>
        <v>0</v>
      </c>
      <c r="AS214" s="14">
        <f t="shared" si="102"/>
        <v>0</v>
      </c>
    </row>
    <row r="215" spans="2:45" outlineLevel="1" x14ac:dyDescent="0.15">
      <c r="B215" s="107" t="str">
        <f>B93</f>
        <v>Leashold Improvements</v>
      </c>
      <c r="I215" s="50">
        <f>I93</f>
        <v>1</v>
      </c>
      <c r="J215" s="14">
        <f t="shared" ref="J215:AS215" si="103">J93*(1+$I215*J$169)</f>
        <v>240000</v>
      </c>
      <c r="K215" s="14">
        <f t="shared" si="103"/>
        <v>0</v>
      </c>
      <c r="L215" s="14">
        <f t="shared" si="103"/>
        <v>0</v>
      </c>
      <c r="M215" s="14">
        <f t="shared" si="103"/>
        <v>0</v>
      </c>
      <c r="N215" s="14">
        <f t="shared" si="103"/>
        <v>0</v>
      </c>
      <c r="O215" s="14">
        <f t="shared" si="103"/>
        <v>0</v>
      </c>
      <c r="P215" s="14">
        <f t="shared" si="103"/>
        <v>0</v>
      </c>
      <c r="Q215" s="14">
        <f t="shared" si="103"/>
        <v>0</v>
      </c>
      <c r="R215" s="14">
        <f t="shared" si="103"/>
        <v>0</v>
      </c>
      <c r="S215" s="14">
        <f t="shared" si="103"/>
        <v>0</v>
      </c>
      <c r="T215" s="14">
        <f t="shared" si="103"/>
        <v>0</v>
      </c>
      <c r="U215" s="14">
        <f t="shared" si="103"/>
        <v>0</v>
      </c>
      <c r="V215" s="14">
        <f t="shared" si="103"/>
        <v>0</v>
      </c>
      <c r="W215" s="14">
        <f t="shared" si="103"/>
        <v>0</v>
      </c>
      <c r="X215" s="14">
        <f t="shared" si="103"/>
        <v>0</v>
      </c>
      <c r="Y215" s="14">
        <f t="shared" si="103"/>
        <v>0</v>
      </c>
      <c r="Z215" s="14">
        <f t="shared" si="103"/>
        <v>0</v>
      </c>
      <c r="AA215" s="14">
        <f t="shared" si="103"/>
        <v>0</v>
      </c>
      <c r="AB215" s="14">
        <f t="shared" si="103"/>
        <v>0</v>
      </c>
      <c r="AC215" s="14">
        <f t="shared" si="103"/>
        <v>0</v>
      </c>
      <c r="AD215" s="14">
        <f t="shared" si="103"/>
        <v>0</v>
      </c>
      <c r="AE215" s="14">
        <f t="shared" si="103"/>
        <v>0</v>
      </c>
      <c r="AF215" s="14">
        <f t="shared" si="103"/>
        <v>0</v>
      </c>
      <c r="AG215" s="14">
        <f t="shared" si="103"/>
        <v>0</v>
      </c>
      <c r="AH215" s="14">
        <f t="shared" si="103"/>
        <v>0</v>
      </c>
      <c r="AI215" s="14">
        <f t="shared" si="103"/>
        <v>0</v>
      </c>
      <c r="AJ215" s="14">
        <f t="shared" si="103"/>
        <v>0</v>
      </c>
      <c r="AK215" s="14">
        <f t="shared" si="103"/>
        <v>0</v>
      </c>
      <c r="AL215" s="14">
        <f t="shared" si="103"/>
        <v>0</v>
      </c>
      <c r="AM215" s="14">
        <f t="shared" si="103"/>
        <v>0</v>
      </c>
      <c r="AN215" s="14">
        <f t="shared" si="103"/>
        <v>0</v>
      </c>
      <c r="AO215" s="14">
        <f t="shared" si="103"/>
        <v>0</v>
      </c>
      <c r="AP215" s="14">
        <f t="shared" si="103"/>
        <v>0</v>
      </c>
      <c r="AQ215" s="14">
        <f t="shared" si="103"/>
        <v>0</v>
      </c>
      <c r="AR215" s="14">
        <f t="shared" si="103"/>
        <v>0</v>
      </c>
      <c r="AS215" s="14">
        <f t="shared" si="103"/>
        <v>0</v>
      </c>
    </row>
    <row r="216" spans="2:45" outlineLevel="1" x14ac:dyDescent="0.15">
      <c r="B216" s="16" t="str">
        <f>"Total Applicable "&amp;B213</f>
        <v>Total Applicable Fixed Assets Capital Expenditure</v>
      </c>
      <c r="J216" s="18">
        <f t="shared" ref="J216:AS216" si="104">SUM(J214:J215)</f>
        <v>252000</v>
      </c>
      <c r="K216" s="18">
        <f t="shared" si="104"/>
        <v>0</v>
      </c>
      <c r="L216" s="18">
        <f t="shared" si="104"/>
        <v>0</v>
      </c>
      <c r="M216" s="18">
        <f t="shared" si="104"/>
        <v>0</v>
      </c>
      <c r="N216" s="18">
        <f t="shared" si="104"/>
        <v>0</v>
      </c>
      <c r="O216" s="18">
        <f t="shared" si="104"/>
        <v>0</v>
      </c>
      <c r="P216" s="18">
        <f t="shared" si="104"/>
        <v>0</v>
      </c>
      <c r="Q216" s="18">
        <f t="shared" si="104"/>
        <v>0</v>
      </c>
      <c r="R216" s="18">
        <f t="shared" si="104"/>
        <v>0</v>
      </c>
      <c r="S216" s="18">
        <f t="shared" si="104"/>
        <v>0</v>
      </c>
      <c r="T216" s="18">
        <f t="shared" si="104"/>
        <v>0</v>
      </c>
      <c r="U216" s="18">
        <f t="shared" si="104"/>
        <v>0</v>
      </c>
      <c r="V216" s="18">
        <f t="shared" si="104"/>
        <v>0</v>
      </c>
      <c r="W216" s="18">
        <f t="shared" si="104"/>
        <v>0</v>
      </c>
      <c r="X216" s="18">
        <f t="shared" si="104"/>
        <v>0</v>
      </c>
      <c r="Y216" s="18">
        <f t="shared" si="104"/>
        <v>0</v>
      </c>
      <c r="Z216" s="18">
        <f t="shared" si="104"/>
        <v>0</v>
      </c>
      <c r="AA216" s="18">
        <f t="shared" si="104"/>
        <v>0</v>
      </c>
      <c r="AB216" s="18">
        <f t="shared" si="104"/>
        <v>0</v>
      </c>
      <c r="AC216" s="18">
        <f t="shared" si="104"/>
        <v>0</v>
      </c>
      <c r="AD216" s="18">
        <f t="shared" si="104"/>
        <v>0</v>
      </c>
      <c r="AE216" s="18">
        <f t="shared" si="104"/>
        <v>0</v>
      </c>
      <c r="AF216" s="18">
        <f t="shared" si="104"/>
        <v>0</v>
      </c>
      <c r="AG216" s="18">
        <f t="shared" si="104"/>
        <v>0</v>
      </c>
      <c r="AH216" s="18">
        <f t="shared" si="104"/>
        <v>0</v>
      </c>
      <c r="AI216" s="18">
        <f t="shared" si="104"/>
        <v>0</v>
      </c>
      <c r="AJ216" s="18">
        <f t="shared" si="104"/>
        <v>0</v>
      </c>
      <c r="AK216" s="18">
        <f t="shared" si="104"/>
        <v>0</v>
      </c>
      <c r="AL216" s="18">
        <f t="shared" si="104"/>
        <v>0</v>
      </c>
      <c r="AM216" s="18">
        <f t="shared" si="104"/>
        <v>0</v>
      </c>
      <c r="AN216" s="18">
        <f t="shared" si="104"/>
        <v>0</v>
      </c>
      <c r="AO216" s="18">
        <f t="shared" si="104"/>
        <v>0</v>
      </c>
      <c r="AP216" s="18">
        <f t="shared" si="104"/>
        <v>0</v>
      </c>
      <c r="AQ216" s="18">
        <f t="shared" si="104"/>
        <v>0</v>
      </c>
      <c r="AR216" s="18">
        <f t="shared" si="104"/>
        <v>0</v>
      </c>
      <c r="AS216" s="18">
        <f t="shared" si="104"/>
        <v>0</v>
      </c>
    </row>
    <row r="217" spans="2:45" outlineLevel="1" x14ac:dyDescent="0.15"/>
    <row r="218" spans="2:45" outlineLevel="1" x14ac:dyDescent="0.15">
      <c r="B218" s="108" t="s">
        <v>59</v>
      </c>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row>
    <row r="219" spans="2:45" outlineLevel="1" x14ac:dyDescent="0.15"/>
    <row r="220" spans="2:45" outlineLevel="1" x14ac:dyDescent="0.15">
      <c r="B220" s="107" t="str">
        <f>B160</f>
        <v>Opening Balance</v>
      </c>
      <c r="J220" s="14">
        <f t="shared" ref="J220:AS220" si="105">J160</f>
        <v>0</v>
      </c>
      <c r="K220" s="14">
        <f t="shared" ca="1" si="105"/>
        <v>-43156.449339182793</v>
      </c>
      <c r="L220" s="14">
        <f t="shared" ca="1" si="105"/>
        <v>-44377.22531862546</v>
      </c>
      <c r="M220" s="14">
        <f t="shared" ca="1" si="105"/>
        <v>-1220.9798289204336</v>
      </c>
      <c r="N220" s="14">
        <f t="shared" ca="1" si="105"/>
        <v>-2446.0441253204344</v>
      </c>
      <c r="O220" s="14">
        <f t="shared" ca="1" si="105"/>
        <v>-3653.5460204825854</v>
      </c>
      <c r="P220" s="14">
        <f t="shared" ca="1" si="105"/>
        <v>-1217.2472087010779</v>
      </c>
      <c r="Q220" s="14">
        <f t="shared" ca="1" si="105"/>
        <v>-2580.411894781078</v>
      </c>
      <c r="R220" s="14">
        <f t="shared" ca="1" si="105"/>
        <v>-3942.7791843561313</v>
      </c>
      <c r="S220" s="14">
        <f t="shared" ca="1" si="105"/>
        <v>-1367.2941949973365</v>
      </c>
      <c r="T220" s="14">
        <f t="shared" ca="1" si="105"/>
        <v>-2748.0266892657237</v>
      </c>
      <c r="U220" s="14">
        <f t="shared" ca="1" si="105"/>
        <v>-4095.9005239323906</v>
      </c>
      <c r="V220" s="14">
        <f t="shared" ca="1" si="105"/>
        <v>-1377.2634161410788</v>
      </c>
      <c r="W220" s="14">
        <f t="shared" ca="1" si="105"/>
        <v>-2741.1942645539821</v>
      </c>
      <c r="X220" s="14">
        <f t="shared" ca="1" si="105"/>
        <v>-4107.1450747486479</v>
      </c>
      <c r="Y220" s="14">
        <f t="shared" ca="1" si="105"/>
        <v>-1388.7659207397883</v>
      </c>
      <c r="Z220" s="14">
        <f t="shared" ca="1" si="105"/>
        <v>-2758.9528437397885</v>
      </c>
      <c r="AA220" s="14">
        <f t="shared" ca="1" si="105"/>
        <v>-4118.0881535961316</v>
      </c>
      <c r="AB220" s="14">
        <f t="shared" ca="1" si="105"/>
        <v>-1382.407051684304</v>
      </c>
      <c r="AC220" s="14">
        <f t="shared" ca="1" si="105"/>
        <v>-2654.9352244843049</v>
      </c>
      <c r="AD220" s="14">
        <f t="shared" ca="1" si="105"/>
        <v>-3938.3591485161323</v>
      </c>
      <c r="AE220" s="14">
        <f t="shared" ca="1" si="105"/>
        <v>-1286.5715197333357</v>
      </c>
      <c r="AF220" s="14">
        <f t="shared" ca="1" si="105"/>
        <v>-2575.8144858081741</v>
      </c>
      <c r="AG220" s="14">
        <f t="shared" ca="1" si="105"/>
        <v>-3855.46279679484</v>
      </c>
      <c r="AH220" s="14">
        <f t="shared" ca="1" si="105"/>
        <v>-1296.5319281823695</v>
      </c>
      <c r="AI220" s="14">
        <f t="shared" ca="1" si="105"/>
        <v>-2567.5412421436604</v>
      </c>
      <c r="AJ220" s="14">
        <f t="shared" ca="1" si="105"/>
        <v>-3867.9646437703277</v>
      </c>
      <c r="AK220" s="14">
        <f t="shared" ca="1" si="105"/>
        <v>-1311.3413536688195</v>
      </c>
      <c r="AL220" s="14">
        <f t="shared" ca="1" si="105"/>
        <v>-2589.9593536688199</v>
      </c>
      <c r="AM220" s="14">
        <f t="shared" ca="1" si="105"/>
        <v>-3877.9994136309706</v>
      </c>
      <c r="AN220" s="14">
        <f t="shared" ca="1" si="105"/>
        <v>-1291.2923050443032</v>
      </c>
      <c r="AO220" s="14">
        <f t="shared" ca="1" si="105"/>
        <v>-2563.0335210443045</v>
      </c>
      <c r="AP220" s="14">
        <f t="shared" ca="1" si="105"/>
        <v>-3857.991217238713</v>
      </c>
      <c r="AQ220" s="14">
        <f t="shared" ca="1" si="105"/>
        <v>-1284.0888444693364</v>
      </c>
      <c r="AR220" s="14">
        <f t="shared" ca="1" si="105"/>
        <v>-2559.5751386912707</v>
      </c>
      <c r="AS220" s="14">
        <f t="shared" ca="1" si="105"/>
        <v>-3849.7950610379366</v>
      </c>
    </row>
    <row r="221" spans="2:45" outlineLevel="1" x14ac:dyDescent="0.15">
      <c r="B221" s="107" t="str">
        <f>B161</f>
        <v>VAT Payable - Created During Period</v>
      </c>
      <c r="J221" s="14">
        <f t="shared" ref="J221:AS221" ca="1" si="106">J161</f>
        <v>-43156.449339182793</v>
      </c>
      <c r="K221" s="14">
        <f t="shared" ca="1" si="106"/>
        <v>-1220.7759794426665</v>
      </c>
      <c r="L221" s="14">
        <f t="shared" ca="1" si="106"/>
        <v>-1220.9798289204309</v>
      </c>
      <c r="M221" s="14">
        <f t="shared" ca="1" si="106"/>
        <v>-1225.0642964000008</v>
      </c>
      <c r="N221" s="14">
        <f t="shared" ca="1" si="106"/>
        <v>-1207.501895162151</v>
      </c>
      <c r="O221" s="14">
        <f t="shared" ca="1" si="106"/>
        <v>-1217.2472087010756</v>
      </c>
      <c r="P221" s="14">
        <f t="shared" ca="1" si="106"/>
        <v>-1363.1646860800001</v>
      </c>
      <c r="Q221" s="14">
        <f t="shared" ca="1" si="106"/>
        <v>-1362.3672895750533</v>
      </c>
      <c r="R221" s="14">
        <f t="shared" ca="1" si="106"/>
        <v>-1367.2941949973338</v>
      </c>
      <c r="S221" s="14">
        <f t="shared" ca="1" si="106"/>
        <v>-1380.7324942683872</v>
      </c>
      <c r="T221" s="14">
        <f t="shared" ca="1" si="106"/>
        <v>-1347.8738346666669</v>
      </c>
      <c r="U221" s="14">
        <f t="shared" ca="1" si="106"/>
        <v>-1377.263416141076</v>
      </c>
      <c r="V221" s="14">
        <f t="shared" ca="1" si="106"/>
        <v>-1363.9308484129033</v>
      </c>
      <c r="W221" s="14">
        <f t="shared" ca="1" si="106"/>
        <v>-1365.9508101946658</v>
      </c>
      <c r="X221" s="14">
        <f t="shared" ca="1" si="106"/>
        <v>-1388.7659207397855</v>
      </c>
      <c r="Y221" s="14">
        <f t="shared" ca="1" si="106"/>
        <v>-1370.1869230000002</v>
      </c>
      <c r="Z221" s="14">
        <f t="shared" ca="1" si="106"/>
        <v>-1359.1353098563432</v>
      </c>
      <c r="AA221" s="14">
        <f t="shared" ca="1" si="106"/>
        <v>-1382.4070516843012</v>
      </c>
      <c r="AB221" s="14">
        <f t="shared" ca="1" si="106"/>
        <v>-1272.5281728000009</v>
      </c>
      <c r="AC221" s="14">
        <f t="shared" ca="1" si="106"/>
        <v>-1283.4239240318275</v>
      </c>
      <c r="AD221" s="14">
        <f t="shared" ca="1" si="106"/>
        <v>-1286.5715197333329</v>
      </c>
      <c r="AE221" s="14">
        <f t="shared" ca="1" si="106"/>
        <v>-1289.2429660748385</v>
      </c>
      <c r="AF221" s="14">
        <f t="shared" ca="1" si="106"/>
        <v>-1279.6483109866658</v>
      </c>
      <c r="AG221" s="14">
        <f t="shared" ca="1" si="106"/>
        <v>-1296.5319281823668</v>
      </c>
      <c r="AH221" s="14">
        <f t="shared" ca="1" si="106"/>
        <v>-1271.0093139612909</v>
      </c>
      <c r="AI221" s="14">
        <f t="shared" ca="1" si="106"/>
        <v>-1300.4234016266673</v>
      </c>
      <c r="AJ221" s="14">
        <f t="shared" ca="1" si="106"/>
        <v>-1311.3413536688167</v>
      </c>
      <c r="AK221" s="14">
        <f t="shared" ca="1" si="106"/>
        <v>-1278.6180000000004</v>
      </c>
      <c r="AL221" s="14">
        <f t="shared" ca="1" si="106"/>
        <v>-1288.0400599621507</v>
      </c>
      <c r="AM221" s="14">
        <f t="shared" ca="1" si="106"/>
        <v>-1291.2923050443005</v>
      </c>
      <c r="AN221" s="14">
        <f t="shared" ca="1" si="106"/>
        <v>-1271.7412160000013</v>
      </c>
      <c r="AO221" s="14">
        <f t="shared" ca="1" si="106"/>
        <v>-1294.9576961944085</v>
      </c>
      <c r="AP221" s="14">
        <f t="shared" ca="1" si="106"/>
        <v>-1284.0888444693337</v>
      </c>
      <c r="AQ221" s="14">
        <f t="shared" ca="1" si="106"/>
        <v>-1275.4862942219343</v>
      </c>
      <c r="AR221" s="14">
        <f t="shared" ca="1" si="106"/>
        <v>-1290.219922346666</v>
      </c>
      <c r="AS221" s="14">
        <f t="shared" ca="1" si="106"/>
        <v>-1294.0404402236563</v>
      </c>
    </row>
    <row r="222" spans="2:45" outlineLevel="1" x14ac:dyDescent="0.15">
      <c r="B222" s="107" t="str">
        <f>B164</f>
        <v>VAT Payable - Paid During Period</v>
      </c>
      <c r="J222" s="14">
        <f t="shared" ref="J222:AS222" si="107">J164</f>
        <v>0</v>
      </c>
      <c r="K222" s="14">
        <f t="shared" si="107"/>
        <v>0</v>
      </c>
      <c r="L222" s="14">
        <f t="shared" ca="1" si="107"/>
        <v>44377.22531862546</v>
      </c>
      <c r="M222" s="14">
        <f t="shared" si="107"/>
        <v>0</v>
      </c>
      <c r="N222" s="14">
        <f t="shared" si="107"/>
        <v>0</v>
      </c>
      <c r="O222" s="14">
        <f t="shared" ca="1" si="107"/>
        <v>3653.5460204825827</v>
      </c>
      <c r="P222" s="14">
        <f t="shared" si="107"/>
        <v>0</v>
      </c>
      <c r="Q222" s="14">
        <f t="shared" si="107"/>
        <v>0</v>
      </c>
      <c r="R222" s="14">
        <f t="shared" ca="1" si="107"/>
        <v>3942.779184356129</v>
      </c>
      <c r="S222" s="14">
        <f t="shared" si="107"/>
        <v>0</v>
      </c>
      <c r="T222" s="14">
        <f t="shared" si="107"/>
        <v>0</v>
      </c>
      <c r="U222" s="14">
        <f t="shared" ca="1" si="107"/>
        <v>4095.9005239323878</v>
      </c>
      <c r="V222" s="14">
        <f t="shared" si="107"/>
        <v>0</v>
      </c>
      <c r="W222" s="14">
        <f t="shared" si="107"/>
        <v>0</v>
      </c>
      <c r="X222" s="14">
        <f t="shared" ca="1" si="107"/>
        <v>4107.1450747486451</v>
      </c>
      <c r="Y222" s="14">
        <f t="shared" si="107"/>
        <v>0</v>
      </c>
      <c r="Z222" s="14">
        <f t="shared" si="107"/>
        <v>0</v>
      </c>
      <c r="AA222" s="14">
        <f t="shared" ca="1" si="107"/>
        <v>4118.0881535961289</v>
      </c>
      <c r="AB222" s="14">
        <f t="shared" si="107"/>
        <v>0</v>
      </c>
      <c r="AC222" s="14">
        <f t="shared" si="107"/>
        <v>0</v>
      </c>
      <c r="AD222" s="14">
        <f t="shared" ca="1" si="107"/>
        <v>3938.3591485161296</v>
      </c>
      <c r="AE222" s="14">
        <f t="shared" si="107"/>
        <v>0</v>
      </c>
      <c r="AF222" s="14">
        <f t="shared" si="107"/>
        <v>0</v>
      </c>
      <c r="AG222" s="14">
        <f t="shared" ca="1" si="107"/>
        <v>3855.4627967948372</v>
      </c>
      <c r="AH222" s="14">
        <f t="shared" si="107"/>
        <v>0</v>
      </c>
      <c r="AI222" s="14">
        <f t="shared" si="107"/>
        <v>0</v>
      </c>
      <c r="AJ222" s="14">
        <f t="shared" ca="1" si="107"/>
        <v>3867.964643770325</v>
      </c>
      <c r="AK222" s="14">
        <f t="shared" si="107"/>
        <v>0</v>
      </c>
      <c r="AL222" s="14">
        <f t="shared" si="107"/>
        <v>0</v>
      </c>
      <c r="AM222" s="14">
        <f t="shared" ca="1" si="107"/>
        <v>3877.9994136309679</v>
      </c>
      <c r="AN222" s="14">
        <f t="shared" si="107"/>
        <v>0</v>
      </c>
      <c r="AO222" s="14">
        <f t="shared" si="107"/>
        <v>0</v>
      </c>
      <c r="AP222" s="14">
        <f t="shared" ca="1" si="107"/>
        <v>3857.9912172387103</v>
      </c>
      <c r="AQ222" s="14">
        <f t="shared" si="107"/>
        <v>0</v>
      </c>
      <c r="AR222" s="14">
        <f t="shared" si="107"/>
        <v>0</v>
      </c>
      <c r="AS222" s="14">
        <f t="shared" ca="1" si="107"/>
        <v>3849.7950610379339</v>
      </c>
    </row>
    <row r="223" spans="2:45" outlineLevel="1" x14ac:dyDescent="0.15">
      <c r="B223" s="16" t="str">
        <f>B165</f>
        <v>Closing VAT Payable</v>
      </c>
      <c r="J223" s="18">
        <f t="shared" ref="J223:AS223" ca="1" si="108">J165</f>
        <v>-43156.449339182793</v>
      </c>
      <c r="K223" s="18">
        <f t="shared" ca="1" si="108"/>
        <v>-44377.22531862546</v>
      </c>
      <c r="L223" s="18">
        <f t="shared" ca="1" si="108"/>
        <v>-1220.9798289204336</v>
      </c>
      <c r="M223" s="18">
        <f t="shared" ca="1" si="108"/>
        <v>-2446.0441253204344</v>
      </c>
      <c r="N223" s="18">
        <f t="shared" ca="1" si="108"/>
        <v>-3653.5460204825854</v>
      </c>
      <c r="O223" s="18">
        <f t="shared" ca="1" si="108"/>
        <v>-1217.2472087010779</v>
      </c>
      <c r="P223" s="18">
        <f t="shared" ca="1" si="108"/>
        <v>-2580.411894781078</v>
      </c>
      <c r="Q223" s="18">
        <f t="shared" ca="1" si="108"/>
        <v>-3942.7791843561313</v>
      </c>
      <c r="R223" s="18">
        <f t="shared" ca="1" si="108"/>
        <v>-1367.2941949973365</v>
      </c>
      <c r="S223" s="18">
        <f t="shared" ca="1" si="108"/>
        <v>-2748.0266892657237</v>
      </c>
      <c r="T223" s="18">
        <f t="shared" ca="1" si="108"/>
        <v>-4095.9005239323906</v>
      </c>
      <c r="U223" s="18">
        <f t="shared" ca="1" si="108"/>
        <v>-1377.2634161410788</v>
      </c>
      <c r="V223" s="18">
        <f t="shared" ca="1" si="108"/>
        <v>-2741.1942645539821</v>
      </c>
      <c r="W223" s="18">
        <f t="shared" ca="1" si="108"/>
        <v>-4107.1450747486479</v>
      </c>
      <c r="X223" s="18">
        <f t="shared" ca="1" si="108"/>
        <v>-1388.7659207397883</v>
      </c>
      <c r="Y223" s="18">
        <f t="shared" ca="1" si="108"/>
        <v>-2758.9528437397885</v>
      </c>
      <c r="Z223" s="18">
        <f t="shared" ca="1" si="108"/>
        <v>-4118.0881535961316</v>
      </c>
      <c r="AA223" s="18">
        <f t="shared" ca="1" si="108"/>
        <v>-1382.407051684304</v>
      </c>
      <c r="AB223" s="18">
        <f t="shared" ca="1" si="108"/>
        <v>-2654.9352244843049</v>
      </c>
      <c r="AC223" s="18">
        <f t="shared" ca="1" si="108"/>
        <v>-3938.3591485161323</v>
      </c>
      <c r="AD223" s="18">
        <f t="shared" ca="1" si="108"/>
        <v>-1286.5715197333357</v>
      </c>
      <c r="AE223" s="18">
        <f t="shared" ca="1" si="108"/>
        <v>-2575.8144858081741</v>
      </c>
      <c r="AF223" s="18">
        <f t="shared" ca="1" si="108"/>
        <v>-3855.46279679484</v>
      </c>
      <c r="AG223" s="18">
        <f t="shared" ca="1" si="108"/>
        <v>-1296.5319281823695</v>
      </c>
      <c r="AH223" s="18">
        <f t="shared" ca="1" si="108"/>
        <v>-2567.5412421436604</v>
      </c>
      <c r="AI223" s="18">
        <f t="shared" ca="1" si="108"/>
        <v>-3867.9646437703277</v>
      </c>
      <c r="AJ223" s="18">
        <f t="shared" ca="1" si="108"/>
        <v>-1311.3413536688195</v>
      </c>
      <c r="AK223" s="18">
        <f t="shared" ca="1" si="108"/>
        <v>-2589.9593536688199</v>
      </c>
      <c r="AL223" s="18">
        <f t="shared" ca="1" si="108"/>
        <v>-3877.9994136309706</v>
      </c>
      <c r="AM223" s="18">
        <f t="shared" ca="1" si="108"/>
        <v>-1291.2923050443032</v>
      </c>
      <c r="AN223" s="18">
        <f t="shared" ca="1" si="108"/>
        <v>-2563.0335210443045</v>
      </c>
      <c r="AO223" s="18">
        <f t="shared" ca="1" si="108"/>
        <v>-3857.991217238713</v>
      </c>
      <c r="AP223" s="18">
        <f t="shared" ca="1" si="108"/>
        <v>-1284.0888444693364</v>
      </c>
      <c r="AQ223" s="18">
        <f t="shared" ca="1" si="108"/>
        <v>-2559.5751386912707</v>
      </c>
      <c r="AR223" s="18">
        <f t="shared" ca="1" si="108"/>
        <v>-3849.7950610379366</v>
      </c>
      <c r="AS223" s="18">
        <f t="shared" ca="1" si="108"/>
        <v>-1294.0404402236591</v>
      </c>
    </row>
    <row r="224" spans="2:45" ht="6" customHeight="1" outlineLevel="1" x14ac:dyDescent="0.15"/>
    <row r="225" spans="2:45" outlineLevel="1" x14ac:dyDescent="0.15">
      <c r="B225" s="107" t="str">
        <f>B169</f>
        <v>VAT Rate (%)</v>
      </c>
      <c r="J225" s="25">
        <f t="shared" ref="J225:AS225" si="109">J169</f>
        <v>0.2</v>
      </c>
      <c r="K225" s="25">
        <f t="shared" si="109"/>
        <v>0.2</v>
      </c>
      <c r="L225" s="25">
        <f t="shared" si="109"/>
        <v>0.2</v>
      </c>
      <c r="M225" s="25">
        <f t="shared" si="109"/>
        <v>0.2</v>
      </c>
      <c r="N225" s="25">
        <f t="shared" si="109"/>
        <v>0.2</v>
      </c>
      <c r="O225" s="25">
        <f t="shared" si="109"/>
        <v>0.2</v>
      </c>
      <c r="P225" s="25">
        <f t="shared" si="109"/>
        <v>0.2</v>
      </c>
      <c r="Q225" s="25">
        <f t="shared" si="109"/>
        <v>0.2</v>
      </c>
      <c r="R225" s="25">
        <f t="shared" si="109"/>
        <v>0.2</v>
      </c>
      <c r="S225" s="25">
        <f t="shared" si="109"/>
        <v>0.2</v>
      </c>
      <c r="T225" s="25">
        <f t="shared" si="109"/>
        <v>0.2</v>
      </c>
      <c r="U225" s="25">
        <f t="shared" si="109"/>
        <v>0.2</v>
      </c>
      <c r="V225" s="25">
        <f t="shared" si="109"/>
        <v>0.2</v>
      </c>
      <c r="W225" s="25">
        <f t="shared" si="109"/>
        <v>0.2</v>
      </c>
      <c r="X225" s="25">
        <f t="shared" si="109"/>
        <v>0.2</v>
      </c>
      <c r="Y225" s="25">
        <f t="shared" si="109"/>
        <v>0.2</v>
      </c>
      <c r="Z225" s="25">
        <f t="shared" si="109"/>
        <v>0.2</v>
      </c>
      <c r="AA225" s="25">
        <f t="shared" si="109"/>
        <v>0.2</v>
      </c>
      <c r="AB225" s="25">
        <f t="shared" si="109"/>
        <v>0.2</v>
      </c>
      <c r="AC225" s="25">
        <f t="shared" si="109"/>
        <v>0.2</v>
      </c>
      <c r="AD225" s="25">
        <f t="shared" si="109"/>
        <v>0.2</v>
      </c>
      <c r="AE225" s="25">
        <f t="shared" si="109"/>
        <v>0.2</v>
      </c>
      <c r="AF225" s="25">
        <f t="shared" si="109"/>
        <v>0.2</v>
      </c>
      <c r="AG225" s="25">
        <f t="shared" si="109"/>
        <v>0.2</v>
      </c>
      <c r="AH225" s="25">
        <f t="shared" si="109"/>
        <v>0.2</v>
      </c>
      <c r="AI225" s="25">
        <f t="shared" si="109"/>
        <v>0.2</v>
      </c>
      <c r="AJ225" s="25">
        <f t="shared" si="109"/>
        <v>0.2</v>
      </c>
      <c r="AK225" s="25">
        <f t="shared" si="109"/>
        <v>0.2</v>
      </c>
      <c r="AL225" s="25">
        <f t="shared" si="109"/>
        <v>0.2</v>
      </c>
      <c r="AM225" s="25">
        <f t="shared" si="109"/>
        <v>0.2</v>
      </c>
      <c r="AN225" s="25">
        <f t="shared" si="109"/>
        <v>0.2</v>
      </c>
      <c r="AO225" s="25">
        <f t="shared" si="109"/>
        <v>0.2</v>
      </c>
      <c r="AP225" s="25">
        <f t="shared" si="109"/>
        <v>0.2</v>
      </c>
      <c r="AQ225" s="25">
        <f t="shared" si="109"/>
        <v>0.2</v>
      </c>
      <c r="AR225" s="25">
        <f t="shared" si="109"/>
        <v>0.2</v>
      </c>
      <c r="AS225" s="25">
        <f t="shared" si="109"/>
        <v>0.2</v>
      </c>
    </row>
    <row r="226" spans="2:45" outlineLevel="1" x14ac:dyDescent="0.15"/>
    <row r="227" spans="2:45" hidden="1" outlineLevel="2" x14ac:dyDescent="0.15">
      <c r="C227" s="107" t="s">
        <v>192</v>
      </c>
      <c r="J227" s="17">
        <f t="shared" ref="J227:AS227" ca="1" si="110">IF(ISERROR(J223+J225),1,0)</f>
        <v>0</v>
      </c>
      <c r="K227" s="17">
        <f t="shared" ca="1" si="110"/>
        <v>0</v>
      </c>
      <c r="L227" s="17">
        <f t="shared" ca="1" si="110"/>
        <v>0</v>
      </c>
      <c r="M227" s="17">
        <f t="shared" ca="1" si="110"/>
        <v>0</v>
      </c>
      <c r="N227" s="17">
        <f t="shared" ca="1" si="110"/>
        <v>0</v>
      </c>
      <c r="O227" s="17">
        <f t="shared" ca="1" si="110"/>
        <v>0</v>
      </c>
      <c r="P227" s="17">
        <f t="shared" ca="1" si="110"/>
        <v>0</v>
      </c>
      <c r="Q227" s="17">
        <f t="shared" ca="1" si="110"/>
        <v>0</v>
      </c>
      <c r="R227" s="17">
        <f t="shared" ca="1" si="110"/>
        <v>0</v>
      </c>
      <c r="S227" s="17">
        <f t="shared" ca="1" si="110"/>
        <v>0</v>
      </c>
      <c r="T227" s="17">
        <f t="shared" ca="1" si="110"/>
        <v>0</v>
      </c>
      <c r="U227" s="17">
        <f t="shared" ca="1" si="110"/>
        <v>0</v>
      </c>
      <c r="V227" s="17">
        <f t="shared" ca="1" si="110"/>
        <v>0</v>
      </c>
      <c r="W227" s="17">
        <f t="shared" ca="1" si="110"/>
        <v>0</v>
      </c>
      <c r="X227" s="17">
        <f t="shared" ca="1" si="110"/>
        <v>0</v>
      </c>
      <c r="Y227" s="17">
        <f t="shared" ca="1" si="110"/>
        <v>0</v>
      </c>
      <c r="Z227" s="17">
        <f t="shared" ca="1" si="110"/>
        <v>0</v>
      </c>
      <c r="AA227" s="17">
        <f t="shared" ca="1" si="110"/>
        <v>0</v>
      </c>
      <c r="AB227" s="17">
        <f t="shared" ca="1" si="110"/>
        <v>0</v>
      </c>
      <c r="AC227" s="17">
        <f t="shared" ca="1" si="110"/>
        <v>0</v>
      </c>
      <c r="AD227" s="17">
        <f t="shared" ca="1" si="110"/>
        <v>0</v>
      </c>
      <c r="AE227" s="17">
        <f t="shared" ca="1" si="110"/>
        <v>0</v>
      </c>
      <c r="AF227" s="17">
        <f t="shared" ca="1" si="110"/>
        <v>0</v>
      </c>
      <c r="AG227" s="17">
        <f t="shared" ca="1" si="110"/>
        <v>0</v>
      </c>
      <c r="AH227" s="17">
        <f t="shared" ca="1" si="110"/>
        <v>0</v>
      </c>
      <c r="AI227" s="17">
        <f t="shared" ca="1" si="110"/>
        <v>0</v>
      </c>
      <c r="AJ227" s="17">
        <f t="shared" ca="1" si="110"/>
        <v>0</v>
      </c>
      <c r="AK227" s="17">
        <f t="shared" ca="1" si="110"/>
        <v>0</v>
      </c>
      <c r="AL227" s="17">
        <f t="shared" ca="1" si="110"/>
        <v>0</v>
      </c>
      <c r="AM227" s="17">
        <f t="shared" ca="1" si="110"/>
        <v>0</v>
      </c>
      <c r="AN227" s="17">
        <f t="shared" ca="1" si="110"/>
        <v>0</v>
      </c>
      <c r="AO227" s="17">
        <f t="shared" ca="1" si="110"/>
        <v>0</v>
      </c>
      <c r="AP227" s="17">
        <f t="shared" ca="1" si="110"/>
        <v>0</v>
      </c>
      <c r="AQ227" s="17">
        <f t="shared" ca="1" si="110"/>
        <v>0</v>
      </c>
      <c r="AR227" s="17">
        <f t="shared" ca="1" si="110"/>
        <v>0</v>
      </c>
      <c r="AS227" s="17">
        <f t="shared" ca="1" si="110"/>
        <v>0</v>
      </c>
    </row>
    <row r="228" spans="2:45" hidden="1" outlineLevel="2" x14ac:dyDescent="0.15">
      <c r="C228" s="107" t="s">
        <v>541</v>
      </c>
      <c r="J228" s="42">
        <f t="shared" ref="J228:AS228" ca="1" si="111">IF(J227&lt;&gt;0,0,IF(ROUND(J223-SUM(J220:J222),5)&lt;&gt;0,1,0))</f>
        <v>0</v>
      </c>
      <c r="K228" s="42">
        <f t="shared" ca="1" si="111"/>
        <v>0</v>
      </c>
      <c r="L228" s="42">
        <f t="shared" ca="1" si="111"/>
        <v>0</v>
      </c>
      <c r="M228" s="42">
        <f t="shared" ca="1" si="111"/>
        <v>0</v>
      </c>
      <c r="N228" s="42">
        <f t="shared" ca="1" si="111"/>
        <v>0</v>
      </c>
      <c r="O228" s="42">
        <f t="shared" ca="1" si="111"/>
        <v>0</v>
      </c>
      <c r="P228" s="42">
        <f t="shared" ca="1" si="111"/>
        <v>0</v>
      </c>
      <c r="Q228" s="42">
        <f t="shared" ca="1" si="111"/>
        <v>0</v>
      </c>
      <c r="R228" s="42">
        <f t="shared" ca="1" si="111"/>
        <v>0</v>
      </c>
      <c r="S228" s="42">
        <f t="shared" ca="1" si="111"/>
        <v>0</v>
      </c>
      <c r="T228" s="42">
        <f t="shared" ca="1" si="111"/>
        <v>0</v>
      </c>
      <c r="U228" s="42">
        <f t="shared" ca="1" si="111"/>
        <v>0</v>
      </c>
      <c r="V228" s="42">
        <f t="shared" ca="1" si="111"/>
        <v>0</v>
      </c>
      <c r="W228" s="42">
        <f t="shared" ca="1" si="111"/>
        <v>0</v>
      </c>
      <c r="X228" s="42">
        <f t="shared" ca="1" si="111"/>
        <v>0</v>
      </c>
      <c r="Y228" s="42">
        <f t="shared" ca="1" si="111"/>
        <v>0</v>
      </c>
      <c r="Z228" s="42">
        <f t="shared" ca="1" si="111"/>
        <v>0</v>
      </c>
      <c r="AA228" s="42">
        <f t="shared" ca="1" si="111"/>
        <v>0</v>
      </c>
      <c r="AB228" s="42">
        <f t="shared" ca="1" si="111"/>
        <v>0</v>
      </c>
      <c r="AC228" s="42">
        <f t="shared" ca="1" si="111"/>
        <v>0</v>
      </c>
      <c r="AD228" s="42">
        <f t="shared" ca="1" si="111"/>
        <v>0</v>
      </c>
      <c r="AE228" s="42">
        <f t="shared" ca="1" si="111"/>
        <v>0</v>
      </c>
      <c r="AF228" s="42">
        <f t="shared" ca="1" si="111"/>
        <v>0</v>
      </c>
      <c r="AG228" s="42">
        <f t="shared" ca="1" si="111"/>
        <v>0</v>
      </c>
      <c r="AH228" s="42">
        <f t="shared" ca="1" si="111"/>
        <v>0</v>
      </c>
      <c r="AI228" s="42">
        <f t="shared" ca="1" si="111"/>
        <v>0</v>
      </c>
      <c r="AJ228" s="42">
        <f t="shared" ca="1" si="111"/>
        <v>0</v>
      </c>
      <c r="AK228" s="42">
        <f t="shared" ca="1" si="111"/>
        <v>0</v>
      </c>
      <c r="AL228" s="42">
        <f t="shared" ca="1" si="111"/>
        <v>0</v>
      </c>
      <c r="AM228" s="42">
        <f t="shared" ca="1" si="111"/>
        <v>0</v>
      </c>
      <c r="AN228" s="42">
        <f t="shared" ca="1" si="111"/>
        <v>0</v>
      </c>
      <c r="AO228" s="42">
        <f t="shared" ca="1" si="111"/>
        <v>0</v>
      </c>
      <c r="AP228" s="42">
        <f t="shared" ca="1" si="111"/>
        <v>0</v>
      </c>
      <c r="AQ228" s="42">
        <f t="shared" ca="1" si="111"/>
        <v>0</v>
      </c>
      <c r="AR228" s="42">
        <f t="shared" ca="1" si="111"/>
        <v>0</v>
      </c>
      <c r="AS228" s="42">
        <f t="shared" ca="1" si="111"/>
        <v>0</v>
      </c>
    </row>
    <row r="229" spans="2:45" outlineLevel="1" collapsed="1" x14ac:dyDescent="0.15">
      <c r="B229" s="107" t="s">
        <v>335</v>
      </c>
      <c r="I229" s="22">
        <f ca="1">IF(ISERROR(SUM(J229:AS229)),1,MIN(SUM(J229:AS229),1))</f>
        <v>0</v>
      </c>
      <c r="J229" s="17">
        <f t="shared" ref="J229:AS229" ca="1" si="112">IF(ISERROR(SUM(J227:J228)),1,MIN(1,SUM(J227:J228)))</f>
        <v>0</v>
      </c>
      <c r="K229" s="17">
        <f t="shared" ca="1" si="112"/>
        <v>0</v>
      </c>
      <c r="L229" s="17">
        <f t="shared" ca="1" si="112"/>
        <v>0</v>
      </c>
      <c r="M229" s="17">
        <f t="shared" ca="1" si="112"/>
        <v>0</v>
      </c>
      <c r="N229" s="17">
        <f t="shared" ca="1" si="112"/>
        <v>0</v>
      </c>
      <c r="O229" s="17">
        <f t="shared" ca="1" si="112"/>
        <v>0</v>
      </c>
      <c r="P229" s="17">
        <f t="shared" ca="1" si="112"/>
        <v>0</v>
      </c>
      <c r="Q229" s="17">
        <f t="shared" ca="1" si="112"/>
        <v>0</v>
      </c>
      <c r="R229" s="17">
        <f t="shared" ca="1" si="112"/>
        <v>0</v>
      </c>
      <c r="S229" s="17">
        <f t="shared" ca="1" si="112"/>
        <v>0</v>
      </c>
      <c r="T229" s="17">
        <f t="shared" ca="1" si="112"/>
        <v>0</v>
      </c>
      <c r="U229" s="17">
        <f t="shared" ca="1" si="112"/>
        <v>0</v>
      </c>
      <c r="V229" s="17">
        <f t="shared" ca="1" si="112"/>
        <v>0</v>
      </c>
      <c r="W229" s="17">
        <f t="shared" ca="1" si="112"/>
        <v>0</v>
      </c>
      <c r="X229" s="17">
        <f t="shared" ca="1" si="112"/>
        <v>0</v>
      </c>
      <c r="Y229" s="17">
        <f t="shared" ca="1" si="112"/>
        <v>0</v>
      </c>
      <c r="Z229" s="17">
        <f t="shared" ca="1" si="112"/>
        <v>0</v>
      </c>
      <c r="AA229" s="17">
        <f t="shared" ca="1" si="112"/>
        <v>0</v>
      </c>
      <c r="AB229" s="17">
        <f t="shared" ca="1" si="112"/>
        <v>0</v>
      </c>
      <c r="AC229" s="17">
        <f t="shared" ca="1" si="112"/>
        <v>0</v>
      </c>
      <c r="AD229" s="17">
        <f t="shared" ca="1" si="112"/>
        <v>0</v>
      </c>
      <c r="AE229" s="17">
        <f t="shared" ca="1" si="112"/>
        <v>0</v>
      </c>
      <c r="AF229" s="17">
        <f t="shared" ca="1" si="112"/>
        <v>0</v>
      </c>
      <c r="AG229" s="17">
        <f t="shared" ca="1" si="112"/>
        <v>0</v>
      </c>
      <c r="AH229" s="17">
        <f t="shared" ca="1" si="112"/>
        <v>0</v>
      </c>
      <c r="AI229" s="17">
        <f t="shared" ca="1" si="112"/>
        <v>0</v>
      </c>
      <c r="AJ229" s="17">
        <f t="shared" ca="1" si="112"/>
        <v>0</v>
      </c>
      <c r="AK229" s="17">
        <f t="shared" ca="1" si="112"/>
        <v>0</v>
      </c>
      <c r="AL229" s="17">
        <f t="shared" ca="1" si="112"/>
        <v>0</v>
      </c>
      <c r="AM229" s="17">
        <f t="shared" ca="1" si="112"/>
        <v>0</v>
      </c>
      <c r="AN229" s="17">
        <f t="shared" ca="1" si="112"/>
        <v>0</v>
      </c>
      <c r="AO229" s="17">
        <f t="shared" ca="1" si="112"/>
        <v>0</v>
      </c>
      <c r="AP229" s="17">
        <f t="shared" ca="1" si="112"/>
        <v>0</v>
      </c>
      <c r="AQ229" s="17">
        <f t="shared" ca="1" si="112"/>
        <v>0</v>
      </c>
      <c r="AR229" s="17">
        <f t="shared" ca="1" si="112"/>
        <v>0</v>
      </c>
      <c r="AS229" s="17">
        <f t="shared" ca="1" si="112"/>
        <v>0</v>
      </c>
    </row>
    <row r="231" spans="2:45" x14ac:dyDescent="0.15">
      <c r="B231" s="1" t="s">
        <v>542</v>
      </c>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2:45" outlineLevel="1" x14ac:dyDescent="0.15"/>
    <row r="233" spans="2:45" outlineLevel="1" x14ac:dyDescent="0.15">
      <c r="B233" s="108" t="s">
        <v>543</v>
      </c>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row>
    <row r="234" spans="2:45" outlineLevel="1" x14ac:dyDescent="0.15"/>
    <row r="235" spans="2:45" outlineLevel="1" x14ac:dyDescent="0.15">
      <c r="B235" s="107" t="s">
        <v>544</v>
      </c>
      <c r="H235" s="4">
        <v>6</v>
      </c>
    </row>
    <row r="236" spans="2:45" outlineLevel="1" x14ac:dyDescent="0.15">
      <c r="B236" s="107" t="s">
        <v>545</v>
      </c>
      <c r="I236" s="167">
        <v>0.21</v>
      </c>
    </row>
    <row r="237" spans="2:45" outlineLevel="1" x14ac:dyDescent="0.15"/>
    <row r="238" spans="2:45" outlineLevel="1" x14ac:dyDescent="0.15">
      <c r="B238" s="108" t="s">
        <v>546</v>
      </c>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row>
    <row r="239" spans="2:45" outlineLevel="1" x14ac:dyDescent="0.15">
      <c r="I239" s="152">
        <f>Ts_Start_Date</f>
        <v>45139</v>
      </c>
    </row>
    <row r="240" spans="2:45" outlineLevel="1" x14ac:dyDescent="0.15">
      <c r="B240" s="107" t="s">
        <v>547</v>
      </c>
      <c r="I240" s="190">
        <v>0</v>
      </c>
      <c r="J240" s="107" t="s">
        <v>548</v>
      </c>
    </row>
    <row r="241" spans="2:45" outlineLevel="1" x14ac:dyDescent="0.15">
      <c r="B241" s="107" t="s">
        <v>549</v>
      </c>
      <c r="I241" s="14">
        <f>OBS!J41</f>
        <v>0</v>
      </c>
    </row>
    <row r="242" spans="2:45" outlineLevel="1" x14ac:dyDescent="0.15">
      <c r="B242" s="107" t="str">
        <f>B241&amp;" Payment Delay (Months)"</f>
        <v>Opening Tax Payable Payment Delay (Months)</v>
      </c>
      <c r="I242" s="166">
        <v>1</v>
      </c>
    </row>
    <row r="243" spans="2:45" outlineLevel="1" x14ac:dyDescent="0.15">
      <c r="B243" s="107" t="str">
        <f>"% Paid During "&amp;TEXT(EDATE(Ts_Start_Date,I242-1),"mmmm yyyy")</f>
        <v>% Paid During August 2023</v>
      </c>
      <c r="I243" s="173">
        <v>1</v>
      </c>
    </row>
    <row r="244" spans="2:45" outlineLevel="1" x14ac:dyDescent="0.15"/>
    <row r="245" spans="2:45" outlineLevel="1" x14ac:dyDescent="0.15">
      <c r="B245" s="108" t="s">
        <v>550</v>
      </c>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row>
    <row r="246" spans="2:45" outlineLevel="1" x14ac:dyDescent="0.15"/>
    <row r="247" spans="2:45" outlineLevel="1" x14ac:dyDescent="0.15">
      <c r="B247" s="16" t="s">
        <v>79</v>
      </c>
    </row>
    <row r="248" spans="2:45" outlineLevel="1" x14ac:dyDescent="0.15">
      <c r="B248" s="107" t="s">
        <v>79</v>
      </c>
      <c r="J248" s="14">
        <f ca="1">Financials!J74</f>
        <v>-7112.4718497491049</v>
      </c>
      <c r="K248" s="14">
        <f ca="1">Financials!K74</f>
        <v>-7882.7240998844463</v>
      </c>
      <c r="L248" s="14">
        <f ca="1">Financials!L74</f>
        <v>-7729.4652597562726</v>
      </c>
      <c r="M248" s="14">
        <f ca="1">Financials!M74</f>
        <v>-6692.5382937777777</v>
      </c>
      <c r="N248" s="14">
        <f ca="1">Financials!N74</f>
        <v>-10364.783474070253</v>
      </c>
      <c r="O248" s="14">
        <f ca="1">Financials!O74</f>
        <v>-8154.5365987240157</v>
      </c>
      <c r="P248" s="14">
        <f ca="1">Financials!P74</f>
        <v>-8420.2483729777778</v>
      </c>
      <c r="Q248" s="14">
        <f ca="1">Financials!Q74</f>
        <v>-8452.8934254250908</v>
      </c>
      <c r="R248" s="14">
        <f ca="1">Financials!R74</f>
        <v>-9644.7014192711104</v>
      </c>
      <c r="S248" s="14">
        <f ca="1">Financials!S74</f>
        <v>-8971.7403971584245</v>
      </c>
      <c r="T248" s="14">
        <f ca="1">Financials!T74</f>
        <v>-8788.8003644444452</v>
      </c>
      <c r="U248" s="14">
        <f ca="1">Financials!U74</f>
        <v>-9447.6693323240142</v>
      </c>
      <c r="V248" s="14">
        <f ca="1">Financials!V74</f>
        <v>-9918.5109891326174</v>
      </c>
      <c r="W248" s="14">
        <f ca="1">Financials!W74</f>
        <v>-6915.8129987644452</v>
      </c>
      <c r="X248" s="14">
        <f ca="1">Financials!X74</f>
        <v>-6611.3433247885323</v>
      </c>
      <c r="Y248" s="14">
        <f ca="1">Financials!Y74</f>
        <v>-5703.6046477777791</v>
      </c>
      <c r="Z248" s="14">
        <f ca="1">Financials!Z74</f>
        <v>-10400.940800160573</v>
      </c>
      <c r="AA248" s="14">
        <f ca="1">Financials!AA74</f>
        <v>-7578.3419087627253</v>
      </c>
      <c r="AB248" s="14">
        <f ca="1">Financials!AB74</f>
        <v>-6722.619009777778</v>
      </c>
      <c r="AC248" s="14">
        <f ca="1">Financials!AC74</f>
        <v>-6711.8671489863809</v>
      </c>
      <c r="AD248" s="14">
        <f ca="1">Financials!AD74</f>
        <v>-8303.0657271111122</v>
      </c>
      <c r="AE248" s="14">
        <f ca="1">Financials!AE74</f>
        <v>-7575.7188468358427</v>
      </c>
      <c r="AF248" s="14">
        <f ca="1">Financials!AF74</f>
        <v>-7112.8978252444449</v>
      </c>
      <c r="AG248" s="14">
        <f ca="1">Financials!AG74</f>
        <v>-8117.5244214594995</v>
      </c>
      <c r="AH248" s="14">
        <f ca="1">Financials!AH74</f>
        <v>-8615.7589917132627</v>
      </c>
      <c r="AI248" s="14">
        <f ca="1">Financials!AI74</f>
        <v>-4452.207966844443</v>
      </c>
      <c r="AJ248" s="14">
        <f ca="1">Financials!AJ74</f>
        <v>-4340.992110336917</v>
      </c>
      <c r="AK248" s="14">
        <f ca="1">Financials!AK74</f>
        <v>-4099.727777777779</v>
      </c>
      <c r="AL248" s="14">
        <f ca="1">Financials!AL74</f>
        <v>-9161.9791860702535</v>
      </c>
      <c r="AM248" s="14">
        <f ca="1">Financials!AM74</f>
        <v>-5989.6791271627235</v>
      </c>
      <c r="AN248" s="14">
        <f ca="1">Financials!AN74</f>
        <v>-5275.7968177777784</v>
      </c>
      <c r="AO248" s="14">
        <f ca="1">Financials!AO74</f>
        <v>-4902.5107024573463</v>
      </c>
      <c r="AP248" s="14">
        <f ca="1">Financials!AP74</f>
        <v>-7141.7200349511104</v>
      </c>
      <c r="AQ248" s="14">
        <f ca="1">Financials!AQ74</f>
        <v>-6456.7578618810039</v>
      </c>
      <c r="AR248" s="14">
        <f ca="1">Financials!AR74</f>
        <v>-5514.3420636444425</v>
      </c>
      <c r="AS248" s="14">
        <f ca="1">Financials!AS74</f>
        <v>-6962.8895105949832</v>
      </c>
    </row>
    <row r="249" spans="2:45" outlineLevel="1" x14ac:dyDescent="0.15"/>
    <row r="250" spans="2:45" outlineLevel="1" x14ac:dyDescent="0.15">
      <c r="B250" s="16" t="s">
        <v>551</v>
      </c>
    </row>
    <row r="251" spans="2:45" outlineLevel="1" x14ac:dyDescent="0.15">
      <c r="B251" s="107" t="s">
        <v>552</v>
      </c>
      <c r="J251" s="165">
        <v>0</v>
      </c>
      <c r="K251" s="165">
        <v>0</v>
      </c>
      <c r="L251" s="165">
        <v>0</v>
      </c>
      <c r="M251" s="165">
        <v>0</v>
      </c>
      <c r="N251" s="165">
        <v>0</v>
      </c>
      <c r="O251" s="165">
        <v>0</v>
      </c>
      <c r="P251" s="165">
        <v>0</v>
      </c>
      <c r="Q251" s="165">
        <v>0</v>
      </c>
      <c r="R251" s="165">
        <v>0</v>
      </c>
      <c r="S251" s="165">
        <v>0</v>
      </c>
      <c r="T251" s="165">
        <v>0</v>
      </c>
      <c r="U251" s="165">
        <v>0</v>
      </c>
      <c r="V251" s="165">
        <v>0</v>
      </c>
      <c r="W251" s="165">
        <v>0</v>
      </c>
      <c r="X251" s="165">
        <v>0</v>
      </c>
      <c r="Y251" s="165">
        <v>0</v>
      </c>
      <c r="Z251" s="165">
        <v>0</v>
      </c>
      <c r="AA251" s="165">
        <v>0</v>
      </c>
      <c r="AB251" s="165">
        <v>0</v>
      </c>
      <c r="AC251" s="165">
        <v>0</v>
      </c>
      <c r="AD251" s="165">
        <v>0</v>
      </c>
      <c r="AE251" s="165">
        <v>0</v>
      </c>
      <c r="AF251" s="165">
        <v>0</v>
      </c>
      <c r="AG251" s="165">
        <v>0</v>
      </c>
      <c r="AH251" s="165">
        <v>0</v>
      </c>
      <c r="AI251" s="165">
        <v>0</v>
      </c>
      <c r="AJ251" s="165">
        <v>0</v>
      </c>
      <c r="AK251" s="165">
        <v>0</v>
      </c>
      <c r="AL251" s="165">
        <v>0</v>
      </c>
      <c r="AM251" s="165">
        <v>0</v>
      </c>
      <c r="AN251" s="165">
        <v>0</v>
      </c>
      <c r="AO251" s="165">
        <v>0</v>
      </c>
      <c r="AP251" s="165">
        <v>0</v>
      </c>
      <c r="AQ251" s="165">
        <v>0</v>
      </c>
      <c r="AR251" s="165">
        <v>0</v>
      </c>
      <c r="AS251" s="165">
        <v>0</v>
      </c>
    </row>
    <row r="252" spans="2:45" outlineLevel="1" x14ac:dyDescent="0.15">
      <c r="B252" s="107" t="s">
        <v>553</v>
      </c>
      <c r="J252" s="165">
        <v>0</v>
      </c>
      <c r="K252" s="165">
        <v>0</v>
      </c>
      <c r="L252" s="165">
        <v>0</v>
      </c>
      <c r="M252" s="165">
        <v>0</v>
      </c>
      <c r="N252" s="165">
        <v>0</v>
      </c>
      <c r="O252" s="165">
        <v>0</v>
      </c>
      <c r="P252" s="165">
        <v>0</v>
      </c>
      <c r="Q252" s="165">
        <v>0</v>
      </c>
      <c r="R252" s="165">
        <v>0</v>
      </c>
      <c r="S252" s="165">
        <v>0</v>
      </c>
      <c r="T252" s="165">
        <v>0</v>
      </c>
      <c r="U252" s="165">
        <v>0</v>
      </c>
      <c r="V252" s="165">
        <v>0</v>
      </c>
      <c r="W252" s="165">
        <v>0</v>
      </c>
      <c r="X252" s="165">
        <v>0</v>
      </c>
      <c r="Y252" s="165">
        <v>0</v>
      </c>
      <c r="Z252" s="165">
        <v>0</v>
      </c>
      <c r="AA252" s="165">
        <v>0</v>
      </c>
      <c r="AB252" s="165">
        <v>0</v>
      </c>
      <c r="AC252" s="165">
        <v>0</v>
      </c>
      <c r="AD252" s="165">
        <v>0</v>
      </c>
      <c r="AE252" s="165">
        <v>0</v>
      </c>
      <c r="AF252" s="165">
        <v>0</v>
      </c>
      <c r="AG252" s="165">
        <v>0</v>
      </c>
      <c r="AH252" s="165">
        <v>0</v>
      </c>
      <c r="AI252" s="165">
        <v>0</v>
      </c>
      <c r="AJ252" s="165">
        <v>0</v>
      </c>
      <c r="AK252" s="165">
        <v>0</v>
      </c>
      <c r="AL252" s="165">
        <v>0</v>
      </c>
      <c r="AM252" s="165">
        <v>0</v>
      </c>
      <c r="AN252" s="165">
        <v>0</v>
      </c>
      <c r="AO252" s="165">
        <v>0</v>
      </c>
      <c r="AP252" s="165">
        <v>0</v>
      </c>
      <c r="AQ252" s="165">
        <v>0</v>
      </c>
      <c r="AR252" s="165">
        <v>0</v>
      </c>
      <c r="AS252" s="165">
        <v>0</v>
      </c>
    </row>
    <row r="253" spans="2:45" outlineLevel="1" x14ac:dyDescent="0.15">
      <c r="B253" s="107" t="s">
        <v>554</v>
      </c>
      <c r="J253" s="165">
        <v>0</v>
      </c>
      <c r="K253" s="165">
        <v>0</v>
      </c>
      <c r="L253" s="165">
        <v>0</v>
      </c>
      <c r="M253" s="165">
        <v>0</v>
      </c>
      <c r="N253" s="165">
        <v>0</v>
      </c>
      <c r="O253" s="165">
        <v>0</v>
      </c>
      <c r="P253" s="165">
        <v>0</v>
      </c>
      <c r="Q253" s="165">
        <v>0</v>
      </c>
      <c r="R253" s="165">
        <v>0</v>
      </c>
      <c r="S253" s="165">
        <v>0</v>
      </c>
      <c r="T253" s="165">
        <v>0</v>
      </c>
      <c r="U253" s="165">
        <v>0</v>
      </c>
      <c r="V253" s="165">
        <v>0</v>
      </c>
      <c r="W253" s="165">
        <v>0</v>
      </c>
      <c r="X253" s="165">
        <v>0</v>
      </c>
      <c r="Y253" s="165">
        <v>0</v>
      </c>
      <c r="Z253" s="165">
        <v>0</v>
      </c>
      <c r="AA253" s="165">
        <v>0</v>
      </c>
      <c r="AB253" s="165">
        <v>0</v>
      </c>
      <c r="AC253" s="165">
        <v>0</v>
      </c>
      <c r="AD253" s="165">
        <v>0</v>
      </c>
      <c r="AE253" s="165">
        <v>0</v>
      </c>
      <c r="AF253" s="165">
        <v>0</v>
      </c>
      <c r="AG253" s="165">
        <v>0</v>
      </c>
      <c r="AH253" s="165">
        <v>0</v>
      </c>
      <c r="AI253" s="165">
        <v>0</v>
      </c>
      <c r="AJ253" s="165">
        <v>0</v>
      </c>
      <c r="AK253" s="165">
        <v>0</v>
      </c>
      <c r="AL253" s="165">
        <v>0</v>
      </c>
      <c r="AM253" s="165">
        <v>0</v>
      </c>
      <c r="AN253" s="165">
        <v>0</v>
      </c>
      <c r="AO253" s="165">
        <v>0</v>
      </c>
      <c r="AP253" s="165">
        <v>0</v>
      </c>
      <c r="AQ253" s="165">
        <v>0</v>
      </c>
      <c r="AR253" s="165">
        <v>0</v>
      </c>
      <c r="AS253" s="165">
        <v>0</v>
      </c>
    </row>
    <row r="254" spans="2:45" outlineLevel="1" x14ac:dyDescent="0.15">
      <c r="B254" s="107" t="s">
        <v>555</v>
      </c>
      <c r="J254" s="165">
        <v>0</v>
      </c>
      <c r="K254" s="165">
        <v>0</v>
      </c>
      <c r="L254" s="165">
        <v>0</v>
      </c>
      <c r="M254" s="165">
        <v>0</v>
      </c>
      <c r="N254" s="165">
        <v>0</v>
      </c>
      <c r="O254" s="165">
        <v>0</v>
      </c>
      <c r="P254" s="165">
        <v>0</v>
      </c>
      <c r="Q254" s="165">
        <v>0</v>
      </c>
      <c r="R254" s="165">
        <v>0</v>
      </c>
      <c r="S254" s="165">
        <v>0</v>
      </c>
      <c r="T254" s="165">
        <v>0</v>
      </c>
      <c r="U254" s="165">
        <v>0</v>
      </c>
      <c r="V254" s="165">
        <v>0</v>
      </c>
      <c r="W254" s="165">
        <v>0</v>
      </c>
      <c r="X254" s="165">
        <v>0</v>
      </c>
      <c r="Y254" s="165">
        <v>0</v>
      </c>
      <c r="Z254" s="165">
        <v>0</v>
      </c>
      <c r="AA254" s="165">
        <v>0</v>
      </c>
      <c r="AB254" s="165">
        <v>0</v>
      </c>
      <c r="AC254" s="165">
        <v>0</v>
      </c>
      <c r="AD254" s="165">
        <v>0</v>
      </c>
      <c r="AE254" s="165">
        <v>0</v>
      </c>
      <c r="AF254" s="165">
        <v>0</v>
      </c>
      <c r="AG254" s="165">
        <v>0</v>
      </c>
      <c r="AH254" s="165">
        <v>0</v>
      </c>
      <c r="AI254" s="165">
        <v>0</v>
      </c>
      <c r="AJ254" s="165">
        <v>0</v>
      </c>
      <c r="AK254" s="165">
        <v>0</v>
      </c>
      <c r="AL254" s="165">
        <v>0</v>
      </c>
      <c r="AM254" s="165">
        <v>0</v>
      </c>
      <c r="AN254" s="165">
        <v>0</v>
      </c>
      <c r="AO254" s="165">
        <v>0</v>
      </c>
      <c r="AP254" s="165">
        <v>0</v>
      </c>
      <c r="AQ254" s="165">
        <v>0</v>
      </c>
      <c r="AR254" s="165">
        <v>0</v>
      </c>
      <c r="AS254" s="165">
        <v>0</v>
      </c>
    </row>
    <row r="255" spans="2:45" ht="6" customHeight="1" outlineLevel="1" x14ac:dyDescent="0.15"/>
    <row r="256" spans="2:45" outlineLevel="1" x14ac:dyDescent="0.15">
      <c r="B256" s="16" t="s">
        <v>556</v>
      </c>
    </row>
    <row r="257" spans="2:45" outlineLevel="1" x14ac:dyDescent="0.15">
      <c r="B257" s="338" t="s">
        <v>557</v>
      </c>
      <c r="C257" s="338"/>
      <c r="D257" s="338"/>
      <c r="E257" s="338"/>
      <c r="F257" s="338"/>
      <c r="G257" s="338"/>
      <c r="H257" s="338"/>
      <c r="J257" s="165">
        <v>0</v>
      </c>
      <c r="K257" s="165">
        <v>0</v>
      </c>
      <c r="L257" s="165">
        <v>0</v>
      </c>
      <c r="M257" s="165">
        <v>0</v>
      </c>
      <c r="N257" s="165">
        <v>0</v>
      </c>
      <c r="O257" s="165">
        <v>0</v>
      </c>
      <c r="P257" s="165">
        <v>0</v>
      </c>
      <c r="Q257" s="165">
        <v>0</v>
      </c>
      <c r="R257" s="165">
        <v>0</v>
      </c>
      <c r="S257" s="165">
        <v>0</v>
      </c>
      <c r="T257" s="165">
        <v>0</v>
      </c>
      <c r="U257" s="165">
        <v>0</v>
      </c>
      <c r="V257" s="165">
        <v>0</v>
      </c>
      <c r="W257" s="165">
        <v>0</v>
      </c>
      <c r="X257" s="165">
        <v>0</v>
      </c>
      <c r="Y257" s="165">
        <v>0</v>
      </c>
      <c r="Z257" s="165">
        <v>0</v>
      </c>
      <c r="AA257" s="165">
        <v>0</v>
      </c>
      <c r="AB257" s="165">
        <v>0</v>
      </c>
      <c r="AC257" s="165">
        <v>0</v>
      </c>
      <c r="AD257" s="165">
        <v>0</v>
      </c>
      <c r="AE257" s="165">
        <v>0</v>
      </c>
      <c r="AF257" s="165">
        <v>0</v>
      </c>
      <c r="AG257" s="165">
        <v>0</v>
      </c>
      <c r="AH257" s="165">
        <v>0</v>
      </c>
      <c r="AI257" s="165">
        <v>0</v>
      </c>
      <c r="AJ257" s="165">
        <v>0</v>
      </c>
      <c r="AK257" s="165">
        <v>0</v>
      </c>
      <c r="AL257" s="165">
        <v>0</v>
      </c>
      <c r="AM257" s="165">
        <v>0</v>
      </c>
      <c r="AN257" s="165">
        <v>0</v>
      </c>
      <c r="AO257" s="165">
        <v>0</v>
      </c>
      <c r="AP257" s="165">
        <v>0</v>
      </c>
      <c r="AQ257" s="165">
        <v>0</v>
      </c>
      <c r="AR257" s="165">
        <v>0</v>
      </c>
      <c r="AS257" s="165">
        <v>0</v>
      </c>
    </row>
    <row r="258" spans="2:45" outlineLevel="1" x14ac:dyDescent="0.15">
      <c r="B258" s="338" t="s">
        <v>558</v>
      </c>
      <c r="C258" s="338"/>
      <c r="D258" s="338"/>
      <c r="E258" s="338"/>
      <c r="F258" s="338"/>
      <c r="G258" s="338"/>
      <c r="H258" s="338"/>
      <c r="J258" s="165">
        <v>0</v>
      </c>
      <c r="K258" s="165">
        <v>0</v>
      </c>
      <c r="L258" s="165">
        <v>0</v>
      </c>
      <c r="M258" s="165">
        <v>0</v>
      </c>
      <c r="N258" s="165">
        <v>0</v>
      </c>
      <c r="O258" s="165">
        <v>0</v>
      </c>
      <c r="P258" s="165">
        <v>0</v>
      </c>
      <c r="Q258" s="165">
        <v>0</v>
      </c>
      <c r="R258" s="165">
        <v>0</v>
      </c>
      <c r="S258" s="165">
        <v>0</v>
      </c>
      <c r="T258" s="165">
        <v>0</v>
      </c>
      <c r="U258" s="165">
        <v>0</v>
      </c>
      <c r="V258" s="165">
        <v>0</v>
      </c>
      <c r="W258" s="165">
        <v>0</v>
      </c>
      <c r="X258" s="165">
        <v>0</v>
      </c>
      <c r="Y258" s="165">
        <v>0</v>
      </c>
      <c r="Z258" s="165">
        <v>0</v>
      </c>
      <c r="AA258" s="165">
        <v>0</v>
      </c>
      <c r="AB258" s="165">
        <v>0</v>
      </c>
      <c r="AC258" s="165">
        <v>0</v>
      </c>
      <c r="AD258" s="165">
        <v>0</v>
      </c>
      <c r="AE258" s="165">
        <v>0</v>
      </c>
      <c r="AF258" s="165">
        <v>0</v>
      </c>
      <c r="AG258" s="165">
        <v>0</v>
      </c>
      <c r="AH258" s="165">
        <v>0</v>
      </c>
      <c r="AI258" s="165">
        <v>0</v>
      </c>
      <c r="AJ258" s="165">
        <v>0</v>
      </c>
      <c r="AK258" s="165">
        <v>0</v>
      </c>
      <c r="AL258" s="165">
        <v>0</v>
      </c>
      <c r="AM258" s="165">
        <v>0</v>
      </c>
      <c r="AN258" s="165">
        <v>0</v>
      </c>
      <c r="AO258" s="165">
        <v>0</v>
      </c>
      <c r="AP258" s="165">
        <v>0</v>
      </c>
      <c r="AQ258" s="165">
        <v>0</v>
      </c>
      <c r="AR258" s="165">
        <v>0</v>
      </c>
      <c r="AS258" s="165">
        <v>0</v>
      </c>
    </row>
    <row r="259" spans="2:45" outlineLevel="1" x14ac:dyDescent="0.15">
      <c r="B259" s="338" t="s">
        <v>559</v>
      </c>
      <c r="C259" s="338"/>
      <c r="D259" s="338"/>
      <c r="E259" s="338"/>
      <c r="F259" s="338"/>
      <c r="G259" s="338"/>
      <c r="H259" s="338"/>
      <c r="J259" s="188">
        <v>0</v>
      </c>
      <c r="K259" s="188">
        <v>0</v>
      </c>
      <c r="L259" s="188">
        <v>0</v>
      </c>
      <c r="M259" s="188">
        <v>0</v>
      </c>
      <c r="N259" s="188">
        <v>0</v>
      </c>
      <c r="O259" s="188">
        <v>0</v>
      </c>
      <c r="P259" s="188">
        <v>0</v>
      </c>
      <c r="Q259" s="188">
        <v>0</v>
      </c>
      <c r="R259" s="188">
        <v>0</v>
      </c>
      <c r="S259" s="188">
        <v>0</v>
      </c>
      <c r="T259" s="188">
        <v>0</v>
      </c>
      <c r="U259" s="188">
        <v>0</v>
      </c>
      <c r="V259" s="188">
        <v>0</v>
      </c>
      <c r="W259" s="188">
        <v>0</v>
      </c>
      <c r="X259" s="188">
        <v>0</v>
      </c>
      <c r="Y259" s="188">
        <v>0</v>
      </c>
      <c r="Z259" s="188">
        <v>0</v>
      </c>
      <c r="AA259" s="188">
        <v>0</v>
      </c>
      <c r="AB259" s="188">
        <v>0</v>
      </c>
      <c r="AC259" s="188">
        <v>0</v>
      </c>
      <c r="AD259" s="188">
        <v>0</v>
      </c>
      <c r="AE259" s="188">
        <v>0</v>
      </c>
      <c r="AF259" s="188">
        <v>0</v>
      </c>
      <c r="AG259" s="188">
        <v>0</v>
      </c>
      <c r="AH259" s="188">
        <v>0</v>
      </c>
      <c r="AI259" s="188">
        <v>0</v>
      </c>
      <c r="AJ259" s="188">
        <v>0</v>
      </c>
      <c r="AK259" s="188">
        <v>0</v>
      </c>
      <c r="AL259" s="188">
        <v>0</v>
      </c>
      <c r="AM259" s="188">
        <v>0</v>
      </c>
      <c r="AN259" s="188">
        <v>0</v>
      </c>
      <c r="AO259" s="188">
        <v>0</v>
      </c>
      <c r="AP259" s="188">
        <v>0</v>
      </c>
      <c r="AQ259" s="188">
        <v>0</v>
      </c>
      <c r="AR259" s="188">
        <v>0</v>
      </c>
      <c r="AS259" s="188">
        <v>0</v>
      </c>
    </row>
    <row r="260" spans="2:45" outlineLevel="1" x14ac:dyDescent="0.15">
      <c r="B260" s="341" t="str">
        <f>"Total "&amp;B256</f>
        <v>Total Other Adjustments</v>
      </c>
      <c r="C260" s="341"/>
      <c r="D260" s="341"/>
      <c r="E260" s="341"/>
      <c r="F260" s="341"/>
      <c r="G260" s="341"/>
      <c r="H260" s="341"/>
      <c r="J260" s="15">
        <f t="shared" ref="J260:AS260" si="113">SUM(J257:J259)</f>
        <v>0</v>
      </c>
      <c r="K260" s="15">
        <f t="shared" si="113"/>
        <v>0</v>
      </c>
      <c r="L260" s="15">
        <f t="shared" si="113"/>
        <v>0</v>
      </c>
      <c r="M260" s="15">
        <f t="shared" si="113"/>
        <v>0</v>
      </c>
      <c r="N260" s="15">
        <f t="shared" si="113"/>
        <v>0</v>
      </c>
      <c r="O260" s="15">
        <f t="shared" si="113"/>
        <v>0</v>
      </c>
      <c r="P260" s="15">
        <f t="shared" si="113"/>
        <v>0</v>
      </c>
      <c r="Q260" s="15">
        <f t="shared" si="113"/>
        <v>0</v>
      </c>
      <c r="R260" s="15">
        <f t="shared" si="113"/>
        <v>0</v>
      </c>
      <c r="S260" s="15">
        <f t="shared" si="113"/>
        <v>0</v>
      </c>
      <c r="T260" s="15">
        <f t="shared" si="113"/>
        <v>0</v>
      </c>
      <c r="U260" s="15">
        <f t="shared" si="113"/>
        <v>0</v>
      </c>
      <c r="V260" s="15">
        <f t="shared" si="113"/>
        <v>0</v>
      </c>
      <c r="W260" s="15">
        <f t="shared" si="113"/>
        <v>0</v>
      </c>
      <c r="X260" s="15">
        <f t="shared" si="113"/>
        <v>0</v>
      </c>
      <c r="Y260" s="15">
        <f t="shared" si="113"/>
        <v>0</v>
      </c>
      <c r="Z260" s="15">
        <f t="shared" si="113"/>
        <v>0</v>
      </c>
      <c r="AA260" s="15">
        <f t="shared" si="113"/>
        <v>0</v>
      </c>
      <c r="AB260" s="15">
        <f t="shared" si="113"/>
        <v>0</v>
      </c>
      <c r="AC260" s="15">
        <f t="shared" si="113"/>
        <v>0</v>
      </c>
      <c r="AD260" s="15">
        <f t="shared" si="113"/>
        <v>0</v>
      </c>
      <c r="AE260" s="15">
        <f t="shared" si="113"/>
        <v>0</v>
      </c>
      <c r="AF260" s="15">
        <f t="shared" si="113"/>
        <v>0</v>
      </c>
      <c r="AG260" s="15">
        <f t="shared" si="113"/>
        <v>0</v>
      </c>
      <c r="AH260" s="15">
        <f t="shared" si="113"/>
        <v>0</v>
      </c>
      <c r="AI260" s="15">
        <f t="shared" si="113"/>
        <v>0</v>
      </c>
      <c r="AJ260" s="15">
        <f t="shared" si="113"/>
        <v>0</v>
      </c>
      <c r="AK260" s="15">
        <f t="shared" si="113"/>
        <v>0</v>
      </c>
      <c r="AL260" s="15">
        <f t="shared" si="113"/>
        <v>0</v>
      </c>
      <c r="AM260" s="15">
        <f t="shared" si="113"/>
        <v>0</v>
      </c>
      <c r="AN260" s="15">
        <f t="shared" si="113"/>
        <v>0</v>
      </c>
      <c r="AO260" s="15">
        <f t="shared" si="113"/>
        <v>0</v>
      </c>
      <c r="AP260" s="15">
        <f t="shared" si="113"/>
        <v>0</v>
      </c>
      <c r="AQ260" s="15">
        <f t="shared" si="113"/>
        <v>0</v>
      </c>
      <c r="AR260" s="15">
        <f t="shared" si="113"/>
        <v>0</v>
      </c>
      <c r="AS260" s="15">
        <f t="shared" si="113"/>
        <v>0</v>
      </c>
    </row>
    <row r="261" spans="2:45" outlineLevel="1" x14ac:dyDescent="0.15"/>
    <row r="262" spans="2:45" outlineLevel="1" x14ac:dyDescent="0.15">
      <c r="B262" s="108" t="s">
        <v>560</v>
      </c>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row>
    <row r="263" spans="2:45" outlineLevel="1" x14ac:dyDescent="0.15"/>
    <row r="264" spans="2:45" outlineLevel="1" x14ac:dyDescent="0.15">
      <c r="B264" s="16" t="s">
        <v>503</v>
      </c>
    </row>
    <row r="265" spans="2:45" outlineLevel="1" x14ac:dyDescent="0.15">
      <c r="B265" s="107" t="str">
        <f>C314</f>
        <v>Assessment Year</v>
      </c>
      <c r="J265" s="28">
        <f t="shared" ref="J265:AS265" si="114">J314</f>
        <v>2024</v>
      </c>
      <c r="K265" s="28">
        <f t="shared" si="114"/>
        <v>2024</v>
      </c>
      <c r="L265" s="28">
        <f t="shared" si="114"/>
        <v>2024</v>
      </c>
      <c r="M265" s="28">
        <f t="shared" si="114"/>
        <v>2024</v>
      </c>
      <c r="N265" s="28">
        <f t="shared" si="114"/>
        <v>2024</v>
      </c>
      <c r="O265" s="28">
        <f t="shared" si="114"/>
        <v>2024</v>
      </c>
      <c r="P265" s="28">
        <f t="shared" si="114"/>
        <v>2024</v>
      </c>
      <c r="Q265" s="28">
        <f t="shared" si="114"/>
        <v>2024</v>
      </c>
      <c r="R265" s="28">
        <f t="shared" si="114"/>
        <v>2024</v>
      </c>
      <c r="S265" s="28">
        <f t="shared" si="114"/>
        <v>2024</v>
      </c>
      <c r="T265" s="28">
        <f t="shared" si="114"/>
        <v>2024</v>
      </c>
      <c r="U265" s="28">
        <f t="shared" si="114"/>
        <v>2025</v>
      </c>
      <c r="V265" s="28">
        <f t="shared" si="114"/>
        <v>2025</v>
      </c>
      <c r="W265" s="28">
        <f t="shared" si="114"/>
        <v>2025</v>
      </c>
      <c r="X265" s="28">
        <f t="shared" si="114"/>
        <v>2025</v>
      </c>
      <c r="Y265" s="28">
        <f t="shared" si="114"/>
        <v>2025</v>
      </c>
      <c r="Z265" s="28">
        <f t="shared" si="114"/>
        <v>2025</v>
      </c>
      <c r="AA265" s="28">
        <f t="shared" si="114"/>
        <v>2025</v>
      </c>
      <c r="AB265" s="28">
        <f t="shared" si="114"/>
        <v>2025</v>
      </c>
      <c r="AC265" s="28">
        <f t="shared" si="114"/>
        <v>2025</v>
      </c>
      <c r="AD265" s="28">
        <f t="shared" si="114"/>
        <v>2025</v>
      </c>
      <c r="AE265" s="28">
        <f t="shared" si="114"/>
        <v>2025</v>
      </c>
      <c r="AF265" s="28">
        <f t="shared" si="114"/>
        <v>2025</v>
      </c>
      <c r="AG265" s="28">
        <f t="shared" si="114"/>
        <v>2026</v>
      </c>
      <c r="AH265" s="28">
        <f t="shared" si="114"/>
        <v>2026</v>
      </c>
      <c r="AI265" s="28">
        <f t="shared" si="114"/>
        <v>2026</v>
      </c>
      <c r="AJ265" s="28">
        <f t="shared" si="114"/>
        <v>2026</v>
      </c>
      <c r="AK265" s="28">
        <f t="shared" si="114"/>
        <v>2026</v>
      </c>
      <c r="AL265" s="28">
        <f t="shared" si="114"/>
        <v>2026</v>
      </c>
      <c r="AM265" s="28">
        <f t="shared" si="114"/>
        <v>2026</v>
      </c>
      <c r="AN265" s="28">
        <f t="shared" si="114"/>
        <v>2026</v>
      </c>
      <c r="AO265" s="28">
        <f t="shared" si="114"/>
        <v>2026</v>
      </c>
      <c r="AP265" s="28">
        <f t="shared" si="114"/>
        <v>2026</v>
      </c>
      <c r="AQ265" s="28">
        <f t="shared" si="114"/>
        <v>2026</v>
      </c>
      <c r="AR265" s="28">
        <f t="shared" si="114"/>
        <v>2026</v>
      </c>
      <c r="AS265" s="28">
        <f t="shared" si="114"/>
        <v>2027</v>
      </c>
    </row>
    <row r="266" spans="2:45" hidden="1" outlineLevel="2" x14ac:dyDescent="0.15">
      <c r="B266" s="107" t="str">
        <f>C315</f>
        <v>Assessment Year Month Number</v>
      </c>
      <c r="J266" s="17">
        <f t="shared" ref="J266:AS266" si="115">J315</f>
        <v>2</v>
      </c>
      <c r="K266" s="17">
        <f t="shared" si="115"/>
        <v>3</v>
      </c>
      <c r="L266" s="17">
        <f t="shared" si="115"/>
        <v>4</v>
      </c>
      <c r="M266" s="17">
        <f t="shared" si="115"/>
        <v>5</v>
      </c>
      <c r="N266" s="17">
        <f t="shared" si="115"/>
        <v>6</v>
      </c>
      <c r="O266" s="17">
        <f t="shared" si="115"/>
        <v>7</v>
      </c>
      <c r="P266" s="17">
        <f t="shared" si="115"/>
        <v>8</v>
      </c>
      <c r="Q266" s="17">
        <f t="shared" si="115"/>
        <v>9</v>
      </c>
      <c r="R266" s="17">
        <f t="shared" si="115"/>
        <v>10</v>
      </c>
      <c r="S266" s="17">
        <f t="shared" si="115"/>
        <v>11</v>
      </c>
      <c r="T266" s="17">
        <f t="shared" si="115"/>
        <v>12</v>
      </c>
      <c r="U266" s="17">
        <f t="shared" si="115"/>
        <v>1</v>
      </c>
      <c r="V266" s="17">
        <f t="shared" si="115"/>
        <v>2</v>
      </c>
      <c r="W266" s="17">
        <f t="shared" si="115"/>
        <v>3</v>
      </c>
      <c r="X266" s="17">
        <f t="shared" si="115"/>
        <v>4</v>
      </c>
      <c r="Y266" s="17">
        <f t="shared" si="115"/>
        <v>5</v>
      </c>
      <c r="Z266" s="17">
        <f t="shared" si="115"/>
        <v>6</v>
      </c>
      <c r="AA266" s="17">
        <f t="shared" si="115"/>
        <v>7</v>
      </c>
      <c r="AB266" s="17">
        <f t="shared" si="115"/>
        <v>8</v>
      </c>
      <c r="AC266" s="17">
        <f t="shared" si="115"/>
        <v>9</v>
      </c>
      <c r="AD266" s="17">
        <f t="shared" si="115"/>
        <v>10</v>
      </c>
      <c r="AE266" s="17">
        <f t="shared" si="115"/>
        <v>11</v>
      </c>
      <c r="AF266" s="17">
        <f t="shared" si="115"/>
        <v>12</v>
      </c>
      <c r="AG266" s="17">
        <f t="shared" si="115"/>
        <v>1</v>
      </c>
      <c r="AH266" s="17">
        <f t="shared" si="115"/>
        <v>2</v>
      </c>
      <c r="AI266" s="17">
        <f t="shared" si="115"/>
        <v>3</v>
      </c>
      <c r="AJ266" s="17">
        <f t="shared" si="115"/>
        <v>4</v>
      </c>
      <c r="AK266" s="17">
        <f t="shared" si="115"/>
        <v>5</v>
      </c>
      <c r="AL266" s="17">
        <f t="shared" si="115"/>
        <v>6</v>
      </c>
      <c r="AM266" s="17">
        <f t="shared" si="115"/>
        <v>7</v>
      </c>
      <c r="AN266" s="17">
        <f t="shared" si="115"/>
        <v>8</v>
      </c>
      <c r="AO266" s="17">
        <f t="shared" si="115"/>
        <v>9</v>
      </c>
      <c r="AP266" s="17">
        <f t="shared" si="115"/>
        <v>10</v>
      </c>
      <c r="AQ266" s="17">
        <f t="shared" si="115"/>
        <v>11</v>
      </c>
      <c r="AR266" s="17">
        <f t="shared" si="115"/>
        <v>12</v>
      </c>
      <c r="AS266" s="17">
        <f t="shared" si="115"/>
        <v>1</v>
      </c>
    </row>
    <row r="267" spans="2:45" outlineLevel="1" collapsed="1" x14ac:dyDescent="0.15">
      <c r="B267" s="107" t="s">
        <v>561</v>
      </c>
      <c r="J267" s="171" t="s">
        <v>505</v>
      </c>
      <c r="K267" s="171" t="s">
        <v>505</v>
      </c>
      <c r="L267" s="171" t="s">
        <v>505</v>
      </c>
      <c r="M267" s="171" t="s">
        <v>505</v>
      </c>
      <c r="N267" s="171" t="s">
        <v>505</v>
      </c>
      <c r="O267" s="171" t="s">
        <v>505</v>
      </c>
      <c r="P267" s="171" t="s">
        <v>505</v>
      </c>
      <c r="Q267" s="171" t="s">
        <v>505</v>
      </c>
      <c r="R267" s="171" t="s">
        <v>505</v>
      </c>
      <c r="S267" s="171" t="s">
        <v>505</v>
      </c>
      <c r="T267" s="171" t="s">
        <v>505</v>
      </c>
      <c r="U267" s="171" t="s">
        <v>505</v>
      </c>
      <c r="V267" s="171" t="s">
        <v>505</v>
      </c>
      <c r="W267" s="171" t="s">
        <v>505</v>
      </c>
      <c r="X267" s="171" t="s">
        <v>505</v>
      </c>
      <c r="Y267" s="171" t="s">
        <v>505</v>
      </c>
      <c r="Z267" s="171" t="s">
        <v>505</v>
      </c>
      <c r="AA267" s="171" t="s">
        <v>505</v>
      </c>
      <c r="AB267" s="171" t="s">
        <v>505</v>
      </c>
      <c r="AC267" s="171" t="s">
        <v>505</v>
      </c>
      <c r="AD267" s="171" t="s">
        <v>505</v>
      </c>
      <c r="AE267" s="171" t="s">
        <v>505</v>
      </c>
      <c r="AF267" s="171" t="s">
        <v>505</v>
      </c>
      <c r="AG267" s="171" t="s">
        <v>505</v>
      </c>
      <c r="AH267" s="171" t="s">
        <v>505</v>
      </c>
      <c r="AI267" s="171" t="s">
        <v>505</v>
      </c>
      <c r="AJ267" s="171" t="s">
        <v>505</v>
      </c>
      <c r="AK267" s="171" t="s">
        <v>505</v>
      </c>
      <c r="AL267" s="171" t="s">
        <v>505</v>
      </c>
      <c r="AM267" s="171" t="s">
        <v>505</v>
      </c>
      <c r="AN267" s="171" t="s">
        <v>505</v>
      </c>
      <c r="AO267" s="171" t="s">
        <v>505</v>
      </c>
      <c r="AP267" s="171" t="s">
        <v>505</v>
      </c>
      <c r="AQ267" s="171" t="s">
        <v>505</v>
      </c>
      <c r="AR267" s="171" t="s">
        <v>505</v>
      </c>
      <c r="AS267" s="171" t="s">
        <v>505</v>
      </c>
    </row>
    <row r="268" spans="2:45" outlineLevel="1" x14ac:dyDescent="0.15"/>
    <row r="269" spans="2:45" outlineLevel="1" x14ac:dyDescent="0.15">
      <c r="B269" s="16" t="s">
        <v>562</v>
      </c>
    </row>
    <row r="270" spans="2:45" outlineLevel="1" x14ac:dyDescent="0.15">
      <c r="B270" s="107" t="str">
        <f>C336</f>
        <v>Interim Assessment Period</v>
      </c>
      <c r="J270" s="29" t="str">
        <f t="shared" ref="J270:AS270" si="116">J336</f>
        <v>No</v>
      </c>
      <c r="K270" s="29" t="str">
        <f t="shared" si="116"/>
        <v>Yes</v>
      </c>
      <c r="L270" s="29" t="str">
        <f t="shared" si="116"/>
        <v>No</v>
      </c>
      <c r="M270" s="29" t="str">
        <f t="shared" si="116"/>
        <v>No</v>
      </c>
      <c r="N270" s="29" t="str">
        <f t="shared" si="116"/>
        <v>Yes</v>
      </c>
      <c r="O270" s="29" t="str">
        <f t="shared" si="116"/>
        <v>No</v>
      </c>
      <c r="P270" s="29" t="str">
        <f t="shared" si="116"/>
        <v>No</v>
      </c>
      <c r="Q270" s="29" t="str">
        <f t="shared" si="116"/>
        <v>Yes</v>
      </c>
      <c r="R270" s="29" t="str">
        <f t="shared" si="116"/>
        <v>No</v>
      </c>
      <c r="S270" s="29" t="str">
        <f t="shared" si="116"/>
        <v>No</v>
      </c>
      <c r="T270" s="29" t="str">
        <f t="shared" si="116"/>
        <v>Yes</v>
      </c>
      <c r="U270" s="29" t="str">
        <f t="shared" si="116"/>
        <v>No</v>
      </c>
      <c r="V270" s="29" t="str">
        <f t="shared" si="116"/>
        <v>No</v>
      </c>
      <c r="W270" s="29" t="str">
        <f t="shared" si="116"/>
        <v>Yes</v>
      </c>
      <c r="X270" s="29" t="str">
        <f t="shared" si="116"/>
        <v>No</v>
      </c>
      <c r="Y270" s="29" t="str">
        <f t="shared" si="116"/>
        <v>No</v>
      </c>
      <c r="Z270" s="29" t="str">
        <f t="shared" si="116"/>
        <v>Yes</v>
      </c>
      <c r="AA270" s="29" t="str">
        <f t="shared" si="116"/>
        <v>No</v>
      </c>
      <c r="AB270" s="29" t="str">
        <f t="shared" si="116"/>
        <v>No</v>
      </c>
      <c r="AC270" s="29" t="str">
        <f t="shared" si="116"/>
        <v>Yes</v>
      </c>
      <c r="AD270" s="29" t="str">
        <f t="shared" si="116"/>
        <v>No</v>
      </c>
      <c r="AE270" s="29" t="str">
        <f t="shared" si="116"/>
        <v>No</v>
      </c>
      <c r="AF270" s="29" t="str">
        <f t="shared" si="116"/>
        <v>Yes</v>
      </c>
      <c r="AG270" s="29" t="str">
        <f t="shared" si="116"/>
        <v>No</v>
      </c>
      <c r="AH270" s="29" t="str">
        <f t="shared" si="116"/>
        <v>No</v>
      </c>
      <c r="AI270" s="29" t="str">
        <f t="shared" si="116"/>
        <v>Yes</v>
      </c>
      <c r="AJ270" s="29" t="str">
        <f t="shared" si="116"/>
        <v>No</v>
      </c>
      <c r="AK270" s="29" t="str">
        <f t="shared" si="116"/>
        <v>No</v>
      </c>
      <c r="AL270" s="29" t="str">
        <f t="shared" si="116"/>
        <v>Yes</v>
      </c>
      <c r="AM270" s="29" t="str">
        <f t="shared" si="116"/>
        <v>No</v>
      </c>
      <c r="AN270" s="29" t="str">
        <f t="shared" si="116"/>
        <v>No</v>
      </c>
      <c r="AO270" s="29" t="str">
        <f t="shared" si="116"/>
        <v>Yes</v>
      </c>
      <c r="AP270" s="29" t="str">
        <f t="shared" si="116"/>
        <v>No</v>
      </c>
      <c r="AQ270" s="29" t="str">
        <f t="shared" si="116"/>
        <v>No</v>
      </c>
      <c r="AR270" s="29" t="str">
        <f t="shared" si="116"/>
        <v>Yes</v>
      </c>
      <c r="AS270" s="29" t="str">
        <f t="shared" si="116"/>
        <v>No</v>
      </c>
    </row>
    <row r="271" spans="2:45" outlineLevel="1" x14ac:dyDescent="0.15">
      <c r="B271" s="107" t="str">
        <f>C341</f>
        <v>Interim Tax Assessment - Tax Payable</v>
      </c>
      <c r="J271" s="14">
        <f t="shared" ref="J271:AS271" si="117">J341</f>
        <v>0</v>
      </c>
      <c r="K271" s="14">
        <f t="shared" ca="1" si="117"/>
        <v>0</v>
      </c>
      <c r="L271" s="14">
        <f t="shared" si="117"/>
        <v>0</v>
      </c>
      <c r="M271" s="14">
        <f t="shared" si="117"/>
        <v>0</v>
      </c>
      <c r="N271" s="14">
        <f t="shared" ca="1" si="117"/>
        <v>0</v>
      </c>
      <c r="O271" s="14">
        <f t="shared" si="117"/>
        <v>0</v>
      </c>
      <c r="P271" s="14">
        <f t="shared" si="117"/>
        <v>0</v>
      </c>
      <c r="Q271" s="14">
        <f t="shared" ca="1" si="117"/>
        <v>0</v>
      </c>
      <c r="R271" s="14">
        <f t="shared" si="117"/>
        <v>0</v>
      </c>
      <c r="S271" s="14">
        <f t="shared" si="117"/>
        <v>0</v>
      </c>
      <c r="T271" s="14">
        <f t="shared" ca="1" si="117"/>
        <v>0</v>
      </c>
      <c r="U271" s="14">
        <f t="shared" si="117"/>
        <v>0</v>
      </c>
      <c r="V271" s="14">
        <f t="shared" si="117"/>
        <v>0</v>
      </c>
      <c r="W271" s="14">
        <f t="shared" ca="1" si="117"/>
        <v>0</v>
      </c>
      <c r="X271" s="14">
        <f t="shared" si="117"/>
        <v>0</v>
      </c>
      <c r="Y271" s="14">
        <f t="shared" si="117"/>
        <v>0</v>
      </c>
      <c r="Z271" s="14">
        <f t="shared" ca="1" si="117"/>
        <v>0</v>
      </c>
      <c r="AA271" s="14">
        <f t="shared" si="117"/>
        <v>0</v>
      </c>
      <c r="AB271" s="14">
        <f t="shared" si="117"/>
        <v>0</v>
      </c>
      <c r="AC271" s="14">
        <f t="shared" ca="1" si="117"/>
        <v>0</v>
      </c>
      <c r="AD271" s="14">
        <f t="shared" si="117"/>
        <v>0</v>
      </c>
      <c r="AE271" s="14">
        <f t="shared" si="117"/>
        <v>0</v>
      </c>
      <c r="AF271" s="14">
        <f t="shared" ca="1" si="117"/>
        <v>0</v>
      </c>
      <c r="AG271" s="14">
        <f t="shared" si="117"/>
        <v>0</v>
      </c>
      <c r="AH271" s="14">
        <f t="shared" si="117"/>
        <v>0</v>
      </c>
      <c r="AI271" s="14">
        <f t="shared" ca="1" si="117"/>
        <v>0</v>
      </c>
      <c r="AJ271" s="14">
        <f t="shared" si="117"/>
        <v>0</v>
      </c>
      <c r="AK271" s="14">
        <f t="shared" si="117"/>
        <v>0</v>
      </c>
      <c r="AL271" s="14">
        <f t="shared" ca="1" si="117"/>
        <v>0</v>
      </c>
      <c r="AM271" s="14">
        <f t="shared" si="117"/>
        <v>0</v>
      </c>
      <c r="AN271" s="14">
        <f t="shared" si="117"/>
        <v>0</v>
      </c>
      <c r="AO271" s="14">
        <f t="shared" ca="1" si="117"/>
        <v>0</v>
      </c>
      <c r="AP271" s="14">
        <f t="shared" si="117"/>
        <v>0</v>
      </c>
      <c r="AQ271" s="14">
        <f t="shared" si="117"/>
        <v>0</v>
      </c>
      <c r="AR271" s="14">
        <f t="shared" ca="1" si="117"/>
        <v>0</v>
      </c>
      <c r="AS271" s="14">
        <f t="shared" si="117"/>
        <v>0</v>
      </c>
    </row>
    <row r="272" spans="2:45" outlineLevel="1" x14ac:dyDescent="0.15">
      <c r="B272" s="107" t="s">
        <v>563</v>
      </c>
      <c r="J272" s="171" t="s">
        <v>564</v>
      </c>
      <c r="K272" s="171" t="s">
        <v>564</v>
      </c>
      <c r="L272" s="171" t="s">
        <v>564</v>
      </c>
      <c r="M272" s="171" t="s">
        <v>564</v>
      </c>
      <c r="N272" s="171" t="s">
        <v>564</v>
      </c>
      <c r="O272" s="171" t="s">
        <v>564</v>
      </c>
      <c r="P272" s="171" t="s">
        <v>564</v>
      </c>
      <c r="Q272" s="171" t="s">
        <v>564</v>
      </c>
      <c r="R272" s="171" t="s">
        <v>564</v>
      </c>
      <c r="S272" s="171" t="s">
        <v>564</v>
      </c>
      <c r="T272" s="171" t="s">
        <v>564</v>
      </c>
      <c r="U272" s="171" t="s">
        <v>564</v>
      </c>
      <c r="V272" s="171" t="s">
        <v>564</v>
      </c>
      <c r="W272" s="171" t="s">
        <v>564</v>
      </c>
      <c r="X272" s="171" t="s">
        <v>564</v>
      </c>
      <c r="Y272" s="171" t="s">
        <v>564</v>
      </c>
      <c r="Z272" s="171" t="s">
        <v>564</v>
      </c>
      <c r="AA272" s="171" t="s">
        <v>564</v>
      </c>
      <c r="AB272" s="171" t="s">
        <v>564</v>
      </c>
      <c r="AC272" s="171" t="s">
        <v>564</v>
      </c>
      <c r="AD272" s="171" t="s">
        <v>564</v>
      </c>
      <c r="AE272" s="171" t="s">
        <v>564</v>
      </c>
      <c r="AF272" s="171" t="s">
        <v>564</v>
      </c>
      <c r="AG272" s="171" t="s">
        <v>564</v>
      </c>
      <c r="AH272" s="171" t="s">
        <v>564</v>
      </c>
      <c r="AI272" s="171" t="s">
        <v>564</v>
      </c>
      <c r="AJ272" s="171" t="s">
        <v>564</v>
      </c>
      <c r="AK272" s="171" t="s">
        <v>564</v>
      </c>
      <c r="AL272" s="171" t="s">
        <v>564</v>
      </c>
      <c r="AM272" s="171" t="s">
        <v>564</v>
      </c>
      <c r="AN272" s="171" t="s">
        <v>564</v>
      </c>
      <c r="AO272" s="171" t="s">
        <v>564</v>
      </c>
      <c r="AP272" s="171" t="s">
        <v>564</v>
      </c>
      <c r="AQ272" s="171" t="s">
        <v>564</v>
      </c>
      <c r="AR272" s="171" t="s">
        <v>564</v>
      </c>
      <c r="AS272" s="171" t="s">
        <v>564</v>
      </c>
    </row>
    <row r="273" spans="2:45" outlineLevel="1" x14ac:dyDescent="0.15">
      <c r="B273" s="107" t="s">
        <v>565</v>
      </c>
      <c r="J273" s="165">
        <v>0</v>
      </c>
      <c r="K273" s="165">
        <v>0</v>
      </c>
      <c r="L273" s="165">
        <v>0</v>
      </c>
      <c r="M273" s="165">
        <v>0</v>
      </c>
      <c r="N273" s="165">
        <v>0</v>
      </c>
      <c r="O273" s="165">
        <v>0</v>
      </c>
      <c r="P273" s="165">
        <v>0</v>
      </c>
      <c r="Q273" s="165">
        <v>0</v>
      </c>
      <c r="R273" s="165">
        <v>0</v>
      </c>
      <c r="S273" s="165">
        <v>0</v>
      </c>
      <c r="T273" s="165">
        <v>0</v>
      </c>
      <c r="U273" s="165">
        <v>0</v>
      </c>
      <c r="V273" s="165">
        <v>0</v>
      </c>
      <c r="W273" s="165">
        <v>0</v>
      </c>
      <c r="X273" s="165">
        <v>0</v>
      </c>
      <c r="Y273" s="165">
        <v>0</v>
      </c>
      <c r="Z273" s="165">
        <v>0</v>
      </c>
      <c r="AA273" s="165">
        <v>0</v>
      </c>
      <c r="AB273" s="165">
        <v>0</v>
      </c>
      <c r="AC273" s="165">
        <v>0</v>
      </c>
      <c r="AD273" s="165">
        <v>0</v>
      </c>
      <c r="AE273" s="165">
        <v>0</v>
      </c>
      <c r="AF273" s="165">
        <v>0</v>
      </c>
      <c r="AG273" s="165">
        <v>0</v>
      </c>
      <c r="AH273" s="165">
        <v>0</v>
      </c>
      <c r="AI273" s="165">
        <v>0</v>
      </c>
      <c r="AJ273" s="165">
        <v>0</v>
      </c>
      <c r="AK273" s="165">
        <v>0</v>
      </c>
      <c r="AL273" s="165">
        <v>0</v>
      </c>
      <c r="AM273" s="165">
        <v>0</v>
      </c>
      <c r="AN273" s="165">
        <v>0</v>
      </c>
      <c r="AO273" s="165">
        <v>0</v>
      </c>
      <c r="AP273" s="165">
        <v>0</v>
      </c>
      <c r="AQ273" s="165">
        <v>0</v>
      </c>
      <c r="AR273" s="165">
        <v>0</v>
      </c>
      <c r="AS273" s="165">
        <v>0</v>
      </c>
    </row>
    <row r="274" spans="2:45" outlineLevel="1" x14ac:dyDescent="0.15">
      <c r="B274" s="107" t="s">
        <v>566</v>
      </c>
      <c r="J274" s="166">
        <v>1</v>
      </c>
      <c r="K274" s="166">
        <v>1</v>
      </c>
      <c r="L274" s="166">
        <v>1</v>
      </c>
      <c r="M274" s="166">
        <v>1</v>
      </c>
      <c r="N274" s="166">
        <v>1</v>
      </c>
      <c r="O274" s="166">
        <v>1</v>
      </c>
      <c r="P274" s="166">
        <v>1</v>
      </c>
      <c r="Q274" s="166">
        <v>1</v>
      </c>
      <c r="R274" s="166">
        <v>1</v>
      </c>
      <c r="S274" s="166">
        <v>1</v>
      </c>
      <c r="T274" s="166">
        <v>1</v>
      </c>
      <c r="U274" s="166">
        <v>1</v>
      </c>
      <c r="V274" s="166">
        <v>1</v>
      </c>
      <c r="W274" s="166">
        <v>1</v>
      </c>
      <c r="X274" s="166">
        <v>1</v>
      </c>
      <c r="Y274" s="166">
        <v>1</v>
      </c>
      <c r="Z274" s="166">
        <v>1</v>
      </c>
      <c r="AA274" s="166">
        <v>1</v>
      </c>
      <c r="AB274" s="166">
        <v>1</v>
      </c>
      <c r="AC274" s="166">
        <v>1</v>
      </c>
      <c r="AD274" s="166">
        <v>1</v>
      </c>
      <c r="AE274" s="166">
        <v>1</v>
      </c>
      <c r="AF274" s="166">
        <v>1</v>
      </c>
      <c r="AG274" s="166">
        <v>1</v>
      </c>
      <c r="AH274" s="166">
        <v>1</v>
      </c>
      <c r="AI274" s="166">
        <v>1</v>
      </c>
      <c r="AJ274" s="166">
        <v>1</v>
      </c>
      <c r="AK274" s="166">
        <v>1</v>
      </c>
      <c r="AL274" s="166">
        <v>1</v>
      </c>
      <c r="AM274" s="166">
        <v>1</v>
      </c>
      <c r="AN274" s="166">
        <v>1</v>
      </c>
      <c r="AO274" s="166">
        <v>1</v>
      </c>
      <c r="AP274" s="166">
        <v>1</v>
      </c>
      <c r="AQ274" s="166">
        <v>1</v>
      </c>
      <c r="AR274" s="166">
        <v>1</v>
      </c>
      <c r="AS274" s="166">
        <v>1</v>
      </c>
    </row>
    <row r="275" spans="2:45" outlineLevel="1" x14ac:dyDescent="0.15"/>
    <row r="276" spans="2:45" outlineLevel="1" x14ac:dyDescent="0.15">
      <c r="B276" s="16" t="s">
        <v>567</v>
      </c>
    </row>
    <row r="277" spans="2:45" outlineLevel="1" x14ac:dyDescent="0.15">
      <c r="B277" s="107" t="str">
        <f>C352</f>
        <v>Annual Assessment Period</v>
      </c>
      <c r="J277" s="29" t="str">
        <f t="shared" ref="J277:AS277" si="118">J352</f>
        <v>No</v>
      </c>
      <c r="K277" s="29" t="str">
        <f t="shared" si="118"/>
        <v>No</v>
      </c>
      <c r="L277" s="29" t="str">
        <f t="shared" si="118"/>
        <v>No</v>
      </c>
      <c r="M277" s="29" t="str">
        <f t="shared" si="118"/>
        <v>No</v>
      </c>
      <c r="N277" s="29" t="str">
        <f t="shared" si="118"/>
        <v>No</v>
      </c>
      <c r="O277" s="29" t="str">
        <f t="shared" si="118"/>
        <v>No</v>
      </c>
      <c r="P277" s="29" t="str">
        <f t="shared" si="118"/>
        <v>No</v>
      </c>
      <c r="Q277" s="29" t="str">
        <f t="shared" si="118"/>
        <v>No</v>
      </c>
      <c r="R277" s="29" t="str">
        <f t="shared" si="118"/>
        <v>No</v>
      </c>
      <c r="S277" s="29" t="str">
        <f t="shared" si="118"/>
        <v>No</v>
      </c>
      <c r="T277" s="29" t="str">
        <f t="shared" si="118"/>
        <v>Yes</v>
      </c>
      <c r="U277" s="29" t="str">
        <f t="shared" si="118"/>
        <v>No</v>
      </c>
      <c r="V277" s="29" t="str">
        <f t="shared" si="118"/>
        <v>No</v>
      </c>
      <c r="W277" s="29" t="str">
        <f t="shared" si="118"/>
        <v>No</v>
      </c>
      <c r="X277" s="29" t="str">
        <f t="shared" si="118"/>
        <v>No</v>
      </c>
      <c r="Y277" s="29" t="str">
        <f t="shared" si="118"/>
        <v>No</v>
      </c>
      <c r="Z277" s="29" t="str">
        <f t="shared" si="118"/>
        <v>No</v>
      </c>
      <c r="AA277" s="29" t="str">
        <f t="shared" si="118"/>
        <v>No</v>
      </c>
      <c r="AB277" s="29" t="str">
        <f t="shared" si="118"/>
        <v>No</v>
      </c>
      <c r="AC277" s="29" t="str">
        <f t="shared" si="118"/>
        <v>No</v>
      </c>
      <c r="AD277" s="29" t="str">
        <f t="shared" si="118"/>
        <v>No</v>
      </c>
      <c r="AE277" s="29" t="str">
        <f t="shared" si="118"/>
        <v>No</v>
      </c>
      <c r="AF277" s="29" t="str">
        <f t="shared" si="118"/>
        <v>Yes</v>
      </c>
      <c r="AG277" s="29" t="str">
        <f t="shared" si="118"/>
        <v>No</v>
      </c>
      <c r="AH277" s="29" t="str">
        <f t="shared" si="118"/>
        <v>No</v>
      </c>
      <c r="AI277" s="29" t="str">
        <f t="shared" si="118"/>
        <v>No</v>
      </c>
      <c r="AJ277" s="29" t="str">
        <f t="shared" si="118"/>
        <v>No</v>
      </c>
      <c r="AK277" s="29" t="str">
        <f t="shared" si="118"/>
        <v>No</v>
      </c>
      <c r="AL277" s="29" t="str">
        <f t="shared" si="118"/>
        <v>No</v>
      </c>
      <c r="AM277" s="29" t="str">
        <f t="shared" si="118"/>
        <v>No</v>
      </c>
      <c r="AN277" s="29" t="str">
        <f t="shared" si="118"/>
        <v>No</v>
      </c>
      <c r="AO277" s="29" t="str">
        <f t="shared" si="118"/>
        <v>No</v>
      </c>
      <c r="AP277" s="29" t="str">
        <f t="shared" si="118"/>
        <v>No</v>
      </c>
      <c r="AQ277" s="29" t="str">
        <f t="shared" si="118"/>
        <v>No</v>
      </c>
      <c r="AR277" s="29" t="str">
        <f t="shared" si="118"/>
        <v>Yes</v>
      </c>
      <c r="AS277" s="29" t="str">
        <f t="shared" si="118"/>
        <v>No</v>
      </c>
    </row>
    <row r="278" spans="2:45" outlineLevel="1" x14ac:dyDescent="0.15">
      <c r="B278" s="107" t="str">
        <f>C355</f>
        <v>Annual Tax Assessments - Tax Payable/(Refund)</v>
      </c>
      <c r="J278" s="14">
        <f t="shared" ref="J278:AS278" si="119">J355</f>
        <v>0</v>
      </c>
      <c r="K278" s="14">
        <f t="shared" si="119"/>
        <v>0</v>
      </c>
      <c r="L278" s="14">
        <f t="shared" si="119"/>
        <v>0</v>
      </c>
      <c r="M278" s="14">
        <f t="shared" si="119"/>
        <v>0</v>
      </c>
      <c r="N278" s="14">
        <f t="shared" si="119"/>
        <v>0</v>
      </c>
      <c r="O278" s="14">
        <f t="shared" si="119"/>
        <v>0</v>
      </c>
      <c r="P278" s="14">
        <f t="shared" si="119"/>
        <v>0</v>
      </c>
      <c r="Q278" s="14">
        <f t="shared" si="119"/>
        <v>0</v>
      </c>
      <c r="R278" s="14">
        <f t="shared" si="119"/>
        <v>0</v>
      </c>
      <c r="S278" s="14">
        <f t="shared" si="119"/>
        <v>0</v>
      </c>
      <c r="T278" s="14">
        <f t="shared" ca="1" si="119"/>
        <v>0</v>
      </c>
      <c r="U278" s="14">
        <f t="shared" si="119"/>
        <v>0</v>
      </c>
      <c r="V278" s="14">
        <f t="shared" si="119"/>
        <v>0</v>
      </c>
      <c r="W278" s="14">
        <f t="shared" si="119"/>
        <v>0</v>
      </c>
      <c r="X278" s="14">
        <f t="shared" si="119"/>
        <v>0</v>
      </c>
      <c r="Y278" s="14">
        <f t="shared" si="119"/>
        <v>0</v>
      </c>
      <c r="Z278" s="14">
        <f t="shared" si="119"/>
        <v>0</v>
      </c>
      <c r="AA278" s="14">
        <f t="shared" si="119"/>
        <v>0</v>
      </c>
      <c r="AB278" s="14">
        <f t="shared" si="119"/>
        <v>0</v>
      </c>
      <c r="AC278" s="14">
        <f t="shared" si="119"/>
        <v>0</v>
      </c>
      <c r="AD278" s="14">
        <f t="shared" si="119"/>
        <v>0</v>
      </c>
      <c r="AE278" s="14">
        <f t="shared" si="119"/>
        <v>0</v>
      </c>
      <c r="AF278" s="14">
        <f t="shared" ca="1" si="119"/>
        <v>0</v>
      </c>
      <c r="AG278" s="14">
        <f t="shared" si="119"/>
        <v>0</v>
      </c>
      <c r="AH278" s="14">
        <f t="shared" si="119"/>
        <v>0</v>
      </c>
      <c r="AI278" s="14">
        <f t="shared" si="119"/>
        <v>0</v>
      </c>
      <c r="AJ278" s="14">
        <f t="shared" si="119"/>
        <v>0</v>
      </c>
      <c r="AK278" s="14">
        <f t="shared" si="119"/>
        <v>0</v>
      </c>
      <c r="AL278" s="14">
        <f t="shared" si="119"/>
        <v>0</v>
      </c>
      <c r="AM278" s="14">
        <f t="shared" si="119"/>
        <v>0</v>
      </c>
      <c r="AN278" s="14">
        <f t="shared" si="119"/>
        <v>0</v>
      </c>
      <c r="AO278" s="14">
        <f t="shared" si="119"/>
        <v>0</v>
      </c>
      <c r="AP278" s="14">
        <f t="shared" si="119"/>
        <v>0</v>
      </c>
      <c r="AQ278" s="14">
        <f t="shared" si="119"/>
        <v>0</v>
      </c>
      <c r="AR278" s="14">
        <f t="shared" ca="1" si="119"/>
        <v>0</v>
      </c>
      <c r="AS278" s="14">
        <f t="shared" si="119"/>
        <v>0</v>
      </c>
    </row>
    <row r="279" spans="2:45" outlineLevel="1" x14ac:dyDescent="0.15">
      <c r="B279" s="107" t="str">
        <f>B274</f>
        <v>Tax Payment Delay (Months)</v>
      </c>
      <c r="J279" s="166">
        <v>1</v>
      </c>
      <c r="K279" s="166">
        <v>1</v>
      </c>
      <c r="L279" s="166">
        <v>1</v>
      </c>
      <c r="M279" s="166">
        <v>1</v>
      </c>
      <c r="N279" s="166">
        <v>1</v>
      </c>
      <c r="O279" s="166">
        <v>1</v>
      </c>
      <c r="P279" s="166">
        <v>1</v>
      </c>
      <c r="Q279" s="166">
        <v>1</v>
      </c>
      <c r="R279" s="166">
        <v>1</v>
      </c>
      <c r="S279" s="166">
        <v>1</v>
      </c>
      <c r="T279" s="166">
        <v>1</v>
      </c>
      <c r="U279" s="166">
        <v>1</v>
      </c>
      <c r="V279" s="166">
        <v>1</v>
      </c>
      <c r="W279" s="166">
        <v>1</v>
      </c>
      <c r="X279" s="166">
        <v>1</v>
      </c>
      <c r="Y279" s="166">
        <v>1</v>
      </c>
      <c r="Z279" s="166">
        <v>1</v>
      </c>
      <c r="AA279" s="166">
        <v>1</v>
      </c>
      <c r="AB279" s="166">
        <v>1</v>
      </c>
      <c r="AC279" s="166">
        <v>1</v>
      </c>
      <c r="AD279" s="166">
        <v>1</v>
      </c>
      <c r="AE279" s="166">
        <v>1</v>
      </c>
      <c r="AF279" s="166">
        <v>1</v>
      </c>
      <c r="AG279" s="166">
        <v>1</v>
      </c>
      <c r="AH279" s="166">
        <v>1</v>
      </c>
      <c r="AI279" s="166">
        <v>1</v>
      </c>
      <c r="AJ279" s="166">
        <v>1</v>
      </c>
      <c r="AK279" s="166">
        <v>1</v>
      </c>
      <c r="AL279" s="166">
        <v>1</v>
      </c>
      <c r="AM279" s="166">
        <v>1</v>
      </c>
      <c r="AN279" s="166">
        <v>1</v>
      </c>
      <c r="AO279" s="166">
        <v>1</v>
      </c>
      <c r="AP279" s="166">
        <v>1</v>
      </c>
      <c r="AQ279" s="166">
        <v>1</v>
      </c>
      <c r="AR279" s="166">
        <v>1</v>
      </c>
      <c r="AS279" s="166">
        <v>1</v>
      </c>
    </row>
    <row r="280" spans="2:45" outlineLevel="1" x14ac:dyDescent="0.15">
      <c r="B280" s="107" t="s">
        <v>568</v>
      </c>
      <c r="J280" s="166">
        <v>1</v>
      </c>
      <c r="K280" s="166">
        <v>1</v>
      </c>
      <c r="L280" s="166">
        <v>1</v>
      </c>
      <c r="M280" s="166">
        <v>1</v>
      </c>
      <c r="N280" s="166">
        <v>1</v>
      </c>
      <c r="O280" s="166">
        <v>1</v>
      </c>
      <c r="P280" s="166">
        <v>1</v>
      </c>
      <c r="Q280" s="166">
        <v>1</v>
      </c>
      <c r="R280" s="166">
        <v>1</v>
      </c>
      <c r="S280" s="166">
        <v>1</v>
      </c>
      <c r="T280" s="166">
        <v>1</v>
      </c>
      <c r="U280" s="166">
        <v>1</v>
      </c>
      <c r="V280" s="166">
        <v>1</v>
      </c>
      <c r="W280" s="166">
        <v>1</v>
      </c>
      <c r="X280" s="166">
        <v>1</v>
      </c>
      <c r="Y280" s="166">
        <v>1</v>
      </c>
      <c r="Z280" s="166">
        <v>1</v>
      </c>
      <c r="AA280" s="166">
        <v>1</v>
      </c>
      <c r="AB280" s="166">
        <v>1</v>
      </c>
      <c r="AC280" s="166">
        <v>1</v>
      </c>
      <c r="AD280" s="166">
        <v>1</v>
      </c>
      <c r="AE280" s="166">
        <v>1</v>
      </c>
      <c r="AF280" s="166">
        <v>1</v>
      </c>
      <c r="AG280" s="166">
        <v>1</v>
      </c>
      <c r="AH280" s="166">
        <v>1</v>
      </c>
      <c r="AI280" s="166">
        <v>1</v>
      </c>
      <c r="AJ280" s="166">
        <v>1</v>
      </c>
      <c r="AK280" s="166">
        <v>1</v>
      </c>
      <c r="AL280" s="166">
        <v>1</v>
      </c>
      <c r="AM280" s="166">
        <v>1</v>
      </c>
      <c r="AN280" s="166">
        <v>1</v>
      </c>
      <c r="AO280" s="166">
        <v>1</v>
      </c>
      <c r="AP280" s="166">
        <v>1</v>
      </c>
      <c r="AQ280" s="166">
        <v>1</v>
      </c>
      <c r="AR280" s="166">
        <v>1</v>
      </c>
      <c r="AS280" s="166">
        <v>1</v>
      </c>
    </row>
    <row r="281" spans="2:45" outlineLevel="1" x14ac:dyDescent="0.15"/>
    <row r="282" spans="2:45" outlineLevel="1" x14ac:dyDescent="0.15">
      <c r="B282" s="108" t="s">
        <v>81</v>
      </c>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row>
    <row r="283" spans="2:45" outlineLevel="1" x14ac:dyDescent="0.15"/>
    <row r="284" spans="2:45" outlineLevel="1" x14ac:dyDescent="0.15">
      <c r="B284" s="107" t="s">
        <v>569</v>
      </c>
      <c r="J284" s="14">
        <f t="shared" ref="J284:AS284" ca="1" si="120">J366</f>
        <v>0</v>
      </c>
      <c r="K284" s="14">
        <f t="shared" ca="1" si="120"/>
        <v>0</v>
      </c>
      <c r="L284" s="14">
        <f t="shared" ca="1" si="120"/>
        <v>0</v>
      </c>
      <c r="M284" s="14">
        <f t="shared" ca="1" si="120"/>
        <v>0</v>
      </c>
      <c r="N284" s="14">
        <f t="shared" ca="1" si="120"/>
        <v>0</v>
      </c>
      <c r="O284" s="14">
        <f t="shared" ca="1" si="120"/>
        <v>0</v>
      </c>
      <c r="P284" s="14">
        <f t="shared" ca="1" si="120"/>
        <v>0</v>
      </c>
      <c r="Q284" s="14">
        <f t="shared" ca="1" si="120"/>
        <v>0</v>
      </c>
      <c r="R284" s="14">
        <f t="shared" ca="1" si="120"/>
        <v>0</v>
      </c>
      <c r="S284" s="14">
        <f t="shared" ca="1" si="120"/>
        <v>0</v>
      </c>
      <c r="T284" s="14">
        <f t="shared" ca="1" si="120"/>
        <v>0</v>
      </c>
      <c r="U284" s="14">
        <f t="shared" ca="1" si="120"/>
        <v>0</v>
      </c>
      <c r="V284" s="14">
        <f t="shared" ca="1" si="120"/>
        <v>0</v>
      </c>
      <c r="W284" s="14">
        <f t="shared" ca="1" si="120"/>
        <v>0</v>
      </c>
      <c r="X284" s="14">
        <f t="shared" ca="1" si="120"/>
        <v>0</v>
      </c>
      <c r="Y284" s="14">
        <f t="shared" ca="1" si="120"/>
        <v>0</v>
      </c>
      <c r="Z284" s="14">
        <f t="shared" ca="1" si="120"/>
        <v>0</v>
      </c>
      <c r="AA284" s="14">
        <f t="shared" ca="1" si="120"/>
        <v>0</v>
      </c>
      <c r="AB284" s="14">
        <f t="shared" ca="1" si="120"/>
        <v>0</v>
      </c>
      <c r="AC284" s="14">
        <f t="shared" ca="1" si="120"/>
        <v>0</v>
      </c>
      <c r="AD284" s="14">
        <f t="shared" ca="1" si="120"/>
        <v>0</v>
      </c>
      <c r="AE284" s="14">
        <f t="shared" ca="1" si="120"/>
        <v>0</v>
      </c>
      <c r="AF284" s="14">
        <f t="shared" ca="1" si="120"/>
        <v>0</v>
      </c>
      <c r="AG284" s="14">
        <f t="shared" ca="1" si="120"/>
        <v>0</v>
      </c>
      <c r="AH284" s="14">
        <f t="shared" ca="1" si="120"/>
        <v>0</v>
      </c>
      <c r="AI284" s="14">
        <f t="shared" ca="1" si="120"/>
        <v>0</v>
      </c>
      <c r="AJ284" s="14">
        <f t="shared" ca="1" si="120"/>
        <v>0</v>
      </c>
      <c r="AK284" s="14">
        <f t="shared" ca="1" si="120"/>
        <v>0</v>
      </c>
      <c r="AL284" s="14">
        <f t="shared" ca="1" si="120"/>
        <v>0</v>
      </c>
      <c r="AM284" s="14">
        <f t="shared" ca="1" si="120"/>
        <v>0</v>
      </c>
      <c r="AN284" s="14">
        <f t="shared" ca="1" si="120"/>
        <v>0</v>
      </c>
      <c r="AO284" s="14">
        <f t="shared" ca="1" si="120"/>
        <v>0</v>
      </c>
      <c r="AP284" s="14">
        <f t="shared" ca="1" si="120"/>
        <v>0</v>
      </c>
      <c r="AQ284" s="14">
        <f t="shared" ca="1" si="120"/>
        <v>0</v>
      </c>
      <c r="AR284" s="14">
        <f t="shared" ca="1" si="120"/>
        <v>0</v>
      </c>
      <c r="AS284" s="14">
        <f t="shared" ca="1" si="120"/>
        <v>0</v>
      </c>
    </row>
    <row r="285" spans="2:45" outlineLevel="1" x14ac:dyDescent="0.15"/>
    <row r="286" spans="2:45" outlineLevel="1" x14ac:dyDescent="0.15">
      <c r="B286" s="108" t="s">
        <v>570</v>
      </c>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row>
    <row r="287" spans="2:45" outlineLevel="1" x14ac:dyDescent="0.15"/>
    <row r="288" spans="2:45" outlineLevel="1" x14ac:dyDescent="0.15">
      <c r="B288" s="107" t="s">
        <v>79</v>
      </c>
      <c r="J288" s="14">
        <f t="shared" ref="J288:AS288" ca="1" si="121">J248</f>
        <v>-7112.4718497491049</v>
      </c>
      <c r="K288" s="14">
        <f t="shared" ca="1" si="121"/>
        <v>-7882.7240998844463</v>
      </c>
      <c r="L288" s="14">
        <f t="shared" ca="1" si="121"/>
        <v>-7729.4652597562726</v>
      </c>
      <c r="M288" s="14">
        <f t="shared" ca="1" si="121"/>
        <v>-6692.5382937777777</v>
      </c>
      <c r="N288" s="14">
        <f t="shared" ca="1" si="121"/>
        <v>-10364.783474070253</v>
      </c>
      <c r="O288" s="14">
        <f t="shared" ca="1" si="121"/>
        <v>-8154.5365987240157</v>
      </c>
      <c r="P288" s="14">
        <f t="shared" ca="1" si="121"/>
        <v>-8420.2483729777778</v>
      </c>
      <c r="Q288" s="14">
        <f t="shared" ca="1" si="121"/>
        <v>-8452.8934254250908</v>
      </c>
      <c r="R288" s="14">
        <f t="shared" ca="1" si="121"/>
        <v>-9644.7014192711104</v>
      </c>
      <c r="S288" s="14">
        <f t="shared" ca="1" si="121"/>
        <v>-8971.7403971584245</v>
      </c>
      <c r="T288" s="14">
        <f t="shared" ca="1" si="121"/>
        <v>-8788.8003644444452</v>
      </c>
      <c r="U288" s="14">
        <f t="shared" ca="1" si="121"/>
        <v>-9447.6693323240142</v>
      </c>
      <c r="V288" s="14">
        <f t="shared" ca="1" si="121"/>
        <v>-9918.5109891326174</v>
      </c>
      <c r="W288" s="14">
        <f t="shared" ca="1" si="121"/>
        <v>-6915.8129987644452</v>
      </c>
      <c r="X288" s="14">
        <f t="shared" ca="1" si="121"/>
        <v>-6611.3433247885323</v>
      </c>
      <c r="Y288" s="14">
        <f t="shared" ca="1" si="121"/>
        <v>-5703.6046477777791</v>
      </c>
      <c r="Z288" s="14">
        <f t="shared" ca="1" si="121"/>
        <v>-10400.940800160573</v>
      </c>
      <c r="AA288" s="14">
        <f t="shared" ca="1" si="121"/>
        <v>-7578.3419087627253</v>
      </c>
      <c r="AB288" s="14">
        <f t="shared" ca="1" si="121"/>
        <v>-6722.619009777778</v>
      </c>
      <c r="AC288" s="14">
        <f t="shared" ca="1" si="121"/>
        <v>-6711.8671489863809</v>
      </c>
      <c r="AD288" s="14">
        <f t="shared" ca="1" si="121"/>
        <v>-8303.0657271111122</v>
      </c>
      <c r="AE288" s="14">
        <f t="shared" ca="1" si="121"/>
        <v>-7575.7188468358427</v>
      </c>
      <c r="AF288" s="14">
        <f t="shared" ca="1" si="121"/>
        <v>-7112.8978252444449</v>
      </c>
      <c r="AG288" s="14">
        <f t="shared" ca="1" si="121"/>
        <v>-8117.5244214594995</v>
      </c>
      <c r="AH288" s="14">
        <f t="shared" ca="1" si="121"/>
        <v>-8615.7589917132627</v>
      </c>
      <c r="AI288" s="14">
        <f t="shared" ca="1" si="121"/>
        <v>-4452.207966844443</v>
      </c>
      <c r="AJ288" s="14">
        <f t="shared" ca="1" si="121"/>
        <v>-4340.992110336917</v>
      </c>
      <c r="AK288" s="14">
        <f t="shared" ca="1" si="121"/>
        <v>-4099.727777777779</v>
      </c>
      <c r="AL288" s="14">
        <f t="shared" ca="1" si="121"/>
        <v>-9161.9791860702535</v>
      </c>
      <c r="AM288" s="14">
        <f t="shared" ca="1" si="121"/>
        <v>-5989.6791271627235</v>
      </c>
      <c r="AN288" s="14">
        <f t="shared" ca="1" si="121"/>
        <v>-5275.7968177777784</v>
      </c>
      <c r="AO288" s="14">
        <f t="shared" ca="1" si="121"/>
        <v>-4902.5107024573463</v>
      </c>
      <c r="AP288" s="14">
        <f t="shared" ca="1" si="121"/>
        <v>-7141.7200349511104</v>
      </c>
      <c r="AQ288" s="14">
        <f t="shared" ca="1" si="121"/>
        <v>-6456.7578618810039</v>
      </c>
      <c r="AR288" s="14">
        <f t="shared" ca="1" si="121"/>
        <v>-5514.3420636444425</v>
      </c>
      <c r="AS288" s="14">
        <f t="shared" ca="1" si="121"/>
        <v>-6962.8895105949832</v>
      </c>
    </row>
    <row r="289" spans="2:45" ht="6" hidden="1" customHeight="1" outlineLevel="2" x14ac:dyDescent="0.15"/>
    <row r="290" spans="2:45" hidden="1" outlineLevel="2" x14ac:dyDescent="0.15">
      <c r="C290" s="107" t="str">
        <f>B251</f>
        <v>(Add Back) Provision for Annual Leave</v>
      </c>
      <c r="J290" s="14">
        <f t="shared" ref="J290:AS290" si="122">J251</f>
        <v>0</v>
      </c>
      <c r="K290" s="14">
        <f t="shared" si="122"/>
        <v>0</v>
      </c>
      <c r="L290" s="14">
        <f t="shared" si="122"/>
        <v>0</v>
      </c>
      <c r="M290" s="14">
        <f t="shared" si="122"/>
        <v>0</v>
      </c>
      <c r="N290" s="14">
        <f t="shared" si="122"/>
        <v>0</v>
      </c>
      <c r="O290" s="14">
        <f t="shared" si="122"/>
        <v>0</v>
      </c>
      <c r="P290" s="14">
        <f t="shared" si="122"/>
        <v>0</v>
      </c>
      <c r="Q290" s="14">
        <f t="shared" si="122"/>
        <v>0</v>
      </c>
      <c r="R290" s="14">
        <f t="shared" si="122"/>
        <v>0</v>
      </c>
      <c r="S290" s="14">
        <f t="shared" si="122"/>
        <v>0</v>
      </c>
      <c r="T290" s="14">
        <f t="shared" si="122"/>
        <v>0</v>
      </c>
      <c r="U290" s="14">
        <f t="shared" si="122"/>
        <v>0</v>
      </c>
      <c r="V290" s="14">
        <f t="shared" si="122"/>
        <v>0</v>
      </c>
      <c r="W290" s="14">
        <f t="shared" si="122"/>
        <v>0</v>
      </c>
      <c r="X290" s="14">
        <f t="shared" si="122"/>
        <v>0</v>
      </c>
      <c r="Y290" s="14">
        <f t="shared" si="122"/>
        <v>0</v>
      </c>
      <c r="Z290" s="14">
        <f t="shared" si="122"/>
        <v>0</v>
      </c>
      <c r="AA290" s="14">
        <f t="shared" si="122"/>
        <v>0</v>
      </c>
      <c r="AB290" s="14">
        <f t="shared" si="122"/>
        <v>0</v>
      </c>
      <c r="AC290" s="14">
        <f t="shared" si="122"/>
        <v>0</v>
      </c>
      <c r="AD290" s="14">
        <f t="shared" si="122"/>
        <v>0</v>
      </c>
      <c r="AE290" s="14">
        <f t="shared" si="122"/>
        <v>0</v>
      </c>
      <c r="AF290" s="14">
        <f t="shared" si="122"/>
        <v>0</v>
      </c>
      <c r="AG290" s="14">
        <f t="shared" si="122"/>
        <v>0</v>
      </c>
      <c r="AH290" s="14">
        <f t="shared" si="122"/>
        <v>0</v>
      </c>
      <c r="AI290" s="14">
        <f t="shared" si="122"/>
        <v>0</v>
      </c>
      <c r="AJ290" s="14">
        <f t="shared" si="122"/>
        <v>0</v>
      </c>
      <c r="AK290" s="14">
        <f t="shared" si="122"/>
        <v>0</v>
      </c>
      <c r="AL290" s="14">
        <f t="shared" si="122"/>
        <v>0</v>
      </c>
      <c r="AM290" s="14">
        <f t="shared" si="122"/>
        <v>0</v>
      </c>
      <c r="AN290" s="14">
        <f t="shared" si="122"/>
        <v>0</v>
      </c>
      <c r="AO290" s="14">
        <f t="shared" si="122"/>
        <v>0</v>
      </c>
      <c r="AP290" s="14">
        <f t="shared" si="122"/>
        <v>0</v>
      </c>
      <c r="AQ290" s="14">
        <f t="shared" si="122"/>
        <v>0</v>
      </c>
      <c r="AR290" s="14">
        <f t="shared" si="122"/>
        <v>0</v>
      </c>
      <c r="AS290" s="14">
        <f t="shared" si="122"/>
        <v>0</v>
      </c>
    </row>
    <row r="291" spans="2:45" hidden="1" outlineLevel="2" x14ac:dyDescent="0.15">
      <c r="C291" s="107" t="str">
        <f>B252</f>
        <v>(Add Back) Provision for Long Service Leave</v>
      </c>
      <c r="J291" s="14">
        <f t="shared" ref="J291:AS291" si="123">J252</f>
        <v>0</v>
      </c>
      <c r="K291" s="14">
        <f t="shared" si="123"/>
        <v>0</v>
      </c>
      <c r="L291" s="14">
        <f t="shared" si="123"/>
        <v>0</v>
      </c>
      <c r="M291" s="14">
        <f t="shared" si="123"/>
        <v>0</v>
      </c>
      <c r="N291" s="14">
        <f t="shared" si="123"/>
        <v>0</v>
      </c>
      <c r="O291" s="14">
        <f t="shared" si="123"/>
        <v>0</v>
      </c>
      <c r="P291" s="14">
        <f t="shared" si="123"/>
        <v>0</v>
      </c>
      <c r="Q291" s="14">
        <f t="shared" si="123"/>
        <v>0</v>
      </c>
      <c r="R291" s="14">
        <f t="shared" si="123"/>
        <v>0</v>
      </c>
      <c r="S291" s="14">
        <f t="shared" si="123"/>
        <v>0</v>
      </c>
      <c r="T291" s="14">
        <f t="shared" si="123"/>
        <v>0</v>
      </c>
      <c r="U291" s="14">
        <f t="shared" si="123"/>
        <v>0</v>
      </c>
      <c r="V291" s="14">
        <f t="shared" si="123"/>
        <v>0</v>
      </c>
      <c r="W291" s="14">
        <f t="shared" si="123"/>
        <v>0</v>
      </c>
      <c r="X291" s="14">
        <f t="shared" si="123"/>
        <v>0</v>
      </c>
      <c r="Y291" s="14">
        <f t="shared" si="123"/>
        <v>0</v>
      </c>
      <c r="Z291" s="14">
        <f t="shared" si="123"/>
        <v>0</v>
      </c>
      <c r="AA291" s="14">
        <f t="shared" si="123"/>
        <v>0</v>
      </c>
      <c r="AB291" s="14">
        <f t="shared" si="123"/>
        <v>0</v>
      </c>
      <c r="AC291" s="14">
        <f t="shared" si="123"/>
        <v>0</v>
      </c>
      <c r="AD291" s="14">
        <f t="shared" si="123"/>
        <v>0</v>
      </c>
      <c r="AE291" s="14">
        <f t="shared" si="123"/>
        <v>0</v>
      </c>
      <c r="AF291" s="14">
        <f t="shared" si="123"/>
        <v>0</v>
      </c>
      <c r="AG291" s="14">
        <f t="shared" si="123"/>
        <v>0</v>
      </c>
      <c r="AH291" s="14">
        <f t="shared" si="123"/>
        <v>0</v>
      </c>
      <c r="AI291" s="14">
        <f t="shared" si="123"/>
        <v>0</v>
      </c>
      <c r="AJ291" s="14">
        <f t="shared" si="123"/>
        <v>0</v>
      </c>
      <c r="AK291" s="14">
        <f t="shared" si="123"/>
        <v>0</v>
      </c>
      <c r="AL291" s="14">
        <f t="shared" si="123"/>
        <v>0</v>
      </c>
      <c r="AM291" s="14">
        <f t="shared" si="123"/>
        <v>0</v>
      </c>
      <c r="AN291" s="14">
        <f t="shared" si="123"/>
        <v>0</v>
      </c>
      <c r="AO291" s="14">
        <f t="shared" si="123"/>
        <v>0</v>
      </c>
      <c r="AP291" s="14">
        <f t="shared" si="123"/>
        <v>0</v>
      </c>
      <c r="AQ291" s="14">
        <f t="shared" si="123"/>
        <v>0</v>
      </c>
      <c r="AR291" s="14">
        <f t="shared" si="123"/>
        <v>0</v>
      </c>
      <c r="AS291" s="14">
        <f t="shared" si="123"/>
        <v>0</v>
      </c>
    </row>
    <row r="292" spans="2:45" hidden="1" outlineLevel="2" x14ac:dyDescent="0.15">
      <c r="C292" s="107" t="str">
        <f>B253</f>
        <v>(Add Back) Pension Contributions Withheld</v>
      </c>
      <c r="J292" s="14">
        <f t="shared" ref="J292:AS292" si="124">J253</f>
        <v>0</v>
      </c>
      <c r="K292" s="14">
        <f t="shared" si="124"/>
        <v>0</v>
      </c>
      <c r="L292" s="14">
        <f t="shared" si="124"/>
        <v>0</v>
      </c>
      <c r="M292" s="14">
        <f t="shared" si="124"/>
        <v>0</v>
      </c>
      <c r="N292" s="14">
        <f t="shared" si="124"/>
        <v>0</v>
      </c>
      <c r="O292" s="14">
        <f t="shared" si="124"/>
        <v>0</v>
      </c>
      <c r="P292" s="14">
        <f t="shared" si="124"/>
        <v>0</v>
      </c>
      <c r="Q292" s="14">
        <f t="shared" si="124"/>
        <v>0</v>
      </c>
      <c r="R292" s="14">
        <f t="shared" si="124"/>
        <v>0</v>
      </c>
      <c r="S292" s="14">
        <f t="shared" si="124"/>
        <v>0</v>
      </c>
      <c r="T292" s="14">
        <f t="shared" si="124"/>
        <v>0</v>
      </c>
      <c r="U292" s="14">
        <f t="shared" si="124"/>
        <v>0</v>
      </c>
      <c r="V292" s="14">
        <f t="shared" si="124"/>
        <v>0</v>
      </c>
      <c r="W292" s="14">
        <f t="shared" si="124"/>
        <v>0</v>
      </c>
      <c r="X292" s="14">
        <f t="shared" si="124"/>
        <v>0</v>
      </c>
      <c r="Y292" s="14">
        <f t="shared" si="124"/>
        <v>0</v>
      </c>
      <c r="Z292" s="14">
        <f t="shared" si="124"/>
        <v>0</v>
      </c>
      <c r="AA292" s="14">
        <f t="shared" si="124"/>
        <v>0</v>
      </c>
      <c r="AB292" s="14">
        <f t="shared" si="124"/>
        <v>0</v>
      </c>
      <c r="AC292" s="14">
        <f t="shared" si="124"/>
        <v>0</v>
      </c>
      <c r="AD292" s="14">
        <f t="shared" si="124"/>
        <v>0</v>
      </c>
      <c r="AE292" s="14">
        <f t="shared" si="124"/>
        <v>0</v>
      </c>
      <c r="AF292" s="14">
        <f t="shared" si="124"/>
        <v>0</v>
      </c>
      <c r="AG292" s="14">
        <f t="shared" si="124"/>
        <v>0</v>
      </c>
      <c r="AH292" s="14">
        <f t="shared" si="124"/>
        <v>0</v>
      </c>
      <c r="AI292" s="14">
        <f t="shared" si="124"/>
        <v>0</v>
      </c>
      <c r="AJ292" s="14">
        <f t="shared" si="124"/>
        <v>0</v>
      </c>
      <c r="AK292" s="14">
        <f t="shared" si="124"/>
        <v>0</v>
      </c>
      <c r="AL292" s="14">
        <f t="shared" si="124"/>
        <v>0</v>
      </c>
      <c r="AM292" s="14">
        <f t="shared" si="124"/>
        <v>0</v>
      </c>
      <c r="AN292" s="14">
        <f t="shared" si="124"/>
        <v>0</v>
      </c>
      <c r="AO292" s="14">
        <f t="shared" si="124"/>
        <v>0</v>
      </c>
      <c r="AP292" s="14">
        <f t="shared" si="124"/>
        <v>0</v>
      </c>
      <c r="AQ292" s="14">
        <f t="shared" si="124"/>
        <v>0</v>
      </c>
      <c r="AR292" s="14">
        <f t="shared" si="124"/>
        <v>0</v>
      </c>
      <c r="AS292" s="14">
        <f t="shared" si="124"/>
        <v>0</v>
      </c>
    </row>
    <row r="293" spans="2:45" hidden="1" outlineLevel="2" x14ac:dyDescent="0.15">
      <c r="C293" s="107" t="str">
        <f>B254</f>
        <v>(Less) Pension Contributions Paid</v>
      </c>
      <c r="J293" s="14">
        <f t="shared" ref="J293:AS293" si="125">-J254</f>
        <v>0</v>
      </c>
      <c r="K293" s="14">
        <f t="shared" si="125"/>
        <v>0</v>
      </c>
      <c r="L293" s="14">
        <f t="shared" si="125"/>
        <v>0</v>
      </c>
      <c r="M293" s="14">
        <f t="shared" si="125"/>
        <v>0</v>
      </c>
      <c r="N293" s="14">
        <f t="shared" si="125"/>
        <v>0</v>
      </c>
      <c r="O293" s="14">
        <f t="shared" si="125"/>
        <v>0</v>
      </c>
      <c r="P293" s="14">
        <f t="shared" si="125"/>
        <v>0</v>
      </c>
      <c r="Q293" s="14">
        <f t="shared" si="125"/>
        <v>0</v>
      </c>
      <c r="R293" s="14">
        <f t="shared" si="125"/>
        <v>0</v>
      </c>
      <c r="S293" s="14">
        <f t="shared" si="125"/>
        <v>0</v>
      </c>
      <c r="T293" s="14">
        <f t="shared" si="125"/>
        <v>0</v>
      </c>
      <c r="U293" s="14">
        <f t="shared" si="125"/>
        <v>0</v>
      </c>
      <c r="V293" s="14">
        <f t="shared" si="125"/>
        <v>0</v>
      </c>
      <c r="W293" s="14">
        <f t="shared" si="125"/>
        <v>0</v>
      </c>
      <c r="X293" s="14">
        <f t="shared" si="125"/>
        <v>0</v>
      </c>
      <c r="Y293" s="14">
        <f t="shared" si="125"/>
        <v>0</v>
      </c>
      <c r="Z293" s="14">
        <f t="shared" si="125"/>
        <v>0</v>
      </c>
      <c r="AA293" s="14">
        <f t="shared" si="125"/>
        <v>0</v>
      </c>
      <c r="AB293" s="14">
        <f t="shared" si="125"/>
        <v>0</v>
      </c>
      <c r="AC293" s="14">
        <f t="shared" si="125"/>
        <v>0</v>
      </c>
      <c r="AD293" s="14">
        <f t="shared" si="125"/>
        <v>0</v>
      </c>
      <c r="AE293" s="14">
        <f t="shared" si="125"/>
        <v>0</v>
      </c>
      <c r="AF293" s="14">
        <f t="shared" si="125"/>
        <v>0</v>
      </c>
      <c r="AG293" s="14">
        <f t="shared" si="125"/>
        <v>0</v>
      </c>
      <c r="AH293" s="14">
        <f t="shared" si="125"/>
        <v>0</v>
      </c>
      <c r="AI293" s="14">
        <f t="shared" si="125"/>
        <v>0</v>
      </c>
      <c r="AJ293" s="14">
        <f t="shared" si="125"/>
        <v>0</v>
      </c>
      <c r="AK293" s="14">
        <f t="shared" si="125"/>
        <v>0</v>
      </c>
      <c r="AL293" s="14">
        <f t="shared" si="125"/>
        <v>0</v>
      </c>
      <c r="AM293" s="14">
        <f t="shared" si="125"/>
        <v>0</v>
      </c>
      <c r="AN293" s="14">
        <f t="shared" si="125"/>
        <v>0</v>
      </c>
      <c r="AO293" s="14">
        <f t="shared" si="125"/>
        <v>0</v>
      </c>
      <c r="AP293" s="14">
        <f t="shared" si="125"/>
        <v>0</v>
      </c>
      <c r="AQ293" s="14">
        <f t="shared" si="125"/>
        <v>0</v>
      </c>
      <c r="AR293" s="14">
        <f t="shared" si="125"/>
        <v>0</v>
      </c>
      <c r="AS293" s="14">
        <f t="shared" si="125"/>
        <v>0</v>
      </c>
    </row>
    <row r="294" spans="2:45" ht="6" hidden="1" customHeight="1" outlineLevel="2" x14ac:dyDescent="0.15"/>
    <row r="295" spans="2:45" hidden="1" outlineLevel="2" x14ac:dyDescent="0.15">
      <c r="C295" s="107" t="str">
        <f>B257</f>
        <v>Other Adjustments Category 1</v>
      </c>
      <c r="J295" s="23">
        <f t="shared" ref="J295:AS295" si="126">J257</f>
        <v>0</v>
      </c>
      <c r="K295" s="23">
        <f t="shared" si="126"/>
        <v>0</v>
      </c>
      <c r="L295" s="23">
        <f t="shared" si="126"/>
        <v>0</v>
      </c>
      <c r="M295" s="23">
        <f t="shared" si="126"/>
        <v>0</v>
      </c>
      <c r="N295" s="23">
        <f t="shared" si="126"/>
        <v>0</v>
      </c>
      <c r="O295" s="23">
        <f t="shared" si="126"/>
        <v>0</v>
      </c>
      <c r="P295" s="23">
        <f t="shared" si="126"/>
        <v>0</v>
      </c>
      <c r="Q295" s="23">
        <f t="shared" si="126"/>
        <v>0</v>
      </c>
      <c r="R295" s="23">
        <f t="shared" si="126"/>
        <v>0</v>
      </c>
      <c r="S295" s="23">
        <f t="shared" si="126"/>
        <v>0</v>
      </c>
      <c r="T295" s="23">
        <f t="shared" si="126"/>
        <v>0</v>
      </c>
      <c r="U295" s="23">
        <f t="shared" si="126"/>
        <v>0</v>
      </c>
      <c r="V295" s="23">
        <f t="shared" si="126"/>
        <v>0</v>
      </c>
      <c r="W295" s="23">
        <f t="shared" si="126"/>
        <v>0</v>
      </c>
      <c r="X295" s="23">
        <f t="shared" si="126"/>
        <v>0</v>
      </c>
      <c r="Y295" s="23">
        <f t="shared" si="126"/>
        <v>0</v>
      </c>
      <c r="Z295" s="23">
        <f t="shared" si="126"/>
        <v>0</v>
      </c>
      <c r="AA295" s="23">
        <f t="shared" si="126"/>
        <v>0</v>
      </c>
      <c r="AB295" s="23">
        <f t="shared" si="126"/>
        <v>0</v>
      </c>
      <c r="AC295" s="23">
        <f t="shared" si="126"/>
        <v>0</v>
      </c>
      <c r="AD295" s="23">
        <f t="shared" si="126"/>
        <v>0</v>
      </c>
      <c r="AE295" s="23">
        <f t="shared" si="126"/>
        <v>0</v>
      </c>
      <c r="AF295" s="23">
        <f t="shared" si="126"/>
        <v>0</v>
      </c>
      <c r="AG295" s="23">
        <f t="shared" si="126"/>
        <v>0</v>
      </c>
      <c r="AH295" s="23">
        <f t="shared" si="126"/>
        <v>0</v>
      </c>
      <c r="AI295" s="23">
        <f t="shared" si="126"/>
        <v>0</v>
      </c>
      <c r="AJ295" s="23">
        <f t="shared" si="126"/>
        <v>0</v>
      </c>
      <c r="AK295" s="23">
        <f t="shared" si="126"/>
        <v>0</v>
      </c>
      <c r="AL295" s="23">
        <f t="shared" si="126"/>
        <v>0</v>
      </c>
      <c r="AM295" s="23">
        <f t="shared" si="126"/>
        <v>0</v>
      </c>
      <c r="AN295" s="23">
        <f t="shared" si="126"/>
        <v>0</v>
      </c>
      <c r="AO295" s="23">
        <f t="shared" si="126"/>
        <v>0</v>
      </c>
      <c r="AP295" s="23">
        <f t="shared" si="126"/>
        <v>0</v>
      </c>
      <c r="AQ295" s="23">
        <f t="shared" si="126"/>
        <v>0</v>
      </c>
      <c r="AR295" s="23">
        <f t="shared" si="126"/>
        <v>0</v>
      </c>
      <c r="AS295" s="23">
        <f t="shared" si="126"/>
        <v>0</v>
      </c>
    </row>
    <row r="296" spans="2:45" hidden="1" outlineLevel="2" x14ac:dyDescent="0.15">
      <c r="C296" s="107" t="str">
        <f>B258</f>
        <v>Other Adjustments Category 2</v>
      </c>
      <c r="J296" s="23">
        <f t="shared" ref="J296:AS296" si="127">J258</f>
        <v>0</v>
      </c>
      <c r="K296" s="23">
        <f t="shared" si="127"/>
        <v>0</v>
      </c>
      <c r="L296" s="23">
        <f t="shared" si="127"/>
        <v>0</v>
      </c>
      <c r="M296" s="23">
        <f t="shared" si="127"/>
        <v>0</v>
      </c>
      <c r="N296" s="23">
        <f t="shared" si="127"/>
        <v>0</v>
      </c>
      <c r="O296" s="23">
        <f t="shared" si="127"/>
        <v>0</v>
      </c>
      <c r="P296" s="23">
        <f t="shared" si="127"/>
        <v>0</v>
      </c>
      <c r="Q296" s="23">
        <f t="shared" si="127"/>
        <v>0</v>
      </c>
      <c r="R296" s="23">
        <f t="shared" si="127"/>
        <v>0</v>
      </c>
      <c r="S296" s="23">
        <f t="shared" si="127"/>
        <v>0</v>
      </c>
      <c r="T296" s="23">
        <f t="shared" si="127"/>
        <v>0</v>
      </c>
      <c r="U296" s="23">
        <f t="shared" si="127"/>
        <v>0</v>
      </c>
      <c r="V296" s="23">
        <f t="shared" si="127"/>
        <v>0</v>
      </c>
      <c r="W296" s="23">
        <f t="shared" si="127"/>
        <v>0</v>
      </c>
      <c r="X296" s="23">
        <f t="shared" si="127"/>
        <v>0</v>
      </c>
      <c r="Y296" s="23">
        <f t="shared" si="127"/>
        <v>0</v>
      </c>
      <c r="Z296" s="23">
        <f t="shared" si="127"/>
        <v>0</v>
      </c>
      <c r="AA296" s="23">
        <f t="shared" si="127"/>
        <v>0</v>
      </c>
      <c r="AB296" s="23">
        <f t="shared" si="127"/>
        <v>0</v>
      </c>
      <c r="AC296" s="23">
        <f t="shared" si="127"/>
        <v>0</v>
      </c>
      <c r="AD296" s="23">
        <f t="shared" si="127"/>
        <v>0</v>
      </c>
      <c r="AE296" s="23">
        <f t="shared" si="127"/>
        <v>0</v>
      </c>
      <c r="AF296" s="23">
        <f t="shared" si="127"/>
        <v>0</v>
      </c>
      <c r="AG296" s="23">
        <f t="shared" si="127"/>
        <v>0</v>
      </c>
      <c r="AH296" s="23">
        <f t="shared" si="127"/>
        <v>0</v>
      </c>
      <c r="AI296" s="23">
        <f t="shared" si="127"/>
        <v>0</v>
      </c>
      <c r="AJ296" s="23">
        <f t="shared" si="127"/>
        <v>0</v>
      </c>
      <c r="AK296" s="23">
        <f t="shared" si="127"/>
        <v>0</v>
      </c>
      <c r="AL296" s="23">
        <f t="shared" si="127"/>
        <v>0</v>
      </c>
      <c r="AM296" s="23">
        <f t="shared" si="127"/>
        <v>0</v>
      </c>
      <c r="AN296" s="23">
        <f t="shared" si="127"/>
        <v>0</v>
      </c>
      <c r="AO296" s="23">
        <f t="shared" si="127"/>
        <v>0</v>
      </c>
      <c r="AP296" s="23">
        <f t="shared" si="127"/>
        <v>0</v>
      </c>
      <c r="AQ296" s="23">
        <f t="shared" si="127"/>
        <v>0</v>
      </c>
      <c r="AR296" s="23">
        <f t="shared" si="127"/>
        <v>0</v>
      </c>
      <c r="AS296" s="23">
        <f t="shared" si="127"/>
        <v>0</v>
      </c>
    </row>
    <row r="297" spans="2:45" hidden="1" outlineLevel="2" x14ac:dyDescent="0.15">
      <c r="C297" s="107" t="str">
        <f>B259</f>
        <v>Other Adjustments Category 3</v>
      </c>
      <c r="J297" s="24">
        <f t="shared" ref="J297:AS297" si="128">J259</f>
        <v>0</v>
      </c>
      <c r="K297" s="24">
        <f t="shared" si="128"/>
        <v>0</v>
      </c>
      <c r="L297" s="24">
        <f t="shared" si="128"/>
        <v>0</v>
      </c>
      <c r="M297" s="24">
        <f t="shared" si="128"/>
        <v>0</v>
      </c>
      <c r="N297" s="24">
        <f t="shared" si="128"/>
        <v>0</v>
      </c>
      <c r="O297" s="24">
        <f t="shared" si="128"/>
        <v>0</v>
      </c>
      <c r="P297" s="24">
        <f t="shared" si="128"/>
        <v>0</v>
      </c>
      <c r="Q297" s="24">
        <f t="shared" si="128"/>
        <v>0</v>
      </c>
      <c r="R297" s="24">
        <f t="shared" si="128"/>
        <v>0</v>
      </c>
      <c r="S297" s="24">
        <f t="shared" si="128"/>
        <v>0</v>
      </c>
      <c r="T297" s="24">
        <f t="shared" si="128"/>
        <v>0</v>
      </c>
      <c r="U297" s="24">
        <f t="shared" si="128"/>
        <v>0</v>
      </c>
      <c r="V297" s="24">
        <f t="shared" si="128"/>
        <v>0</v>
      </c>
      <c r="W297" s="24">
        <f t="shared" si="128"/>
        <v>0</v>
      </c>
      <c r="X297" s="24">
        <f t="shared" si="128"/>
        <v>0</v>
      </c>
      <c r="Y297" s="24">
        <f t="shared" si="128"/>
        <v>0</v>
      </c>
      <c r="Z297" s="24">
        <f t="shared" si="128"/>
        <v>0</v>
      </c>
      <c r="AA297" s="24">
        <f t="shared" si="128"/>
        <v>0</v>
      </c>
      <c r="AB297" s="24">
        <f t="shared" si="128"/>
        <v>0</v>
      </c>
      <c r="AC297" s="24">
        <f t="shared" si="128"/>
        <v>0</v>
      </c>
      <c r="AD297" s="24">
        <f t="shared" si="128"/>
        <v>0</v>
      </c>
      <c r="AE297" s="24">
        <f t="shared" si="128"/>
        <v>0</v>
      </c>
      <c r="AF297" s="24">
        <f t="shared" si="128"/>
        <v>0</v>
      </c>
      <c r="AG297" s="24">
        <f t="shared" si="128"/>
        <v>0</v>
      </c>
      <c r="AH297" s="24">
        <f t="shared" si="128"/>
        <v>0</v>
      </c>
      <c r="AI297" s="24">
        <f t="shared" si="128"/>
        <v>0</v>
      </c>
      <c r="AJ297" s="24">
        <f t="shared" si="128"/>
        <v>0</v>
      </c>
      <c r="AK297" s="24">
        <f t="shared" si="128"/>
        <v>0</v>
      </c>
      <c r="AL297" s="24">
        <f t="shared" si="128"/>
        <v>0</v>
      </c>
      <c r="AM297" s="24">
        <f t="shared" si="128"/>
        <v>0</v>
      </c>
      <c r="AN297" s="24">
        <f t="shared" si="128"/>
        <v>0</v>
      </c>
      <c r="AO297" s="24">
        <f t="shared" si="128"/>
        <v>0</v>
      </c>
      <c r="AP297" s="24">
        <f t="shared" si="128"/>
        <v>0</v>
      </c>
      <c r="AQ297" s="24">
        <f t="shared" si="128"/>
        <v>0</v>
      </c>
      <c r="AR297" s="24">
        <f t="shared" si="128"/>
        <v>0</v>
      </c>
      <c r="AS297" s="24">
        <f t="shared" si="128"/>
        <v>0</v>
      </c>
    </row>
    <row r="298" spans="2:45" hidden="1" outlineLevel="2" x14ac:dyDescent="0.15">
      <c r="C298" s="107" t="str">
        <f>B260</f>
        <v>Total Other Adjustments</v>
      </c>
      <c r="J298" s="14">
        <f t="shared" ref="J298:AS298" si="129">SUM(J295:J297)</f>
        <v>0</v>
      </c>
      <c r="K298" s="14">
        <f t="shared" si="129"/>
        <v>0</v>
      </c>
      <c r="L298" s="14">
        <f t="shared" si="129"/>
        <v>0</v>
      </c>
      <c r="M298" s="14">
        <f t="shared" si="129"/>
        <v>0</v>
      </c>
      <c r="N298" s="14">
        <f t="shared" si="129"/>
        <v>0</v>
      </c>
      <c r="O298" s="14">
        <f t="shared" si="129"/>
        <v>0</v>
      </c>
      <c r="P298" s="14">
        <f t="shared" si="129"/>
        <v>0</v>
      </c>
      <c r="Q298" s="14">
        <f t="shared" si="129"/>
        <v>0</v>
      </c>
      <c r="R298" s="14">
        <f t="shared" si="129"/>
        <v>0</v>
      </c>
      <c r="S298" s="14">
        <f t="shared" si="129"/>
        <v>0</v>
      </c>
      <c r="T298" s="14">
        <f t="shared" si="129"/>
        <v>0</v>
      </c>
      <c r="U298" s="14">
        <f t="shared" si="129"/>
        <v>0</v>
      </c>
      <c r="V298" s="14">
        <f t="shared" si="129"/>
        <v>0</v>
      </c>
      <c r="W298" s="14">
        <f t="shared" si="129"/>
        <v>0</v>
      </c>
      <c r="X298" s="14">
        <f t="shared" si="129"/>
        <v>0</v>
      </c>
      <c r="Y298" s="14">
        <f t="shared" si="129"/>
        <v>0</v>
      </c>
      <c r="Z298" s="14">
        <f t="shared" si="129"/>
        <v>0</v>
      </c>
      <c r="AA298" s="14">
        <f t="shared" si="129"/>
        <v>0</v>
      </c>
      <c r="AB298" s="14">
        <f t="shared" si="129"/>
        <v>0</v>
      </c>
      <c r="AC298" s="14">
        <f t="shared" si="129"/>
        <v>0</v>
      </c>
      <c r="AD298" s="14">
        <f t="shared" si="129"/>
        <v>0</v>
      </c>
      <c r="AE298" s="14">
        <f t="shared" si="129"/>
        <v>0</v>
      </c>
      <c r="AF298" s="14">
        <f t="shared" si="129"/>
        <v>0</v>
      </c>
      <c r="AG298" s="14">
        <f t="shared" si="129"/>
        <v>0</v>
      </c>
      <c r="AH298" s="14">
        <f t="shared" si="129"/>
        <v>0</v>
      </c>
      <c r="AI298" s="14">
        <f t="shared" si="129"/>
        <v>0</v>
      </c>
      <c r="AJ298" s="14">
        <f t="shared" si="129"/>
        <v>0</v>
      </c>
      <c r="AK298" s="14">
        <f t="shared" si="129"/>
        <v>0</v>
      </c>
      <c r="AL298" s="14">
        <f t="shared" si="129"/>
        <v>0</v>
      </c>
      <c r="AM298" s="14">
        <f t="shared" si="129"/>
        <v>0</v>
      </c>
      <c r="AN298" s="14">
        <f t="shared" si="129"/>
        <v>0</v>
      </c>
      <c r="AO298" s="14">
        <f t="shared" si="129"/>
        <v>0</v>
      </c>
      <c r="AP298" s="14">
        <f t="shared" si="129"/>
        <v>0</v>
      </c>
      <c r="AQ298" s="14">
        <f t="shared" si="129"/>
        <v>0</v>
      </c>
      <c r="AR298" s="14">
        <f t="shared" si="129"/>
        <v>0</v>
      </c>
      <c r="AS298" s="14">
        <f t="shared" si="129"/>
        <v>0</v>
      </c>
    </row>
    <row r="299" spans="2:45" ht="6" hidden="1" customHeight="1" outlineLevel="2" x14ac:dyDescent="0.15"/>
    <row r="300" spans="2:45" outlineLevel="1" collapsed="1" x14ac:dyDescent="0.15">
      <c r="B300" s="107" t="s">
        <v>571</v>
      </c>
      <c r="J300" s="14">
        <f t="shared" ref="J300:AS300" si="130">SUM(J290:J293)+J298</f>
        <v>0</v>
      </c>
      <c r="K300" s="14">
        <f t="shared" si="130"/>
        <v>0</v>
      </c>
      <c r="L300" s="14">
        <f t="shared" si="130"/>
        <v>0</v>
      </c>
      <c r="M300" s="14">
        <f t="shared" si="130"/>
        <v>0</v>
      </c>
      <c r="N300" s="14">
        <f t="shared" si="130"/>
        <v>0</v>
      </c>
      <c r="O300" s="14">
        <f t="shared" si="130"/>
        <v>0</v>
      </c>
      <c r="P300" s="14">
        <f t="shared" si="130"/>
        <v>0</v>
      </c>
      <c r="Q300" s="14">
        <f t="shared" si="130"/>
        <v>0</v>
      </c>
      <c r="R300" s="14">
        <f t="shared" si="130"/>
        <v>0</v>
      </c>
      <c r="S300" s="14">
        <f t="shared" si="130"/>
        <v>0</v>
      </c>
      <c r="T300" s="14">
        <f t="shared" si="130"/>
        <v>0</v>
      </c>
      <c r="U300" s="14">
        <f t="shared" si="130"/>
        <v>0</v>
      </c>
      <c r="V300" s="14">
        <f t="shared" si="130"/>
        <v>0</v>
      </c>
      <c r="W300" s="14">
        <f t="shared" si="130"/>
        <v>0</v>
      </c>
      <c r="X300" s="14">
        <f t="shared" si="130"/>
        <v>0</v>
      </c>
      <c r="Y300" s="14">
        <f t="shared" si="130"/>
        <v>0</v>
      </c>
      <c r="Z300" s="14">
        <f t="shared" si="130"/>
        <v>0</v>
      </c>
      <c r="AA300" s="14">
        <f t="shared" si="130"/>
        <v>0</v>
      </c>
      <c r="AB300" s="14">
        <f t="shared" si="130"/>
        <v>0</v>
      </c>
      <c r="AC300" s="14">
        <f t="shared" si="130"/>
        <v>0</v>
      </c>
      <c r="AD300" s="14">
        <f t="shared" si="130"/>
        <v>0</v>
      </c>
      <c r="AE300" s="14">
        <f t="shared" si="130"/>
        <v>0</v>
      </c>
      <c r="AF300" s="14">
        <f t="shared" si="130"/>
        <v>0</v>
      </c>
      <c r="AG300" s="14">
        <f t="shared" si="130"/>
        <v>0</v>
      </c>
      <c r="AH300" s="14">
        <f t="shared" si="130"/>
        <v>0</v>
      </c>
      <c r="AI300" s="14">
        <f t="shared" si="130"/>
        <v>0</v>
      </c>
      <c r="AJ300" s="14">
        <f t="shared" si="130"/>
        <v>0</v>
      </c>
      <c r="AK300" s="14">
        <f t="shared" si="130"/>
        <v>0</v>
      </c>
      <c r="AL300" s="14">
        <f t="shared" si="130"/>
        <v>0</v>
      </c>
      <c r="AM300" s="14">
        <f t="shared" si="130"/>
        <v>0</v>
      </c>
      <c r="AN300" s="14">
        <f t="shared" si="130"/>
        <v>0</v>
      </c>
      <c r="AO300" s="14">
        <f t="shared" si="130"/>
        <v>0</v>
      </c>
      <c r="AP300" s="14">
        <f t="shared" si="130"/>
        <v>0</v>
      </c>
      <c r="AQ300" s="14">
        <f t="shared" si="130"/>
        <v>0</v>
      </c>
      <c r="AR300" s="14">
        <f t="shared" si="130"/>
        <v>0</v>
      </c>
      <c r="AS300" s="14">
        <f t="shared" si="130"/>
        <v>0</v>
      </c>
    </row>
    <row r="301" spans="2:45" outlineLevel="1" x14ac:dyDescent="0.15">
      <c r="B301" s="16" t="s">
        <v>572</v>
      </c>
      <c r="J301" s="18">
        <f t="shared" ref="J301:AS301" ca="1" si="131">J288+J300</f>
        <v>-7112.4718497491049</v>
      </c>
      <c r="K301" s="18">
        <f t="shared" ca="1" si="131"/>
        <v>-7882.7240998844463</v>
      </c>
      <c r="L301" s="18">
        <f t="shared" ca="1" si="131"/>
        <v>-7729.4652597562726</v>
      </c>
      <c r="M301" s="18">
        <f t="shared" ca="1" si="131"/>
        <v>-6692.5382937777777</v>
      </c>
      <c r="N301" s="18">
        <f t="shared" ca="1" si="131"/>
        <v>-10364.783474070253</v>
      </c>
      <c r="O301" s="18">
        <f t="shared" ca="1" si="131"/>
        <v>-8154.5365987240157</v>
      </c>
      <c r="P301" s="18">
        <f t="shared" ca="1" si="131"/>
        <v>-8420.2483729777778</v>
      </c>
      <c r="Q301" s="18">
        <f t="shared" ca="1" si="131"/>
        <v>-8452.8934254250908</v>
      </c>
      <c r="R301" s="18">
        <f t="shared" ca="1" si="131"/>
        <v>-9644.7014192711104</v>
      </c>
      <c r="S301" s="18">
        <f t="shared" ca="1" si="131"/>
        <v>-8971.7403971584245</v>
      </c>
      <c r="T301" s="18">
        <f t="shared" ca="1" si="131"/>
        <v>-8788.8003644444452</v>
      </c>
      <c r="U301" s="18">
        <f t="shared" ca="1" si="131"/>
        <v>-9447.6693323240142</v>
      </c>
      <c r="V301" s="18">
        <f t="shared" ca="1" si="131"/>
        <v>-9918.5109891326174</v>
      </c>
      <c r="W301" s="18">
        <f t="shared" ca="1" si="131"/>
        <v>-6915.8129987644452</v>
      </c>
      <c r="X301" s="18">
        <f t="shared" ca="1" si="131"/>
        <v>-6611.3433247885323</v>
      </c>
      <c r="Y301" s="18">
        <f t="shared" ca="1" si="131"/>
        <v>-5703.6046477777791</v>
      </c>
      <c r="Z301" s="18">
        <f t="shared" ca="1" si="131"/>
        <v>-10400.940800160573</v>
      </c>
      <c r="AA301" s="18">
        <f t="shared" ca="1" si="131"/>
        <v>-7578.3419087627253</v>
      </c>
      <c r="AB301" s="18">
        <f t="shared" ca="1" si="131"/>
        <v>-6722.619009777778</v>
      </c>
      <c r="AC301" s="18">
        <f t="shared" ca="1" si="131"/>
        <v>-6711.8671489863809</v>
      </c>
      <c r="AD301" s="18">
        <f t="shared" ca="1" si="131"/>
        <v>-8303.0657271111122</v>
      </c>
      <c r="AE301" s="18">
        <f t="shared" ca="1" si="131"/>
        <v>-7575.7188468358427</v>
      </c>
      <c r="AF301" s="18">
        <f t="shared" ca="1" si="131"/>
        <v>-7112.8978252444449</v>
      </c>
      <c r="AG301" s="18">
        <f t="shared" ca="1" si="131"/>
        <v>-8117.5244214594995</v>
      </c>
      <c r="AH301" s="18">
        <f t="shared" ca="1" si="131"/>
        <v>-8615.7589917132627</v>
      </c>
      <c r="AI301" s="18">
        <f t="shared" ca="1" si="131"/>
        <v>-4452.207966844443</v>
      </c>
      <c r="AJ301" s="18">
        <f t="shared" ca="1" si="131"/>
        <v>-4340.992110336917</v>
      </c>
      <c r="AK301" s="18">
        <f t="shared" ca="1" si="131"/>
        <v>-4099.727777777779</v>
      </c>
      <c r="AL301" s="18">
        <f t="shared" ca="1" si="131"/>
        <v>-9161.9791860702535</v>
      </c>
      <c r="AM301" s="18">
        <f t="shared" ca="1" si="131"/>
        <v>-5989.6791271627235</v>
      </c>
      <c r="AN301" s="18">
        <f t="shared" ca="1" si="131"/>
        <v>-5275.7968177777784</v>
      </c>
      <c r="AO301" s="18">
        <f t="shared" ca="1" si="131"/>
        <v>-4902.5107024573463</v>
      </c>
      <c r="AP301" s="18">
        <f t="shared" ca="1" si="131"/>
        <v>-7141.7200349511104</v>
      </c>
      <c r="AQ301" s="18">
        <f t="shared" ca="1" si="131"/>
        <v>-6456.7578618810039</v>
      </c>
      <c r="AR301" s="18">
        <f t="shared" ca="1" si="131"/>
        <v>-5514.3420636444425</v>
      </c>
      <c r="AS301" s="18">
        <f t="shared" ca="1" si="131"/>
        <v>-6962.8895105949832</v>
      </c>
    </row>
    <row r="302" spans="2:45" outlineLevel="1" x14ac:dyDescent="0.15"/>
    <row r="303" spans="2:45" outlineLevel="1" x14ac:dyDescent="0.15">
      <c r="B303" s="108" t="s">
        <v>573</v>
      </c>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row>
    <row r="304" spans="2:45" outlineLevel="1" x14ac:dyDescent="0.15"/>
    <row r="305" spans="2:45" outlineLevel="1" x14ac:dyDescent="0.15">
      <c r="B305" s="107" t="s">
        <v>375</v>
      </c>
      <c r="J305" s="14">
        <f t="shared" ref="J305:AS305" si="132">IF(J$8=1,$I$240,I308)</f>
        <v>0</v>
      </c>
      <c r="K305" s="14">
        <f t="shared" ca="1" si="132"/>
        <v>7112.4718497491049</v>
      </c>
      <c r="L305" s="14">
        <f t="shared" ca="1" si="132"/>
        <v>14995.195949633551</v>
      </c>
      <c r="M305" s="14">
        <f t="shared" ca="1" si="132"/>
        <v>22724.661209389822</v>
      </c>
      <c r="N305" s="14">
        <f t="shared" ca="1" si="132"/>
        <v>29417.199503167598</v>
      </c>
      <c r="O305" s="14">
        <f t="shared" ca="1" si="132"/>
        <v>39781.982977237851</v>
      </c>
      <c r="P305" s="14">
        <f t="shared" ca="1" si="132"/>
        <v>47936.519575961865</v>
      </c>
      <c r="Q305" s="14">
        <f t="shared" ca="1" si="132"/>
        <v>56356.76794893964</v>
      </c>
      <c r="R305" s="14">
        <f t="shared" ca="1" si="132"/>
        <v>64809.661374364732</v>
      </c>
      <c r="S305" s="14">
        <f t="shared" ca="1" si="132"/>
        <v>74454.362793635839</v>
      </c>
      <c r="T305" s="14">
        <f t="shared" ca="1" si="132"/>
        <v>83426.103190794267</v>
      </c>
      <c r="U305" s="14">
        <f t="shared" ca="1" si="132"/>
        <v>92214.903555238707</v>
      </c>
      <c r="V305" s="14">
        <f t="shared" ca="1" si="132"/>
        <v>101662.57288756272</v>
      </c>
      <c r="W305" s="14">
        <f t="shared" ca="1" si="132"/>
        <v>111581.08387669534</v>
      </c>
      <c r="X305" s="14">
        <f t="shared" ca="1" si="132"/>
        <v>118496.89687545979</v>
      </c>
      <c r="Y305" s="14">
        <f t="shared" ca="1" si="132"/>
        <v>125108.24020024831</v>
      </c>
      <c r="Z305" s="14">
        <f t="shared" ca="1" si="132"/>
        <v>130811.84484802608</v>
      </c>
      <c r="AA305" s="14">
        <f t="shared" ca="1" si="132"/>
        <v>141212.78564818666</v>
      </c>
      <c r="AB305" s="14">
        <f t="shared" ca="1" si="132"/>
        <v>148791.12755694939</v>
      </c>
      <c r="AC305" s="14">
        <f t="shared" ca="1" si="132"/>
        <v>155513.74656672718</v>
      </c>
      <c r="AD305" s="14">
        <f t="shared" ca="1" si="132"/>
        <v>162225.61371571355</v>
      </c>
      <c r="AE305" s="14">
        <f t="shared" ca="1" si="132"/>
        <v>170528.67944282468</v>
      </c>
      <c r="AF305" s="14">
        <f t="shared" ca="1" si="132"/>
        <v>178104.39828966052</v>
      </c>
      <c r="AG305" s="14">
        <f t="shared" ca="1" si="132"/>
        <v>185217.29611490495</v>
      </c>
      <c r="AH305" s="14">
        <f t="shared" ca="1" si="132"/>
        <v>193334.82053636445</v>
      </c>
      <c r="AI305" s="14">
        <f t="shared" ca="1" si="132"/>
        <v>201950.57952807771</v>
      </c>
      <c r="AJ305" s="14">
        <f t="shared" ca="1" si="132"/>
        <v>206402.78749492214</v>
      </c>
      <c r="AK305" s="14">
        <f t="shared" ca="1" si="132"/>
        <v>210743.77960525907</v>
      </c>
      <c r="AL305" s="14">
        <f t="shared" ca="1" si="132"/>
        <v>214843.50738303683</v>
      </c>
      <c r="AM305" s="14">
        <f t="shared" ca="1" si="132"/>
        <v>224005.4865691071</v>
      </c>
      <c r="AN305" s="14">
        <f t="shared" ca="1" si="132"/>
        <v>229995.16569626983</v>
      </c>
      <c r="AO305" s="14">
        <f t="shared" ca="1" si="132"/>
        <v>235270.9625140476</v>
      </c>
      <c r="AP305" s="14">
        <f t="shared" ca="1" si="132"/>
        <v>240173.47321650496</v>
      </c>
      <c r="AQ305" s="14">
        <f t="shared" ca="1" si="132"/>
        <v>247315.19325145608</v>
      </c>
      <c r="AR305" s="14">
        <f t="shared" ca="1" si="132"/>
        <v>253771.95111333707</v>
      </c>
      <c r="AS305" s="14">
        <f t="shared" ca="1" si="132"/>
        <v>259286.2931769815</v>
      </c>
    </row>
    <row r="306" spans="2:45" outlineLevel="1" x14ac:dyDescent="0.15">
      <c r="B306" s="107" t="s">
        <v>574</v>
      </c>
      <c r="J306" s="14">
        <f t="shared" ref="J306:AS306" ca="1" si="133">MAX(0,IF(OR(J$8=1,J315=1),J325-J322,J325-I325))</f>
        <v>7112.4718497491049</v>
      </c>
      <c r="K306" s="14">
        <f t="shared" ca="1" si="133"/>
        <v>7882.7240998844463</v>
      </c>
      <c r="L306" s="14">
        <f t="shared" ca="1" si="133"/>
        <v>7729.4652597562708</v>
      </c>
      <c r="M306" s="14">
        <f t="shared" ca="1" si="133"/>
        <v>6692.5382937777758</v>
      </c>
      <c r="N306" s="14">
        <f t="shared" ca="1" si="133"/>
        <v>10364.783474070253</v>
      </c>
      <c r="O306" s="14">
        <f t="shared" ca="1" si="133"/>
        <v>8154.5365987240148</v>
      </c>
      <c r="P306" s="14">
        <f t="shared" ca="1" si="133"/>
        <v>8420.2483729777741</v>
      </c>
      <c r="Q306" s="14">
        <f t="shared" ca="1" si="133"/>
        <v>8452.8934254250926</v>
      </c>
      <c r="R306" s="14">
        <f t="shared" ca="1" si="133"/>
        <v>9644.7014192711067</v>
      </c>
      <c r="S306" s="14">
        <f t="shared" ca="1" si="133"/>
        <v>8971.7403971584281</v>
      </c>
      <c r="T306" s="14">
        <f t="shared" ca="1" si="133"/>
        <v>8788.8003644444398</v>
      </c>
      <c r="U306" s="14">
        <f t="shared" ca="1" si="133"/>
        <v>9447.6693323240179</v>
      </c>
      <c r="V306" s="14">
        <f t="shared" ca="1" si="133"/>
        <v>9918.5109891326138</v>
      </c>
      <c r="W306" s="14">
        <f t="shared" ca="1" si="133"/>
        <v>6915.8129987644497</v>
      </c>
      <c r="X306" s="14">
        <f t="shared" ca="1" si="133"/>
        <v>6611.3433247885259</v>
      </c>
      <c r="Y306" s="14">
        <f t="shared" ca="1" si="133"/>
        <v>5703.6046477777709</v>
      </c>
      <c r="Z306" s="14">
        <f t="shared" ca="1" si="133"/>
        <v>10400.940800160577</v>
      </c>
      <c r="AA306" s="14">
        <f t="shared" ca="1" si="133"/>
        <v>7578.3419087627262</v>
      </c>
      <c r="AB306" s="14">
        <f t="shared" ca="1" si="133"/>
        <v>6722.6190097777871</v>
      </c>
      <c r="AC306" s="14">
        <f t="shared" ca="1" si="133"/>
        <v>6711.8671489863773</v>
      </c>
      <c r="AD306" s="14">
        <f t="shared" ca="1" si="133"/>
        <v>8303.0657271111268</v>
      </c>
      <c r="AE306" s="14">
        <f t="shared" ca="1" si="133"/>
        <v>7575.7188468358363</v>
      </c>
      <c r="AF306" s="14">
        <f t="shared" ca="1" si="133"/>
        <v>7112.8978252444358</v>
      </c>
      <c r="AG306" s="14">
        <f t="shared" ca="1" si="133"/>
        <v>8117.5244214595004</v>
      </c>
      <c r="AH306" s="14">
        <f t="shared" ca="1" si="133"/>
        <v>8615.7589917132573</v>
      </c>
      <c r="AI306" s="14">
        <f t="shared" ca="1" si="133"/>
        <v>4452.2079668444348</v>
      </c>
      <c r="AJ306" s="14">
        <f t="shared" ca="1" si="133"/>
        <v>4340.992110336927</v>
      </c>
      <c r="AK306" s="14">
        <f t="shared" ca="1" si="133"/>
        <v>4099.7277777777635</v>
      </c>
      <c r="AL306" s="14">
        <f t="shared" ca="1" si="133"/>
        <v>9161.979186070268</v>
      </c>
      <c r="AM306" s="14">
        <f t="shared" ca="1" si="133"/>
        <v>5989.6791271627299</v>
      </c>
      <c r="AN306" s="14">
        <f t="shared" ca="1" si="133"/>
        <v>5275.7968177777657</v>
      </c>
      <c r="AO306" s="14">
        <f t="shared" ca="1" si="133"/>
        <v>4902.5107024573663</v>
      </c>
      <c r="AP306" s="14">
        <f t="shared" ca="1" si="133"/>
        <v>7141.7200349511113</v>
      </c>
      <c r="AQ306" s="14">
        <f t="shared" ca="1" si="133"/>
        <v>6456.757861880993</v>
      </c>
      <c r="AR306" s="14">
        <f t="shared" ca="1" si="133"/>
        <v>5514.3420636444353</v>
      </c>
      <c r="AS306" s="14">
        <f t="shared" ca="1" si="133"/>
        <v>6962.8895105950069</v>
      </c>
    </row>
    <row r="307" spans="2:45" outlineLevel="1" x14ac:dyDescent="0.15">
      <c r="B307" s="107" t="s">
        <v>575</v>
      </c>
      <c r="J307" s="14">
        <f t="shared" ref="J307:AS307" ca="1" si="134">MIN(0,IF(OR(J$8=1,J315=1),J325-J322,J325-I325))</f>
        <v>0</v>
      </c>
      <c r="K307" s="14">
        <f t="shared" ca="1" si="134"/>
        <v>0</v>
      </c>
      <c r="L307" s="14">
        <f t="shared" ca="1" si="134"/>
        <v>0</v>
      </c>
      <c r="M307" s="14">
        <f t="shared" ca="1" si="134"/>
        <v>0</v>
      </c>
      <c r="N307" s="14">
        <f t="shared" ca="1" si="134"/>
        <v>0</v>
      </c>
      <c r="O307" s="14">
        <f t="shared" ca="1" si="134"/>
        <v>0</v>
      </c>
      <c r="P307" s="14">
        <f t="shared" ca="1" si="134"/>
        <v>0</v>
      </c>
      <c r="Q307" s="14">
        <f t="shared" ca="1" si="134"/>
        <v>0</v>
      </c>
      <c r="R307" s="14">
        <f t="shared" ca="1" si="134"/>
        <v>0</v>
      </c>
      <c r="S307" s="14">
        <f t="shared" ca="1" si="134"/>
        <v>0</v>
      </c>
      <c r="T307" s="14">
        <f t="shared" ca="1" si="134"/>
        <v>0</v>
      </c>
      <c r="U307" s="14">
        <f t="shared" ca="1" si="134"/>
        <v>0</v>
      </c>
      <c r="V307" s="14">
        <f t="shared" ca="1" si="134"/>
        <v>0</v>
      </c>
      <c r="W307" s="14">
        <f t="shared" ca="1" si="134"/>
        <v>0</v>
      </c>
      <c r="X307" s="14">
        <f t="shared" ca="1" si="134"/>
        <v>0</v>
      </c>
      <c r="Y307" s="14">
        <f t="shared" ca="1" si="134"/>
        <v>0</v>
      </c>
      <c r="Z307" s="14">
        <f t="shared" ca="1" si="134"/>
        <v>0</v>
      </c>
      <c r="AA307" s="14">
        <f t="shared" ca="1" si="134"/>
        <v>0</v>
      </c>
      <c r="AB307" s="14">
        <f t="shared" ca="1" si="134"/>
        <v>0</v>
      </c>
      <c r="AC307" s="14">
        <f t="shared" ca="1" si="134"/>
        <v>0</v>
      </c>
      <c r="AD307" s="14">
        <f t="shared" ca="1" si="134"/>
        <v>0</v>
      </c>
      <c r="AE307" s="14">
        <f t="shared" ca="1" si="134"/>
        <v>0</v>
      </c>
      <c r="AF307" s="14">
        <f t="shared" ca="1" si="134"/>
        <v>0</v>
      </c>
      <c r="AG307" s="14">
        <f t="shared" ca="1" si="134"/>
        <v>0</v>
      </c>
      <c r="AH307" s="14">
        <f t="shared" ca="1" si="134"/>
        <v>0</v>
      </c>
      <c r="AI307" s="14">
        <f t="shared" ca="1" si="134"/>
        <v>0</v>
      </c>
      <c r="AJ307" s="14">
        <f t="shared" ca="1" si="134"/>
        <v>0</v>
      </c>
      <c r="AK307" s="14">
        <f t="shared" ca="1" si="134"/>
        <v>0</v>
      </c>
      <c r="AL307" s="14">
        <f t="shared" ca="1" si="134"/>
        <v>0</v>
      </c>
      <c r="AM307" s="14">
        <f t="shared" ca="1" si="134"/>
        <v>0</v>
      </c>
      <c r="AN307" s="14">
        <f t="shared" ca="1" si="134"/>
        <v>0</v>
      </c>
      <c r="AO307" s="14">
        <f t="shared" ca="1" si="134"/>
        <v>0</v>
      </c>
      <c r="AP307" s="14">
        <f t="shared" ca="1" si="134"/>
        <v>0</v>
      </c>
      <c r="AQ307" s="14">
        <f t="shared" ca="1" si="134"/>
        <v>0</v>
      </c>
      <c r="AR307" s="14">
        <f t="shared" ca="1" si="134"/>
        <v>0</v>
      </c>
      <c r="AS307" s="14">
        <f t="shared" ca="1" si="134"/>
        <v>0</v>
      </c>
    </row>
    <row r="308" spans="2:45" outlineLevel="1" x14ac:dyDescent="0.15">
      <c r="B308" s="16" t="s">
        <v>576</v>
      </c>
      <c r="J308" s="18">
        <f t="shared" ref="J308:AS308" ca="1" si="135">SUM(J305:J307)</f>
        <v>7112.4718497491049</v>
      </c>
      <c r="K308" s="18">
        <f t="shared" ca="1" si="135"/>
        <v>14995.195949633551</v>
      </c>
      <c r="L308" s="18">
        <f t="shared" ca="1" si="135"/>
        <v>22724.661209389822</v>
      </c>
      <c r="M308" s="18">
        <f t="shared" ca="1" si="135"/>
        <v>29417.199503167598</v>
      </c>
      <c r="N308" s="18">
        <f t="shared" ca="1" si="135"/>
        <v>39781.982977237851</v>
      </c>
      <c r="O308" s="18">
        <f t="shared" ca="1" si="135"/>
        <v>47936.519575961865</v>
      </c>
      <c r="P308" s="18">
        <f t="shared" ca="1" si="135"/>
        <v>56356.76794893964</v>
      </c>
      <c r="Q308" s="18">
        <f t="shared" ca="1" si="135"/>
        <v>64809.661374364732</v>
      </c>
      <c r="R308" s="18">
        <f t="shared" ca="1" si="135"/>
        <v>74454.362793635839</v>
      </c>
      <c r="S308" s="18">
        <f t="shared" ca="1" si="135"/>
        <v>83426.103190794267</v>
      </c>
      <c r="T308" s="18">
        <f t="shared" ca="1" si="135"/>
        <v>92214.903555238707</v>
      </c>
      <c r="U308" s="18">
        <f t="shared" ca="1" si="135"/>
        <v>101662.57288756272</v>
      </c>
      <c r="V308" s="18">
        <f t="shared" ca="1" si="135"/>
        <v>111581.08387669534</v>
      </c>
      <c r="W308" s="18">
        <f t="shared" ca="1" si="135"/>
        <v>118496.89687545979</v>
      </c>
      <c r="X308" s="18">
        <f t="shared" ca="1" si="135"/>
        <v>125108.24020024831</v>
      </c>
      <c r="Y308" s="18">
        <f t="shared" ca="1" si="135"/>
        <v>130811.84484802608</v>
      </c>
      <c r="Z308" s="18">
        <f t="shared" ca="1" si="135"/>
        <v>141212.78564818666</v>
      </c>
      <c r="AA308" s="18">
        <f t="shared" ca="1" si="135"/>
        <v>148791.12755694939</v>
      </c>
      <c r="AB308" s="18">
        <f t="shared" ca="1" si="135"/>
        <v>155513.74656672718</v>
      </c>
      <c r="AC308" s="18">
        <f t="shared" ca="1" si="135"/>
        <v>162225.61371571355</v>
      </c>
      <c r="AD308" s="18">
        <f t="shared" ca="1" si="135"/>
        <v>170528.67944282468</v>
      </c>
      <c r="AE308" s="18">
        <f t="shared" ca="1" si="135"/>
        <v>178104.39828966052</v>
      </c>
      <c r="AF308" s="18">
        <f t="shared" ca="1" si="135"/>
        <v>185217.29611490495</v>
      </c>
      <c r="AG308" s="18">
        <f t="shared" ca="1" si="135"/>
        <v>193334.82053636445</v>
      </c>
      <c r="AH308" s="18">
        <f t="shared" ca="1" si="135"/>
        <v>201950.57952807771</v>
      </c>
      <c r="AI308" s="18">
        <f t="shared" ca="1" si="135"/>
        <v>206402.78749492214</v>
      </c>
      <c r="AJ308" s="18">
        <f t="shared" ca="1" si="135"/>
        <v>210743.77960525907</v>
      </c>
      <c r="AK308" s="18">
        <f t="shared" ca="1" si="135"/>
        <v>214843.50738303683</v>
      </c>
      <c r="AL308" s="18">
        <f t="shared" ca="1" si="135"/>
        <v>224005.4865691071</v>
      </c>
      <c r="AM308" s="18">
        <f t="shared" ca="1" si="135"/>
        <v>229995.16569626983</v>
      </c>
      <c r="AN308" s="18">
        <f t="shared" ca="1" si="135"/>
        <v>235270.9625140476</v>
      </c>
      <c r="AO308" s="18">
        <f t="shared" ca="1" si="135"/>
        <v>240173.47321650496</v>
      </c>
      <c r="AP308" s="18">
        <f t="shared" ca="1" si="135"/>
        <v>247315.19325145608</v>
      </c>
      <c r="AQ308" s="18">
        <f t="shared" ca="1" si="135"/>
        <v>253771.95111333707</v>
      </c>
      <c r="AR308" s="18">
        <f t="shared" ca="1" si="135"/>
        <v>259286.2931769815</v>
      </c>
      <c r="AS308" s="18">
        <f t="shared" ca="1" si="135"/>
        <v>266249.18268757651</v>
      </c>
    </row>
    <row r="309" spans="2:45" outlineLevel="1" x14ac:dyDescent="0.15"/>
    <row r="310" spans="2:45" outlineLevel="1" x14ac:dyDescent="0.15">
      <c r="B310" s="108" t="s">
        <v>577</v>
      </c>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row>
    <row r="311" spans="2:45" outlineLevel="1" x14ac:dyDescent="0.15"/>
    <row r="312" spans="2:45" outlineLevel="1" x14ac:dyDescent="0.15">
      <c r="B312" s="16" t="s">
        <v>578</v>
      </c>
    </row>
    <row r="313" spans="2:45" outlineLevel="1" x14ac:dyDescent="0.15"/>
    <row r="314" spans="2:45" outlineLevel="1" x14ac:dyDescent="0.15">
      <c r="C314" s="107" t="s">
        <v>579</v>
      </c>
      <c r="J314" s="28">
        <f t="shared" ref="J314:AS314" si="136">YEAR(J$7)+IF(MONTH(J$7)&gt;DD_Corp_Tax_Yr_End_Mth,1,0)</f>
        <v>2024</v>
      </c>
      <c r="K314" s="28">
        <f t="shared" si="136"/>
        <v>2024</v>
      </c>
      <c r="L314" s="28">
        <f t="shared" si="136"/>
        <v>2024</v>
      </c>
      <c r="M314" s="28">
        <f t="shared" si="136"/>
        <v>2024</v>
      </c>
      <c r="N314" s="28">
        <f t="shared" si="136"/>
        <v>2024</v>
      </c>
      <c r="O314" s="28">
        <f t="shared" si="136"/>
        <v>2024</v>
      </c>
      <c r="P314" s="28">
        <f t="shared" si="136"/>
        <v>2024</v>
      </c>
      <c r="Q314" s="28">
        <f t="shared" si="136"/>
        <v>2024</v>
      </c>
      <c r="R314" s="28">
        <f t="shared" si="136"/>
        <v>2024</v>
      </c>
      <c r="S314" s="28">
        <f t="shared" si="136"/>
        <v>2024</v>
      </c>
      <c r="T314" s="28">
        <f t="shared" si="136"/>
        <v>2024</v>
      </c>
      <c r="U314" s="28">
        <f t="shared" si="136"/>
        <v>2025</v>
      </c>
      <c r="V314" s="28">
        <f t="shared" si="136"/>
        <v>2025</v>
      </c>
      <c r="W314" s="28">
        <f t="shared" si="136"/>
        <v>2025</v>
      </c>
      <c r="X314" s="28">
        <f t="shared" si="136"/>
        <v>2025</v>
      </c>
      <c r="Y314" s="28">
        <f t="shared" si="136"/>
        <v>2025</v>
      </c>
      <c r="Z314" s="28">
        <f t="shared" si="136"/>
        <v>2025</v>
      </c>
      <c r="AA314" s="28">
        <f t="shared" si="136"/>
        <v>2025</v>
      </c>
      <c r="AB314" s="28">
        <f t="shared" si="136"/>
        <v>2025</v>
      </c>
      <c r="AC314" s="28">
        <f t="shared" si="136"/>
        <v>2025</v>
      </c>
      <c r="AD314" s="28">
        <f t="shared" si="136"/>
        <v>2025</v>
      </c>
      <c r="AE314" s="28">
        <f t="shared" si="136"/>
        <v>2025</v>
      </c>
      <c r="AF314" s="28">
        <f t="shared" si="136"/>
        <v>2025</v>
      </c>
      <c r="AG314" s="28">
        <f t="shared" si="136"/>
        <v>2026</v>
      </c>
      <c r="AH314" s="28">
        <f t="shared" si="136"/>
        <v>2026</v>
      </c>
      <c r="AI314" s="28">
        <f t="shared" si="136"/>
        <v>2026</v>
      </c>
      <c r="AJ314" s="28">
        <f t="shared" si="136"/>
        <v>2026</v>
      </c>
      <c r="AK314" s="28">
        <f t="shared" si="136"/>
        <v>2026</v>
      </c>
      <c r="AL314" s="28">
        <f t="shared" si="136"/>
        <v>2026</v>
      </c>
      <c r="AM314" s="28">
        <f t="shared" si="136"/>
        <v>2026</v>
      </c>
      <c r="AN314" s="28">
        <f t="shared" si="136"/>
        <v>2026</v>
      </c>
      <c r="AO314" s="28">
        <f t="shared" si="136"/>
        <v>2026</v>
      </c>
      <c r="AP314" s="28">
        <f t="shared" si="136"/>
        <v>2026</v>
      </c>
      <c r="AQ314" s="28">
        <f t="shared" si="136"/>
        <v>2026</v>
      </c>
      <c r="AR314" s="28">
        <f t="shared" si="136"/>
        <v>2026</v>
      </c>
      <c r="AS314" s="28">
        <f t="shared" si="136"/>
        <v>2027</v>
      </c>
    </row>
    <row r="315" spans="2:45" hidden="1" outlineLevel="2" x14ac:dyDescent="0.15">
      <c r="C315" s="107" t="s">
        <v>580</v>
      </c>
      <c r="J315" s="17">
        <f t="shared" ref="J315:AS315" si="137">MOD(MONTH(J$7)-DD_Corp_Tax_Yr_End_Mth-1,Ts_Mths_In_Yr)+1</f>
        <v>2</v>
      </c>
      <c r="K315" s="17">
        <f t="shared" si="137"/>
        <v>3</v>
      </c>
      <c r="L315" s="17">
        <f t="shared" si="137"/>
        <v>4</v>
      </c>
      <c r="M315" s="17">
        <f t="shared" si="137"/>
        <v>5</v>
      </c>
      <c r="N315" s="17">
        <f t="shared" si="137"/>
        <v>6</v>
      </c>
      <c r="O315" s="17">
        <f t="shared" si="137"/>
        <v>7</v>
      </c>
      <c r="P315" s="17">
        <f t="shared" si="137"/>
        <v>8</v>
      </c>
      <c r="Q315" s="17">
        <f t="shared" si="137"/>
        <v>9</v>
      </c>
      <c r="R315" s="17">
        <f t="shared" si="137"/>
        <v>10</v>
      </c>
      <c r="S315" s="17">
        <f t="shared" si="137"/>
        <v>11</v>
      </c>
      <c r="T315" s="17">
        <f t="shared" si="137"/>
        <v>12</v>
      </c>
      <c r="U315" s="17">
        <f t="shared" si="137"/>
        <v>1</v>
      </c>
      <c r="V315" s="17">
        <f t="shared" si="137"/>
        <v>2</v>
      </c>
      <c r="W315" s="17">
        <f t="shared" si="137"/>
        <v>3</v>
      </c>
      <c r="X315" s="17">
        <f t="shared" si="137"/>
        <v>4</v>
      </c>
      <c r="Y315" s="17">
        <f t="shared" si="137"/>
        <v>5</v>
      </c>
      <c r="Z315" s="17">
        <f t="shared" si="137"/>
        <v>6</v>
      </c>
      <c r="AA315" s="17">
        <f t="shared" si="137"/>
        <v>7</v>
      </c>
      <c r="AB315" s="17">
        <f t="shared" si="137"/>
        <v>8</v>
      </c>
      <c r="AC315" s="17">
        <f t="shared" si="137"/>
        <v>9</v>
      </c>
      <c r="AD315" s="17">
        <f t="shared" si="137"/>
        <v>10</v>
      </c>
      <c r="AE315" s="17">
        <f t="shared" si="137"/>
        <v>11</v>
      </c>
      <c r="AF315" s="17">
        <f t="shared" si="137"/>
        <v>12</v>
      </c>
      <c r="AG315" s="17">
        <f t="shared" si="137"/>
        <v>1</v>
      </c>
      <c r="AH315" s="17">
        <f t="shared" si="137"/>
        <v>2</v>
      </c>
      <c r="AI315" s="17">
        <f t="shared" si="137"/>
        <v>3</v>
      </c>
      <c r="AJ315" s="17">
        <f t="shared" si="137"/>
        <v>4</v>
      </c>
      <c r="AK315" s="17">
        <f t="shared" si="137"/>
        <v>5</v>
      </c>
      <c r="AL315" s="17">
        <f t="shared" si="137"/>
        <v>6</v>
      </c>
      <c r="AM315" s="17">
        <f t="shared" si="137"/>
        <v>7</v>
      </c>
      <c r="AN315" s="17">
        <f t="shared" si="137"/>
        <v>8</v>
      </c>
      <c r="AO315" s="17">
        <f t="shared" si="137"/>
        <v>9</v>
      </c>
      <c r="AP315" s="17">
        <f t="shared" si="137"/>
        <v>10</v>
      </c>
      <c r="AQ315" s="17">
        <f t="shared" si="137"/>
        <v>11</v>
      </c>
      <c r="AR315" s="17">
        <f t="shared" si="137"/>
        <v>12</v>
      </c>
      <c r="AS315" s="17">
        <f t="shared" si="137"/>
        <v>1</v>
      </c>
    </row>
    <row r="316" spans="2:45" outlineLevel="1" collapsed="1" x14ac:dyDescent="0.15">
      <c r="C316" s="107" t="str">
        <f>B267</f>
        <v>Interim Assessment Frequency (Year-Specific)</v>
      </c>
      <c r="J316" s="30" t="str">
        <f>INDEX($J267:J267,1,MATCH(J314,$J314:J314,0))</f>
        <v>Quarterly</v>
      </c>
      <c r="K316" s="30" t="str">
        <f>INDEX($J267:K267,1,MATCH(K314,$J314:K314,0))</f>
        <v>Quarterly</v>
      </c>
      <c r="L316" s="30" t="str">
        <f>INDEX($J267:L267,1,MATCH(L314,$J314:L314,0))</f>
        <v>Quarterly</v>
      </c>
      <c r="M316" s="30" t="str">
        <f>INDEX($J267:M267,1,MATCH(M314,$J314:M314,0))</f>
        <v>Quarterly</v>
      </c>
      <c r="N316" s="30" t="str">
        <f>INDEX($J267:N267,1,MATCH(N314,$J314:N314,0))</f>
        <v>Quarterly</v>
      </c>
      <c r="O316" s="30" t="str">
        <f>INDEX($J267:O267,1,MATCH(O314,$J314:O314,0))</f>
        <v>Quarterly</v>
      </c>
      <c r="P316" s="30" t="str">
        <f>INDEX($J267:P267,1,MATCH(P314,$J314:P314,0))</f>
        <v>Quarterly</v>
      </c>
      <c r="Q316" s="30" t="str">
        <f>INDEX($J267:Q267,1,MATCH(Q314,$J314:Q314,0))</f>
        <v>Quarterly</v>
      </c>
      <c r="R316" s="30" t="str">
        <f>INDEX($J267:R267,1,MATCH(R314,$J314:R314,0))</f>
        <v>Quarterly</v>
      </c>
      <c r="S316" s="30" t="str">
        <f>INDEX($J267:S267,1,MATCH(S314,$J314:S314,0))</f>
        <v>Quarterly</v>
      </c>
      <c r="T316" s="30" t="str">
        <f>INDEX($J267:T267,1,MATCH(T314,$J314:T314,0))</f>
        <v>Quarterly</v>
      </c>
      <c r="U316" s="30" t="str">
        <f>INDEX($J267:U267,1,MATCH(U314,$J314:U314,0))</f>
        <v>Quarterly</v>
      </c>
      <c r="V316" s="30" t="str">
        <f>INDEX($J267:V267,1,MATCH(V314,$J314:V314,0))</f>
        <v>Quarterly</v>
      </c>
      <c r="W316" s="30" t="str">
        <f>INDEX($J267:W267,1,MATCH(W314,$J314:W314,0))</f>
        <v>Quarterly</v>
      </c>
      <c r="X316" s="30" t="str">
        <f>INDEX($J267:X267,1,MATCH(X314,$J314:X314,0))</f>
        <v>Quarterly</v>
      </c>
      <c r="Y316" s="30" t="str">
        <f>INDEX($J267:Y267,1,MATCH(Y314,$J314:Y314,0))</f>
        <v>Quarterly</v>
      </c>
      <c r="Z316" s="30" t="str">
        <f>INDEX($J267:Z267,1,MATCH(Z314,$J314:Z314,0))</f>
        <v>Quarterly</v>
      </c>
      <c r="AA316" s="30" t="str">
        <f>INDEX($J267:AA267,1,MATCH(AA314,$J314:AA314,0))</f>
        <v>Quarterly</v>
      </c>
      <c r="AB316" s="30" t="str">
        <f>INDEX($J267:AB267,1,MATCH(AB314,$J314:AB314,0))</f>
        <v>Quarterly</v>
      </c>
      <c r="AC316" s="30" t="str">
        <f>INDEX($J267:AC267,1,MATCH(AC314,$J314:AC314,0))</f>
        <v>Quarterly</v>
      </c>
      <c r="AD316" s="30" t="str">
        <f>INDEX($J267:AD267,1,MATCH(AD314,$J314:AD314,0))</f>
        <v>Quarterly</v>
      </c>
      <c r="AE316" s="30" t="str">
        <f>INDEX($J267:AE267,1,MATCH(AE314,$J314:AE314,0))</f>
        <v>Quarterly</v>
      </c>
      <c r="AF316" s="30" t="str">
        <f>INDEX($J267:AF267,1,MATCH(AF314,$J314:AF314,0))</f>
        <v>Quarterly</v>
      </c>
      <c r="AG316" s="30" t="str">
        <f>INDEX($J267:AG267,1,MATCH(AG314,$J314:AG314,0))</f>
        <v>Quarterly</v>
      </c>
      <c r="AH316" s="30" t="str">
        <f>INDEX($J267:AH267,1,MATCH(AH314,$J314:AH314,0))</f>
        <v>Quarterly</v>
      </c>
      <c r="AI316" s="30" t="str">
        <f>INDEX($J267:AI267,1,MATCH(AI314,$J314:AI314,0))</f>
        <v>Quarterly</v>
      </c>
      <c r="AJ316" s="30" t="str">
        <f>INDEX($J267:AJ267,1,MATCH(AJ314,$J314:AJ314,0))</f>
        <v>Quarterly</v>
      </c>
      <c r="AK316" s="30" t="str">
        <f>INDEX($J267:AK267,1,MATCH(AK314,$J314:AK314,0))</f>
        <v>Quarterly</v>
      </c>
      <c r="AL316" s="30" t="str">
        <f>INDEX($J267:AL267,1,MATCH(AL314,$J314:AL314,0))</f>
        <v>Quarterly</v>
      </c>
      <c r="AM316" s="30" t="str">
        <f>INDEX($J267:AM267,1,MATCH(AM314,$J314:AM314,0))</f>
        <v>Quarterly</v>
      </c>
      <c r="AN316" s="30" t="str">
        <f>INDEX($J267:AN267,1,MATCH(AN314,$J314:AN314,0))</f>
        <v>Quarterly</v>
      </c>
      <c r="AO316" s="30" t="str">
        <f>INDEX($J267:AO267,1,MATCH(AO314,$J314:AO314,0))</f>
        <v>Quarterly</v>
      </c>
      <c r="AP316" s="30" t="str">
        <f>INDEX($J267:AP267,1,MATCH(AP314,$J314:AP314,0))</f>
        <v>Quarterly</v>
      </c>
      <c r="AQ316" s="30" t="str">
        <f>INDEX($J267:AQ267,1,MATCH(AQ314,$J314:AQ314,0))</f>
        <v>Quarterly</v>
      </c>
      <c r="AR316" s="30" t="str">
        <f>INDEX($J267:AR267,1,MATCH(AR314,$J314:AR314,0))</f>
        <v>Quarterly</v>
      </c>
      <c r="AS316" s="30" t="str">
        <f>INDEX($J267:AS267,1,MATCH(AS314,$J314:AS314,0))</f>
        <v>Quarterly</v>
      </c>
    </row>
    <row r="317" spans="2:45" outlineLevel="1" x14ac:dyDescent="0.15"/>
    <row r="318" spans="2:45" outlineLevel="1" x14ac:dyDescent="0.15">
      <c r="B318" s="16" t="s">
        <v>581</v>
      </c>
    </row>
    <row r="319" spans="2:45" outlineLevel="1" x14ac:dyDescent="0.15"/>
    <row r="320" spans="2:45" outlineLevel="1" x14ac:dyDescent="0.15">
      <c r="C320" s="107" t="s">
        <v>582</v>
      </c>
      <c r="J320" s="14">
        <f ca="1">SUMIF($J314:J314,J314,$J301:J301)</f>
        <v>-7112.4718497491049</v>
      </c>
      <c r="K320" s="14">
        <f ca="1">SUMIF($J314:K314,K314,$J301:K301)</f>
        <v>-14995.195949633551</v>
      </c>
      <c r="L320" s="14">
        <f ca="1">SUMIF($J314:L314,L314,$J301:L301)</f>
        <v>-22724.661209389822</v>
      </c>
      <c r="M320" s="14">
        <f ca="1">SUMIF($J314:M314,M314,$J301:M301)</f>
        <v>-29417.199503167598</v>
      </c>
      <c r="N320" s="14">
        <f ca="1">SUMIF($J314:N314,N314,$J301:N301)</f>
        <v>-39781.982977237851</v>
      </c>
      <c r="O320" s="14">
        <f ca="1">SUMIF($J314:O314,O314,$J301:O301)</f>
        <v>-47936.519575961865</v>
      </c>
      <c r="P320" s="14">
        <f ca="1">SUMIF($J314:P314,P314,$J301:P301)</f>
        <v>-56356.76794893964</v>
      </c>
      <c r="Q320" s="14">
        <f ca="1">SUMIF($J314:Q314,Q314,$J301:Q301)</f>
        <v>-64809.661374364732</v>
      </c>
      <c r="R320" s="14">
        <f ca="1">SUMIF($J314:R314,R314,$J301:R301)</f>
        <v>-74454.362793635839</v>
      </c>
      <c r="S320" s="14">
        <f ca="1">SUMIF($J314:S314,S314,$J301:S301)</f>
        <v>-83426.103190794267</v>
      </c>
      <c r="T320" s="14">
        <f ca="1">SUMIF($J314:T314,T314,$J301:T301)</f>
        <v>-92214.903555238707</v>
      </c>
      <c r="U320" s="14">
        <f ca="1">SUMIF($J314:U314,U314,$J301:U301)</f>
        <v>-9447.6693323240142</v>
      </c>
      <c r="V320" s="14">
        <f ca="1">SUMIF($J314:V314,V314,$J301:V301)</f>
        <v>-19366.180321456632</v>
      </c>
      <c r="W320" s="14">
        <f ca="1">SUMIF($J314:W314,W314,$J301:W301)</f>
        <v>-26281.993320221078</v>
      </c>
      <c r="X320" s="14">
        <f ca="1">SUMIF($J314:X314,X314,$J301:X301)</f>
        <v>-32893.336645009607</v>
      </c>
      <c r="Y320" s="14">
        <f ca="1">SUMIF($J314:Y314,Y314,$J301:Y301)</f>
        <v>-38596.941292787385</v>
      </c>
      <c r="Z320" s="14">
        <f ca="1">SUMIF($J314:Z314,Z314,$J301:Z301)</f>
        <v>-48997.882092947955</v>
      </c>
      <c r="AA320" s="14">
        <f ca="1">SUMIF($J314:AA314,AA314,$J301:AA301)</f>
        <v>-56576.224001710681</v>
      </c>
      <c r="AB320" s="14">
        <f ca="1">SUMIF($J314:AB314,AB314,$J301:AB301)</f>
        <v>-63298.843011488461</v>
      </c>
      <c r="AC320" s="14">
        <f ca="1">SUMIF($J314:AC314,AC314,$J301:AC301)</f>
        <v>-70010.710160474846</v>
      </c>
      <c r="AD320" s="14">
        <f ca="1">SUMIF($J314:AD314,AD314,$J301:AD301)</f>
        <v>-78313.775887585958</v>
      </c>
      <c r="AE320" s="14">
        <f ca="1">SUMIF($J314:AE314,AE314,$J301:AE301)</f>
        <v>-85889.494734421794</v>
      </c>
      <c r="AF320" s="14">
        <f ca="1">SUMIF($J314:AF314,AF314,$J301:AF301)</f>
        <v>-93002.392559666245</v>
      </c>
      <c r="AG320" s="14">
        <f ca="1">SUMIF($J314:AG314,AG314,$J301:AG301)</f>
        <v>-8117.5244214594995</v>
      </c>
      <c r="AH320" s="14">
        <f ca="1">SUMIF($J314:AH314,AH314,$J301:AH301)</f>
        <v>-16733.283413172761</v>
      </c>
      <c r="AI320" s="14">
        <f ca="1">SUMIF($J314:AI314,AI314,$J301:AI301)</f>
        <v>-21185.491380017203</v>
      </c>
      <c r="AJ320" s="14">
        <f ca="1">SUMIF($J314:AJ314,AJ314,$J301:AJ301)</f>
        <v>-25526.48349035412</v>
      </c>
      <c r="AK320" s="14">
        <f ca="1">SUMIF($J314:AK314,AK314,$J301:AK301)</f>
        <v>-29626.211268131898</v>
      </c>
      <c r="AL320" s="14">
        <f ca="1">SUMIF($J314:AL314,AL314,$J301:AL301)</f>
        <v>-38788.190454202151</v>
      </c>
      <c r="AM320" s="14">
        <f ca="1">SUMIF($J314:AM314,AM314,$J301:AM301)</f>
        <v>-44777.869581364874</v>
      </c>
      <c r="AN320" s="14">
        <f ca="1">SUMIF($J314:AN314,AN314,$J301:AN301)</f>
        <v>-50053.666399142654</v>
      </c>
      <c r="AO320" s="14">
        <f ca="1">SUMIF($J314:AO314,AO314,$J301:AO301)</f>
        <v>-54956.177101599998</v>
      </c>
      <c r="AP320" s="14">
        <f ca="1">SUMIF($J314:AP314,AP314,$J301:AP301)</f>
        <v>-62097.89713655111</v>
      </c>
      <c r="AQ320" s="14">
        <f ca="1">SUMIF($J314:AQ314,AQ314,$J301:AQ301)</f>
        <v>-68554.654998432117</v>
      </c>
      <c r="AR320" s="14">
        <f ca="1">SUMIF($J314:AR314,AR314,$J301:AR301)</f>
        <v>-74068.997062076553</v>
      </c>
      <c r="AS320" s="14">
        <f ca="1">SUMIF($J314:AS314,AS314,$J301:AS301)</f>
        <v>-6962.8895105949832</v>
      </c>
    </row>
    <row r="321" spans="2:45" ht="6" customHeight="1" outlineLevel="1" x14ac:dyDescent="0.15"/>
    <row r="322" spans="2:45" outlineLevel="1" x14ac:dyDescent="0.15">
      <c r="C322" s="107" t="s">
        <v>583</v>
      </c>
      <c r="J322" s="14">
        <f t="shared" ref="J322:AS322" si="138">IF(J$8=1,$I$240,IF(I352=Corp_Tax_Yes,I325,I322))</f>
        <v>0</v>
      </c>
      <c r="K322" s="14">
        <f t="shared" si="138"/>
        <v>0</v>
      </c>
      <c r="L322" s="14">
        <f t="shared" si="138"/>
        <v>0</v>
      </c>
      <c r="M322" s="14">
        <f t="shared" si="138"/>
        <v>0</v>
      </c>
      <c r="N322" s="14">
        <f t="shared" si="138"/>
        <v>0</v>
      </c>
      <c r="O322" s="14">
        <f t="shared" si="138"/>
        <v>0</v>
      </c>
      <c r="P322" s="14">
        <f t="shared" si="138"/>
        <v>0</v>
      </c>
      <c r="Q322" s="14">
        <f t="shared" si="138"/>
        <v>0</v>
      </c>
      <c r="R322" s="14">
        <f t="shared" si="138"/>
        <v>0</v>
      </c>
      <c r="S322" s="14">
        <f t="shared" si="138"/>
        <v>0</v>
      </c>
      <c r="T322" s="14">
        <f t="shared" si="138"/>
        <v>0</v>
      </c>
      <c r="U322" s="14">
        <f t="shared" ca="1" si="138"/>
        <v>92214.903555238707</v>
      </c>
      <c r="V322" s="14">
        <f t="shared" ca="1" si="138"/>
        <v>92214.903555238707</v>
      </c>
      <c r="W322" s="14">
        <f t="shared" ca="1" si="138"/>
        <v>92214.903555238707</v>
      </c>
      <c r="X322" s="14">
        <f t="shared" ca="1" si="138"/>
        <v>92214.903555238707</v>
      </c>
      <c r="Y322" s="14">
        <f t="shared" ca="1" si="138"/>
        <v>92214.903555238707</v>
      </c>
      <c r="Z322" s="14">
        <f t="shared" ca="1" si="138"/>
        <v>92214.903555238707</v>
      </c>
      <c r="AA322" s="14">
        <f t="shared" ca="1" si="138"/>
        <v>92214.903555238707</v>
      </c>
      <c r="AB322" s="14">
        <f t="shared" ca="1" si="138"/>
        <v>92214.903555238707</v>
      </c>
      <c r="AC322" s="14">
        <f t="shared" ca="1" si="138"/>
        <v>92214.903555238707</v>
      </c>
      <c r="AD322" s="14">
        <f t="shared" ca="1" si="138"/>
        <v>92214.903555238707</v>
      </c>
      <c r="AE322" s="14">
        <f t="shared" ca="1" si="138"/>
        <v>92214.903555238707</v>
      </c>
      <c r="AF322" s="14">
        <f t="shared" ca="1" si="138"/>
        <v>92214.903555238707</v>
      </c>
      <c r="AG322" s="14">
        <f t="shared" ca="1" si="138"/>
        <v>185217.29611490495</v>
      </c>
      <c r="AH322" s="14">
        <f t="shared" ca="1" si="138"/>
        <v>185217.29611490495</v>
      </c>
      <c r="AI322" s="14">
        <f t="shared" ca="1" si="138"/>
        <v>185217.29611490495</v>
      </c>
      <c r="AJ322" s="14">
        <f t="shared" ca="1" si="138"/>
        <v>185217.29611490495</v>
      </c>
      <c r="AK322" s="14">
        <f t="shared" ca="1" si="138"/>
        <v>185217.29611490495</v>
      </c>
      <c r="AL322" s="14">
        <f t="shared" ca="1" si="138"/>
        <v>185217.29611490495</v>
      </c>
      <c r="AM322" s="14">
        <f t="shared" ca="1" si="138"/>
        <v>185217.29611490495</v>
      </c>
      <c r="AN322" s="14">
        <f t="shared" ca="1" si="138"/>
        <v>185217.29611490495</v>
      </c>
      <c r="AO322" s="14">
        <f t="shared" ca="1" si="138"/>
        <v>185217.29611490495</v>
      </c>
      <c r="AP322" s="14">
        <f t="shared" ca="1" si="138"/>
        <v>185217.29611490495</v>
      </c>
      <c r="AQ322" s="14">
        <f t="shared" ca="1" si="138"/>
        <v>185217.29611490495</v>
      </c>
      <c r="AR322" s="14">
        <f t="shared" ca="1" si="138"/>
        <v>185217.29611490495</v>
      </c>
      <c r="AS322" s="14">
        <f t="shared" ca="1" si="138"/>
        <v>259286.2931769815</v>
      </c>
    </row>
    <row r="323" spans="2:45" outlineLevel="1" x14ac:dyDescent="0.15">
      <c r="C323" s="107" t="s">
        <v>584</v>
      </c>
      <c r="J323" s="14">
        <f t="shared" ref="J323:AS323" ca="1" si="139">IF(J320&lt;0,-J320,0)</f>
        <v>7112.4718497491049</v>
      </c>
      <c r="K323" s="14">
        <f t="shared" ca="1" si="139"/>
        <v>14995.195949633551</v>
      </c>
      <c r="L323" s="14">
        <f t="shared" ca="1" si="139"/>
        <v>22724.661209389822</v>
      </c>
      <c r="M323" s="14">
        <f t="shared" ca="1" si="139"/>
        <v>29417.199503167598</v>
      </c>
      <c r="N323" s="14">
        <f t="shared" ca="1" si="139"/>
        <v>39781.982977237851</v>
      </c>
      <c r="O323" s="14">
        <f t="shared" ca="1" si="139"/>
        <v>47936.519575961865</v>
      </c>
      <c r="P323" s="14">
        <f t="shared" ca="1" si="139"/>
        <v>56356.76794893964</v>
      </c>
      <c r="Q323" s="14">
        <f t="shared" ca="1" si="139"/>
        <v>64809.661374364732</v>
      </c>
      <c r="R323" s="14">
        <f t="shared" ca="1" si="139"/>
        <v>74454.362793635839</v>
      </c>
      <c r="S323" s="14">
        <f t="shared" ca="1" si="139"/>
        <v>83426.103190794267</v>
      </c>
      <c r="T323" s="14">
        <f t="shared" ca="1" si="139"/>
        <v>92214.903555238707</v>
      </c>
      <c r="U323" s="14">
        <f t="shared" ca="1" si="139"/>
        <v>9447.6693323240142</v>
      </c>
      <c r="V323" s="14">
        <f t="shared" ca="1" si="139"/>
        <v>19366.180321456632</v>
      </c>
      <c r="W323" s="14">
        <f t="shared" ca="1" si="139"/>
        <v>26281.993320221078</v>
      </c>
      <c r="X323" s="14">
        <f t="shared" ca="1" si="139"/>
        <v>32893.336645009607</v>
      </c>
      <c r="Y323" s="14">
        <f t="shared" ca="1" si="139"/>
        <v>38596.941292787385</v>
      </c>
      <c r="Z323" s="14">
        <f t="shared" ca="1" si="139"/>
        <v>48997.882092947955</v>
      </c>
      <c r="AA323" s="14">
        <f t="shared" ca="1" si="139"/>
        <v>56576.224001710681</v>
      </c>
      <c r="AB323" s="14">
        <f t="shared" ca="1" si="139"/>
        <v>63298.843011488461</v>
      </c>
      <c r="AC323" s="14">
        <f t="shared" ca="1" si="139"/>
        <v>70010.710160474846</v>
      </c>
      <c r="AD323" s="14">
        <f t="shared" ca="1" si="139"/>
        <v>78313.775887585958</v>
      </c>
      <c r="AE323" s="14">
        <f t="shared" ca="1" si="139"/>
        <v>85889.494734421794</v>
      </c>
      <c r="AF323" s="14">
        <f t="shared" ca="1" si="139"/>
        <v>93002.392559666245</v>
      </c>
      <c r="AG323" s="14">
        <f t="shared" ca="1" si="139"/>
        <v>8117.5244214594995</v>
      </c>
      <c r="AH323" s="14">
        <f t="shared" ca="1" si="139"/>
        <v>16733.283413172761</v>
      </c>
      <c r="AI323" s="14">
        <f t="shared" ca="1" si="139"/>
        <v>21185.491380017203</v>
      </c>
      <c r="AJ323" s="14">
        <f t="shared" ca="1" si="139"/>
        <v>25526.48349035412</v>
      </c>
      <c r="AK323" s="14">
        <f t="shared" ca="1" si="139"/>
        <v>29626.211268131898</v>
      </c>
      <c r="AL323" s="14">
        <f t="shared" ca="1" si="139"/>
        <v>38788.190454202151</v>
      </c>
      <c r="AM323" s="14">
        <f t="shared" ca="1" si="139"/>
        <v>44777.869581364874</v>
      </c>
      <c r="AN323" s="14">
        <f t="shared" ca="1" si="139"/>
        <v>50053.666399142654</v>
      </c>
      <c r="AO323" s="14">
        <f t="shared" ca="1" si="139"/>
        <v>54956.177101599998</v>
      </c>
      <c r="AP323" s="14">
        <f t="shared" ca="1" si="139"/>
        <v>62097.89713655111</v>
      </c>
      <c r="AQ323" s="14">
        <f t="shared" ca="1" si="139"/>
        <v>68554.654998432117</v>
      </c>
      <c r="AR323" s="14">
        <f t="shared" ca="1" si="139"/>
        <v>74068.997062076553</v>
      </c>
      <c r="AS323" s="14">
        <f t="shared" ca="1" si="139"/>
        <v>6962.8895105949832</v>
      </c>
    </row>
    <row r="324" spans="2:45" outlineLevel="1" x14ac:dyDescent="0.15">
      <c r="C324" s="107" t="s">
        <v>585</v>
      </c>
      <c r="J324" s="14">
        <f t="shared" ref="J324:AS324" ca="1" si="140">IF(J320&gt;0,-MIN(J320,J322),0)</f>
        <v>0</v>
      </c>
      <c r="K324" s="14">
        <f t="shared" ca="1" si="140"/>
        <v>0</v>
      </c>
      <c r="L324" s="14">
        <f t="shared" ca="1" si="140"/>
        <v>0</v>
      </c>
      <c r="M324" s="14">
        <f t="shared" ca="1" si="140"/>
        <v>0</v>
      </c>
      <c r="N324" s="14">
        <f t="shared" ca="1" si="140"/>
        <v>0</v>
      </c>
      <c r="O324" s="14">
        <f t="shared" ca="1" si="140"/>
        <v>0</v>
      </c>
      <c r="P324" s="14">
        <f t="shared" ca="1" si="140"/>
        <v>0</v>
      </c>
      <c r="Q324" s="14">
        <f t="shared" ca="1" si="140"/>
        <v>0</v>
      </c>
      <c r="R324" s="14">
        <f t="shared" ca="1" si="140"/>
        <v>0</v>
      </c>
      <c r="S324" s="14">
        <f t="shared" ca="1" si="140"/>
        <v>0</v>
      </c>
      <c r="T324" s="14">
        <f t="shared" ca="1" si="140"/>
        <v>0</v>
      </c>
      <c r="U324" s="14">
        <f t="shared" ca="1" si="140"/>
        <v>0</v>
      </c>
      <c r="V324" s="14">
        <f t="shared" ca="1" si="140"/>
        <v>0</v>
      </c>
      <c r="W324" s="14">
        <f t="shared" ca="1" si="140"/>
        <v>0</v>
      </c>
      <c r="X324" s="14">
        <f t="shared" ca="1" si="140"/>
        <v>0</v>
      </c>
      <c r="Y324" s="14">
        <f t="shared" ca="1" si="140"/>
        <v>0</v>
      </c>
      <c r="Z324" s="14">
        <f t="shared" ca="1" si="140"/>
        <v>0</v>
      </c>
      <c r="AA324" s="14">
        <f t="shared" ca="1" si="140"/>
        <v>0</v>
      </c>
      <c r="AB324" s="14">
        <f t="shared" ca="1" si="140"/>
        <v>0</v>
      </c>
      <c r="AC324" s="14">
        <f t="shared" ca="1" si="140"/>
        <v>0</v>
      </c>
      <c r="AD324" s="14">
        <f t="shared" ca="1" si="140"/>
        <v>0</v>
      </c>
      <c r="AE324" s="14">
        <f t="shared" ca="1" si="140"/>
        <v>0</v>
      </c>
      <c r="AF324" s="14">
        <f t="shared" ca="1" si="140"/>
        <v>0</v>
      </c>
      <c r="AG324" s="14">
        <f t="shared" ca="1" si="140"/>
        <v>0</v>
      </c>
      <c r="AH324" s="14">
        <f t="shared" ca="1" si="140"/>
        <v>0</v>
      </c>
      <c r="AI324" s="14">
        <f t="shared" ca="1" si="140"/>
        <v>0</v>
      </c>
      <c r="AJ324" s="14">
        <f t="shared" ca="1" si="140"/>
        <v>0</v>
      </c>
      <c r="AK324" s="14">
        <f t="shared" ca="1" si="140"/>
        <v>0</v>
      </c>
      <c r="AL324" s="14">
        <f t="shared" ca="1" si="140"/>
        <v>0</v>
      </c>
      <c r="AM324" s="14">
        <f t="shared" ca="1" si="140"/>
        <v>0</v>
      </c>
      <c r="AN324" s="14">
        <f t="shared" ca="1" si="140"/>
        <v>0</v>
      </c>
      <c r="AO324" s="14">
        <f t="shared" ca="1" si="140"/>
        <v>0</v>
      </c>
      <c r="AP324" s="14">
        <f t="shared" ca="1" si="140"/>
        <v>0</v>
      </c>
      <c r="AQ324" s="14">
        <f t="shared" ca="1" si="140"/>
        <v>0</v>
      </c>
      <c r="AR324" s="14">
        <f t="shared" ca="1" si="140"/>
        <v>0</v>
      </c>
      <c r="AS324" s="14">
        <f t="shared" ca="1" si="140"/>
        <v>0</v>
      </c>
    </row>
    <row r="325" spans="2:45" outlineLevel="1" x14ac:dyDescent="0.15">
      <c r="C325" s="107" t="s">
        <v>586</v>
      </c>
      <c r="J325" s="33">
        <f t="shared" ref="J325:AS325" ca="1" si="141">SUM(J322:J324)</f>
        <v>7112.4718497491049</v>
      </c>
      <c r="K325" s="33">
        <f t="shared" ca="1" si="141"/>
        <v>14995.195949633551</v>
      </c>
      <c r="L325" s="33">
        <f t="shared" ca="1" si="141"/>
        <v>22724.661209389822</v>
      </c>
      <c r="M325" s="33">
        <f t="shared" ca="1" si="141"/>
        <v>29417.199503167598</v>
      </c>
      <c r="N325" s="33">
        <f t="shared" ca="1" si="141"/>
        <v>39781.982977237851</v>
      </c>
      <c r="O325" s="33">
        <f t="shared" ca="1" si="141"/>
        <v>47936.519575961865</v>
      </c>
      <c r="P325" s="33">
        <f t="shared" ca="1" si="141"/>
        <v>56356.76794893964</v>
      </c>
      <c r="Q325" s="33">
        <f t="shared" ca="1" si="141"/>
        <v>64809.661374364732</v>
      </c>
      <c r="R325" s="33">
        <f t="shared" ca="1" si="141"/>
        <v>74454.362793635839</v>
      </c>
      <c r="S325" s="33">
        <f t="shared" ca="1" si="141"/>
        <v>83426.103190794267</v>
      </c>
      <c r="T325" s="33">
        <f t="shared" ca="1" si="141"/>
        <v>92214.903555238707</v>
      </c>
      <c r="U325" s="33">
        <f t="shared" ca="1" si="141"/>
        <v>101662.57288756272</v>
      </c>
      <c r="V325" s="33">
        <f t="shared" ca="1" si="141"/>
        <v>111581.08387669534</v>
      </c>
      <c r="W325" s="33">
        <f t="shared" ca="1" si="141"/>
        <v>118496.89687545979</v>
      </c>
      <c r="X325" s="33">
        <f t="shared" ca="1" si="141"/>
        <v>125108.24020024831</v>
      </c>
      <c r="Y325" s="33">
        <f t="shared" ca="1" si="141"/>
        <v>130811.84484802608</v>
      </c>
      <c r="Z325" s="33">
        <f t="shared" ca="1" si="141"/>
        <v>141212.78564818666</v>
      </c>
      <c r="AA325" s="33">
        <f t="shared" ca="1" si="141"/>
        <v>148791.12755694939</v>
      </c>
      <c r="AB325" s="33">
        <f t="shared" ca="1" si="141"/>
        <v>155513.74656672718</v>
      </c>
      <c r="AC325" s="33">
        <f t="shared" ca="1" si="141"/>
        <v>162225.61371571355</v>
      </c>
      <c r="AD325" s="33">
        <f t="shared" ca="1" si="141"/>
        <v>170528.67944282468</v>
      </c>
      <c r="AE325" s="33">
        <f t="shared" ca="1" si="141"/>
        <v>178104.39828966052</v>
      </c>
      <c r="AF325" s="33">
        <f t="shared" ca="1" si="141"/>
        <v>185217.29611490495</v>
      </c>
      <c r="AG325" s="33">
        <f t="shared" ca="1" si="141"/>
        <v>193334.82053636445</v>
      </c>
      <c r="AH325" s="33">
        <f t="shared" ca="1" si="141"/>
        <v>201950.57952807771</v>
      </c>
      <c r="AI325" s="33">
        <f t="shared" ca="1" si="141"/>
        <v>206402.78749492214</v>
      </c>
      <c r="AJ325" s="33">
        <f t="shared" ca="1" si="141"/>
        <v>210743.77960525907</v>
      </c>
      <c r="AK325" s="33">
        <f t="shared" ca="1" si="141"/>
        <v>214843.50738303683</v>
      </c>
      <c r="AL325" s="33">
        <f t="shared" ca="1" si="141"/>
        <v>224005.4865691071</v>
      </c>
      <c r="AM325" s="33">
        <f t="shared" ca="1" si="141"/>
        <v>229995.16569626983</v>
      </c>
      <c r="AN325" s="33">
        <f t="shared" ca="1" si="141"/>
        <v>235270.9625140476</v>
      </c>
      <c r="AO325" s="33">
        <f t="shared" ca="1" si="141"/>
        <v>240173.47321650496</v>
      </c>
      <c r="AP325" s="33">
        <f t="shared" ca="1" si="141"/>
        <v>247315.19325145608</v>
      </c>
      <c r="AQ325" s="33">
        <f t="shared" ca="1" si="141"/>
        <v>253771.95111333707</v>
      </c>
      <c r="AR325" s="33">
        <f t="shared" ca="1" si="141"/>
        <v>259286.2931769815</v>
      </c>
      <c r="AS325" s="33">
        <f t="shared" ca="1" si="141"/>
        <v>266249.18268757651</v>
      </c>
    </row>
    <row r="326" spans="2:45" ht="6" customHeight="1" outlineLevel="1" x14ac:dyDescent="0.15"/>
    <row r="327" spans="2:45" outlineLevel="1" x14ac:dyDescent="0.15">
      <c r="C327" s="107" t="s">
        <v>587</v>
      </c>
      <c r="J327" s="14">
        <f t="shared" ref="J327:AS327" ca="1" si="142">J320+J324</f>
        <v>-7112.4718497491049</v>
      </c>
      <c r="K327" s="14">
        <f t="shared" ca="1" si="142"/>
        <v>-14995.195949633551</v>
      </c>
      <c r="L327" s="14">
        <f t="shared" ca="1" si="142"/>
        <v>-22724.661209389822</v>
      </c>
      <c r="M327" s="14">
        <f t="shared" ca="1" si="142"/>
        <v>-29417.199503167598</v>
      </c>
      <c r="N327" s="14">
        <f t="shared" ca="1" si="142"/>
        <v>-39781.982977237851</v>
      </c>
      <c r="O327" s="14">
        <f t="shared" ca="1" si="142"/>
        <v>-47936.519575961865</v>
      </c>
      <c r="P327" s="14">
        <f t="shared" ca="1" si="142"/>
        <v>-56356.76794893964</v>
      </c>
      <c r="Q327" s="14">
        <f t="shared" ca="1" si="142"/>
        <v>-64809.661374364732</v>
      </c>
      <c r="R327" s="14">
        <f t="shared" ca="1" si="142"/>
        <v>-74454.362793635839</v>
      </c>
      <c r="S327" s="14">
        <f t="shared" ca="1" si="142"/>
        <v>-83426.103190794267</v>
      </c>
      <c r="T327" s="14">
        <f t="shared" ca="1" si="142"/>
        <v>-92214.903555238707</v>
      </c>
      <c r="U327" s="14">
        <f t="shared" ca="1" si="142"/>
        <v>-9447.6693323240142</v>
      </c>
      <c r="V327" s="14">
        <f t="shared" ca="1" si="142"/>
        <v>-19366.180321456632</v>
      </c>
      <c r="W327" s="14">
        <f t="shared" ca="1" si="142"/>
        <v>-26281.993320221078</v>
      </c>
      <c r="X327" s="14">
        <f t="shared" ca="1" si="142"/>
        <v>-32893.336645009607</v>
      </c>
      <c r="Y327" s="14">
        <f t="shared" ca="1" si="142"/>
        <v>-38596.941292787385</v>
      </c>
      <c r="Z327" s="14">
        <f t="shared" ca="1" si="142"/>
        <v>-48997.882092947955</v>
      </c>
      <c r="AA327" s="14">
        <f t="shared" ca="1" si="142"/>
        <v>-56576.224001710681</v>
      </c>
      <c r="AB327" s="14">
        <f t="shared" ca="1" si="142"/>
        <v>-63298.843011488461</v>
      </c>
      <c r="AC327" s="14">
        <f t="shared" ca="1" si="142"/>
        <v>-70010.710160474846</v>
      </c>
      <c r="AD327" s="14">
        <f t="shared" ca="1" si="142"/>
        <v>-78313.775887585958</v>
      </c>
      <c r="AE327" s="14">
        <f t="shared" ca="1" si="142"/>
        <v>-85889.494734421794</v>
      </c>
      <c r="AF327" s="14">
        <f t="shared" ca="1" si="142"/>
        <v>-93002.392559666245</v>
      </c>
      <c r="AG327" s="14">
        <f t="shared" ca="1" si="142"/>
        <v>-8117.5244214594995</v>
      </c>
      <c r="AH327" s="14">
        <f t="shared" ca="1" si="142"/>
        <v>-16733.283413172761</v>
      </c>
      <c r="AI327" s="14">
        <f t="shared" ca="1" si="142"/>
        <v>-21185.491380017203</v>
      </c>
      <c r="AJ327" s="14">
        <f t="shared" ca="1" si="142"/>
        <v>-25526.48349035412</v>
      </c>
      <c r="AK327" s="14">
        <f t="shared" ca="1" si="142"/>
        <v>-29626.211268131898</v>
      </c>
      <c r="AL327" s="14">
        <f t="shared" ca="1" si="142"/>
        <v>-38788.190454202151</v>
      </c>
      <c r="AM327" s="14">
        <f t="shared" ca="1" si="142"/>
        <v>-44777.869581364874</v>
      </c>
      <c r="AN327" s="14">
        <f t="shared" ca="1" si="142"/>
        <v>-50053.666399142654</v>
      </c>
      <c r="AO327" s="14">
        <f t="shared" ca="1" si="142"/>
        <v>-54956.177101599998</v>
      </c>
      <c r="AP327" s="14">
        <f t="shared" ca="1" si="142"/>
        <v>-62097.89713655111</v>
      </c>
      <c r="AQ327" s="14">
        <f t="shared" ca="1" si="142"/>
        <v>-68554.654998432117</v>
      </c>
      <c r="AR327" s="14">
        <f t="shared" ca="1" si="142"/>
        <v>-74068.997062076553</v>
      </c>
      <c r="AS327" s="14">
        <f t="shared" ca="1" si="142"/>
        <v>-6962.8895105949832</v>
      </c>
    </row>
    <row r="328" spans="2:45" ht="6" customHeight="1" outlineLevel="1" x14ac:dyDescent="0.15"/>
    <row r="329" spans="2:45" outlineLevel="1" x14ac:dyDescent="0.15">
      <c r="C329" s="107" t="str">
        <f>B236</f>
        <v>Corporate Taxation Rate</v>
      </c>
      <c r="J329" s="25">
        <f t="shared" ref="J329:AS329" si="143">$I236</f>
        <v>0.21</v>
      </c>
      <c r="K329" s="25">
        <f t="shared" si="143"/>
        <v>0.21</v>
      </c>
      <c r="L329" s="25">
        <f t="shared" si="143"/>
        <v>0.21</v>
      </c>
      <c r="M329" s="25">
        <f t="shared" si="143"/>
        <v>0.21</v>
      </c>
      <c r="N329" s="25">
        <f t="shared" si="143"/>
        <v>0.21</v>
      </c>
      <c r="O329" s="25">
        <f t="shared" si="143"/>
        <v>0.21</v>
      </c>
      <c r="P329" s="25">
        <f t="shared" si="143"/>
        <v>0.21</v>
      </c>
      <c r="Q329" s="25">
        <f t="shared" si="143"/>
        <v>0.21</v>
      </c>
      <c r="R329" s="25">
        <f t="shared" si="143"/>
        <v>0.21</v>
      </c>
      <c r="S329" s="25">
        <f t="shared" si="143"/>
        <v>0.21</v>
      </c>
      <c r="T329" s="25">
        <f t="shared" si="143"/>
        <v>0.21</v>
      </c>
      <c r="U329" s="25">
        <f t="shared" si="143"/>
        <v>0.21</v>
      </c>
      <c r="V329" s="25">
        <f t="shared" si="143"/>
        <v>0.21</v>
      </c>
      <c r="W329" s="25">
        <f t="shared" si="143"/>
        <v>0.21</v>
      </c>
      <c r="X329" s="25">
        <f t="shared" si="143"/>
        <v>0.21</v>
      </c>
      <c r="Y329" s="25">
        <f t="shared" si="143"/>
        <v>0.21</v>
      </c>
      <c r="Z329" s="25">
        <f t="shared" si="143"/>
        <v>0.21</v>
      </c>
      <c r="AA329" s="25">
        <f t="shared" si="143"/>
        <v>0.21</v>
      </c>
      <c r="AB329" s="25">
        <f t="shared" si="143"/>
        <v>0.21</v>
      </c>
      <c r="AC329" s="25">
        <f t="shared" si="143"/>
        <v>0.21</v>
      </c>
      <c r="AD329" s="25">
        <f t="shared" si="143"/>
        <v>0.21</v>
      </c>
      <c r="AE329" s="25">
        <f t="shared" si="143"/>
        <v>0.21</v>
      </c>
      <c r="AF329" s="25">
        <f t="shared" si="143"/>
        <v>0.21</v>
      </c>
      <c r="AG329" s="25">
        <f t="shared" si="143"/>
        <v>0.21</v>
      </c>
      <c r="AH329" s="25">
        <f t="shared" si="143"/>
        <v>0.21</v>
      </c>
      <c r="AI329" s="25">
        <f t="shared" si="143"/>
        <v>0.21</v>
      </c>
      <c r="AJ329" s="25">
        <f t="shared" si="143"/>
        <v>0.21</v>
      </c>
      <c r="AK329" s="25">
        <f t="shared" si="143"/>
        <v>0.21</v>
      </c>
      <c r="AL329" s="25">
        <f t="shared" si="143"/>
        <v>0.21</v>
      </c>
      <c r="AM329" s="25">
        <f t="shared" si="143"/>
        <v>0.21</v>
      </c>
      <c r="AN329" s="25">
        <f t="shared" si="143"/>
        <v>0.21</v>
      </c>
      <c r="AO329" s="25">
        <f t="shared" si="143"/>
        <v>0.21</v>
      </c>
      <c r="AP329" s="25">
        <f t="shared" si="143"/>
        <v>0.21</v>
      </c>
      <c r="AQ329" s="25">
        <f t="shared" si="143"/>
        <v>0.21</v>
      </c>
      <c r="AR329" s="25">
        <f t="shared" si="143"/>
        <v>0.21</v>
      </c>
      <c r="AS329" s="25">
        <f t="shared" si="143"/>
        <v>0.21</v>
      </c>
    </row>
    <row r="330" spans="2:45" ht="6" customHeight="1" outlineLevel="1" x14ac:dyDescent="0.15"/>
    <row r="331" spans="2:45" outlineLevel="1" x14ac:dyDescent="0.15">
      <c r="C331" s="107" t="s">
        <v>581</v>
      </c>
      <c r="J331" s="14">
        <f t="shared" ref="J331:AS331" ca="1" si="144">MAX(0,J327*J329)</f>
        <v>0</v>
      </c>
      <c r="K331" s="14">
        <f t="shared" ca="1" si="144"/>
        <v>0</v>
      </c>
      <c r="L331" s="14">
        <f t="shared" ca="1" si="144"/>
        <v>0</v>
      </c>
      <c r="M331" s="14">
        <f t="shared" ca="1" si="144"/>
        <v>0</v>
      </c>
      <c r="N331" s="14">
        <f t="shared" ca="1" si="144"/>
        <v>0</v>
      </c>
      <c r="O331" s="14">
        <f t="shared" ca="1" si="144"/>
        <v>0</v>
      </c>
      <c r="P331" s="14">
        <f t="shared" ca="1" si="144"/>
        <v>0</v>
      </c>
      <c r="Q331" s="14">
        <f t="shared" ca="1" si="144"/>
        <v>0</v>
      </c>
      <c r="R331" s="14">
        <f t="shared" ca="1" si="144"/>
        <v>0</v>
      </c>
      <c r="S331" s="14">
        <f t="shared" ca="1" si="144"/>
        <v>0</v>
      </c>
      <c r="T331" s="14">
        <f t="shared" ca="1" si="144"/>
        <v>0</v>
      </c>
      <c r="U331" s="14">
        <f t="shared" ca="1" si="144"/>
        <v>0</v>
      </c>
      <c r="V331" s="14">
        <f t="shared" ca="1" si="144"/>
        <v>0</v>
      </c>
      <c r="W331" s="14">
        <f t="shared" ca="1" si="144"/>
        <v>0</v>
      </c>
      <c r="X331" s="14">
        <f t="shared" ca="1" si="144"/>
        <v>0</v>
      </c>
      <c r="Y331" s="14">
        <f t="shared" ca="1" si="144"/>
        <v>0</v>
      </c>
      <c r="Z331" s="14">
        <f t="shared" ca="1" si="144"/>
        <v>0</v>
      </c>
      <c r="AA331" s="14">
        <f t="shared" ca="1" si="144"/>
        <v>0</v>
      </c>
      <c r="AB331" s="14">
        <f t="shared" ca="1" si="144"/>
        <v>0</v>
      </c>
      <c r="AC331" s="14">
        <f t="shared" ca="1" si="144"/>
        <v>0</v>
      </c>
      <c r="AD331" s="14">
        <f t="shared" ca="1" si="144"/>
        <v>0</v>
      </c>
      <c r="AE331" s="14">
        <f t="shared" ca="1" si="144"/>
        <v>0</v>
      </c>
      <c r="AF331" s="14">
        <f t="shared" ca="1" si="144"/>
        <v>0</v>
      </c>
      <c r="AG331" s="14">
        <f t="shared" ca="1" si="144"/>
        <v>0</v>
      </c>
      <c r="AH331" s="14">
        <f t="shared" ca="1" si="144"/>
        <v>0</v>
      </c>
      <c r="AI331" s="14">
        <f t="shared" ca="1" si="144"/>
        <v>0</v>
      </c>
      <c r="AJ331" s="14">
        <f t="shared" ca="1" si="144"/>
        <v>0</v>
      </c>
      <c r="AK331" s="14">
        <f t="shared" ca="1" si="144"/>
        <v>0</v>
      </c>
      <c r="AL331" s="14">
        <f t="shared" ca="1" si="144"/>
        <v>0</v>
      </c>
      <c r="AM331" s="14">
        <f t="shared" ca="1" si="144"/>
        <v>0</v>
      </c>
      <c r="AN331" s="14">
        <f t="shared" ca="1" si="144"/>
        <v>0</v>
      </c>
      <c r="AO331" s="14">
        <f t="shared" ca="1" si="144"/>
        <v>0</v>
      </c>
      <c r="AP331" s="14">
        <f t="shared" ca="1" si="144"/>
        <v>0</v>
      </c>
      <c r="AQ331" s="14">
        <f t="shared" ca="1" si="144"/>
        <v>0</v>
      </c>
      <c r="AR331" s="14">
        <f t="shared" ca="1" si="144"/>
        <v>0</v>
      </c>
      <c r="AS331" s="14">
        <f t="shared" ca="1" si="144"/>
        <v>0</v>
      </c>
    </row>
    <row r="332" spans="2:45" hidden="1" outlineLevel="2" x14ac:dyDescent="0.15">
      <c r="C332" s="175" t="str">
        <f>"Change in "&amp;C331</f>
        <v>Change in Year-To-Date Tax Payable</v>
      </c>
      <c r="J332" s="31">
        <f t="shared" ref="J332:AS332" ca="1" si="145">J331-IF(OR(J$8=1,J315=1),0,I331)</f>
        <v>0</v>
      </c>
      <c r="K332" s="31">
        <f t="shared" ca="1" si="145"/>
        <v>0</v>
      </c>
      <c r="L332" s="31">
        <f t="shared" ca="1" si="145"/>
        <v>0</v>
      </c>
      <c r="M332" s="31">
        <f t="shared" ca="1" si="145"/>
        <v>0</v>
      </c>
      <c r="N332" s="31">
        <f t="shared" ca="1" si="145"/>
        <v>0</v>
      </c>
      <c r="O332" s="31">
        <f t="shared" ca="1" si="145"/>
        <v>0</v>
      </c>
      <c r="P332" s="31">
        <f t="shared" ca="1" si="145"/>
        <v>0</v>
      </c>
      <c r="Q332" s="31">
        <f t="shared" ca="1" si="145"/>
        <v>0</v>
      </c>
      <c r="R332" s="31">
        <f t="shared" ca="1" si="145"/>
        <v>0</v>
      </c>
      <c r="S332" s="31">
        <f t="shared" ca="1" si="145"/>
        <v>0</v>
      </c>
      <c r="T332" s="31">
        <f t="shared" ca="1" si="145"/>
        <v>0</v>
      </c>
      <c r="U332" s="31">
        <f t="shared" ca="1" si="145"/>
        <v>0</v>
      </c>
      <c r="V332" s="31">
        <f t="shared" ca="1" si="145"/>
        <v>0</v>
      </c>
      <c r="W332" s="31">
        <f t="shared" ca="1" si="145"/>
        <v>0</v>
      </c>
      <c r="X332" s="31">
        <f t="shared" ca="1" si="145"/>
        <v>0</v>
      </c>
      <c r="Y332" s="31">
        <f t="shared" ca="1" si="145"/>
        <v>0</v>
      </c>
      <c r="Z332" s="31">
        <f t="shared" ca="1" si="145"/>
        <v>0</v>
      </c>
      <c r="AA332" s="31">
        <f t="shared" ca="1" si="145"/>
        <v>0</v>
      </c>
      <c r="AB332" s="31">
        <f t="shared" ca="1" si="145"/>
        <v>0</v>
      </c>
      <c r="AC332" s="31">
        <f t="shared" ca="1" si="145"/>
        <v>0</v>
      </c>
      <c r="AD332" s="31">
        <f t="shared" ca="1" si="145"/>
        <v>0</v>
      </c>
      <c r="AE332" s="31">
        <f t="shared" ca="1" si="145"/>
        <v>0</v>
      </c>
      <c r="AF332" s="31">
        <f t="shared" ca="1" si="145"/>
        <v>0</v>
      </c>
      <c r="AG332" s="31">
        <f t="shared" ca="1" si="145"/>
        <v>0</v>
      </c>
      <c r="AH332" s="31">
        <f t="shared" ca="1" si="145"/>
        <v>0</v>
      </c>
      <c r="AI332" s="31">
        <f t="shared" ca="1" si="145"/>
        <v>0</v>
      </c>
      <c r="AJ332" s="31">
        <f t="shared" ca="1" si="145"/>
        <v>0</v>
      </c>
      <c r="AK332" s="31">
        <f t="shared" ca="1" si="145"/>
        <v>0</v>
      </c>
      <c r="AL332" s="31">
        <f t="shared" ca="1" si="145"/>
        <v>0</v>
      </c>
      <c r="AM332" s="31">
        <f t="shared" ca="1" si="145"/>
        <v>0</v>
      </c>
      <c r="AN332" s="31">
        <f t="shared" ca="1" si="145"/>
        <v>0</v>
      </c>
      <c r="AO332" s="31">
        <f t="shared" ca="1" si="145"/>
        <v>0</v>
      </c>
      <c r="AP332" s="31">
        <f t="shared" ca="1" si="145"/>
        <v>0</v>
      </c>
      <c r="AQ332" s="31">
        <f t="shared" ca="1" si="145"/>
        <v>0</v>
      </c>
      <c r="AR332" s="31">
        <f t="shared" ca="1" si="145"/>
        <v>0</v>
      </c>
      <c r="AS332" s="31">
        <f t="shared" ca="1" si="145"/>
        <v>0</v>
      </c>
    </row>
    <row r="333" spans="2:45" outlineLevel="1" collapsed="1" x14ac:dyDescent="0.15"/>
    <row r="334" spans="2:45" outlineLevel="1" x14ac:dyDescent="0.15">
      <c r="B334" s="16" t="s">
        <v>588</v>
      </c>
    </row>
    <row r="335" spans="2:45" outlineLevel="1" x14ac:dyDescent="0.15"/>
    <row r="336" spans="2:45" outlineLevel="1" x14ac:dyDescent="0.15">
      <c r="C336" s="107" t="s">
        <v>589</v>
      </c>
      <c r="J336" s="29" t="str">
        <f t="shared" ref="J336:AS336" si="146">IF(J316=Corp_Tax_Assess_Freq_Mthly,Corp_Tax_Yes,IF(J316=Corp_Tax_Assess_Freq_Qtrly,IF(MOD(J315,Ts_Mths_In_Qtr)=0,Corp_Tax_Yes,Corp_Tax_No),IF(J316=Corp_Tax_Assess_Freq_Semi_Ann,IF(MOD(J315,Ts_Mths_In_Half)=0,Corp_Tax_Yes,Corp_Tax_No),Corp_Tax_No)))</f>
        <v>No</v>
      </c>
      <c r="K336" s="29" t="str">
        <f t="shared" si="146"/>
        <v>Yes</v>
      </c>
      <c r="L336" s="29" t="str">
        <f t="shared" si="146"/>
        <v>No</v>
      </c>
      <c r="M336" s="29" t="str">
        <f t="shared" si="146"/>
        <v>No</v>
      </c>
      <c r="N336" s="29" t="str">
        <f t="shared" si="146"/>
        <v>Yes</v>
      </c>
      <c r="O336" s="29" t="str">
        <f t="shared" si="146"/>
        <v>No</v>
      </c>
      <c r="P336" s="29" t="str">
        <f t="shared" si="146"/>
        <v>No</v>
      </c>
      <c r="Q336" s="29" t="str">
        <f t="shared" si="146"/>
        <v>Yes</v>
      </c>
      <c r="R336" s="29" t="str">
        <f t="shared" si="146"/>
        <v>No</v>
      </c>
      <c r="S336" s="29" t="str">
        <f t="shared" si="146"/>
        <v>No</v>
      </c>
      <c r="T336" s="29" t="str">
        <f t="shared" si="146"/>
        <v>Yes</v>
      </c>
      <c r="U336" s="29" t="str">
        <f t="shared" si="146"/>
        <v>No</v>
      </c>
      <c r="V336" s="29" t="str">
        <f t="shared" si="146"/>
        <v>No</v>
      </c>
      <c r="W336" s="29" t="str">
        <f t="shared" si="146"/>
        <v>Yes</v>
      </c>
      <c r="X336" s="29" t="str">
        <f t="shared" si="146"/>
        <v>No</v>
      </c>
      <c r="Y336" s="29" t="str">
        <f t="shared" si="146"/>
        <v>No</v>
      </c>
      <c r="Z336" s="29" t="str">
        <f t="shared" si="146"/>
        <v>Yes</v>
      </c>
      <c r="AA336" s="29" t="str">
        <f t="shared" si="146"/>
        <v>No</v>
      </c>
      <c r="AB336" s="29" t="str">
        <f t="shared" si="146"/>
        <v>No</v>
      </c>
      <c r="AC336" s="29" t="str">
        <f t="shared" si="146"/>
        <v>Yes</v>
      </c>
      <c r="AD336" s="29" t="str">
        <f t="shared" si="146"/>
        <v>No</v>
      </c>
      <c r="AE336" s="29" t="str">
        <f t="shared" si="146"/>
        <v>No</v>
      </c>
      <c r="AF336" s="29" t="str">
        <f t="shared" si="146"/>
        <v>Yes</v>
      </c>
      <c r="AG336" s="29" t="str">
        <f t="shared" si="146"/>
        <v>No</v>
      </c>
      <c r="AH336" s="29" t="str">
        <f t="shared" si="146"/>
        <v>No</v>
      </c>
      <c r="AI336" s="29" t="str">
        <f t="shared" si="146"/>
        <v>Yes</v>
      </c>
      <c r="AJ336" s="29" t="str">
        <f t="shared" si="146"/>
        <v>No</v>
      </c>
      <c r="AK336" s="29" t="str">
        <f t="shared" si="146"/>
        <v>No</v>
      </c>
      <c r="AL336" s="29" t="str">
        <f t="shared" si="146"/>
        <v>Yes</v>
      </c>
      <c r="AM336" s="29" t="str">
        <f t="shared" si="146"/>
        <v>No</v>
      </c>
      <c r="AN336" s="29" t="str">
        <f t="shared" si="146"/>
        <v>No</v>
      </c>
      <c r="AO336" s="29" t="str">
        <f t="shared" si="146"/>
        <v>Yes</v>
      </c>
      <c r="AP336" s="29" t="str">
        <f t="shared" si="146"/>
        <v>No</v>
      </c>
      <c r="AQ336" s="29" t="str">
        <f t="shared" si="146"/>
        <v>No</v>
      </c>
      <c r="AR336" s="29" t="str">
        <f t="shared" si="146"/>
        <v>Yes</v>
      </c>
      <c r="AS336" s="29" t="str">
        <f t="shared" si="146"/>
        <v>No</v>
      </c>
    </row>
    <row r="337" spans="2:45" outlineLevel="1" x14ac:dyDescent="0.15">
      <c r="C337" s="107" t="s">
        <v>590</v>
      </c>
      <c r="J337" s="17">
        <f t="shared" ref="J337:AS337" si="147">IF(J316=Corp_Tax_Assess_Freq_Mthly,J315,IF(J316=Corp_Tax_Assess_Freq_Qtrly,INT((J315-1)/Ts_Mths_In_Qtr)+1,IF(J316=Corp_Tax_Assess_Freq_Semi_Ann,INT((J315-1)/Ts_Mths_In_Half)+1,0)))</f>
        <v>1</v>
      </c>
      <c r="K337" s="17">
        <f t="shared" si="147"/>
        <v>1</v>
      </c>
      <c r="L337" s="17">
        <f t="shared" si="147"/>
        <v>2</v>
      </c>
      <c r="M337" s="17">
        <f t="shared" si="147"/>
        <v>2</v>
      </c>
      <c r="N337" s="17">
        <f t="shared" si="147"/>
        <v>2</v>
      </c>
      <c r="O337" s="17">
        <f t="shared" si="147"/>
        <v>3</v>
      </c>
      <c r="P337" s="17">
        <f t="shared" si="147"/>
        <v>3</v>
      </c>
      <c r="Q337" s="17">
        <f t="shared" si="147"/>
        <v>3</v>
      </c>
      <c r="R337" s="17">
        <f t="shared" si="147"/>
        <v>4</v>
      </c>
      <c r="S337" s="17">
        <f t="shared" si="147"/>
        <v>4</v>
      </c>
      <c r="T337" s="17">
        <f t="shared" si="147"/>
        <v>4</v>
      </c>
      <c r="U337" s="17">
        <f t="shared" si="147"/>
        <v>1</v>
      </c>
      <c r="V337" s="17">
        <f t="shared" si="147"/>
        <v>1</v>
      </c>
      <c r="W337" s="17">
        <f t="shared" si="147"/>
        <v>1</v>
      </c>
      <c r="X337" s="17">
        <f t="shared" si="147"/>
        <v>2</v>
      </c>
      <c r="Y337" s="17">
        <f t="shared" si="147"/>
        <v>2</v>
      </c>
      <c r="Z337" s="17">
        <f t="shared" si="147"/>
        <v>2</v>
      </c>
      <c r="AA337" s="17">
        <f t="shared" si="147"/>
        <v>3</v>
      </c>
      <c r="AB337" s="17">
        <f t="shared" si="147"/>
        <v>3</v>
      </c>
      <c r="AC337" s="17">
        <f t="shared" si="147"/>
        <v>3</v>
      </c>
      <c r="AD337" s="17">
        <f t="shared" si="147"/>
        <v>4</v>
      </c>
      <c r="AE337" s="17">
        <f t="shared" si="147"/>
        <v>4</v>
      </c>
      <c r="AF337" s="17">
        <f t="shared" si="147"/>
        <v>4</v>
      </c>
      <c r="AG337" s="17">
        <f t="shared" si="147"/>
        <v>1</v>
      </c>
      <c r="AH337" s="17">
        <f t="shared" si="147"/>
        <v>1</v>
      </c>
      <c r="AI337" s="17">
        <f t="shared" si="147"/>
        <v>1</v>
      </c>
      <c r="AJ337" s="17">
        <f t="shared" si="147"/>
        <v>2</v>
      </c>
      <c r="AK337" s="17">
        <f t="shared" si="147"/>
        <v>2</v>
      </c>
      <c r="AL337" s="17">
        <f t="shared" si="147"/>
        <v>2</v>
      </c>
      <c r="AM337" s="17">
        <f t="shared" si="147"/>
        <v>3</v>
      </c>
      <c r="AN337" s="17">
        <f t="shared" si="147"/>
        <v>3</v>
      </c>
      <c r="AO337" s="17">
        <f t="shared" si="147"/>
        <v>3</v>
      </c>
      <c r="AP337" s="17">
        <f t="shared" si="147"/>
        <v>4</v>
      </c>
      <c r="AQ337" s="17">
        <f t="shared" si="147"/>
        <v>4</v>
      </c>
      <c r="AR337" s="17">
        <f t="shared" si="147"/>
        <v>4</v>
      </c>
      <c r="AS337" s="17">
        <f t="shared" si="147"/>
        <v>1</v>
      </c>
    </row>
    <row r="338" spans="2:45" ht="6" customHeight="1" outlineLevel="1" x14ac:dyDescent="0.15">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row>
    <row r="339" spans="2:45" outlineLevel="1" x14ac:dyDescent="0.15">
      <c r="C339" s="107" t="str">
        <f>C331</f>
        <v>Year-To-Date Tax Payable</v>
      </c>
      <c r="J339" s="14">
        <f t="shared" ref="J339:AS339" si="148">IF(J336&lt;&gt;Corp_Tax_Yes,0,J331)</f>
        <v>0</v>
      </c>
      <c r="K339" s="14">
        <f t="shared" ca="1" si="148"/>
        <v>0</v>
      </c>
      <c r="L339" s="14">
        <f t="shared" si="148"/>
        <v>0</v>
      </c>
      <c r="M339" s="14">
        <f t="shared" si="148"/>
        <v>0</v>
      </c>
      <c r="N339" s="14">
        <f t="shared" ca="1" si="148"/>
        <v>0</v>
      </c>
      <c r="O339" s="14">
        <f t="shared" si="148"/>
        <v>0</v>
      </c>
      <c r="P339" s="14">
        <f t="shared" si="148"/>
        <v>0</v>
      </c>
      <c r="Q339" s="14">
        <f t="shared" ca="1" si="148"/>
        <v>0</v>
      </c>
      <c r="R339" s="14">
        <f t="shared" si="148"/>
        <v>0</v>
      </c>
      <c r="S339" s="14">
        <f t="shared" si="148"/>
        <v>0</v>
      </c>
      <c r="T339" s="14">
        <f t="shared" ca="1" si="148"/>
        <v>0</v>
      </c>
      <c r="U339" s="14">
        <f t="shared" si="148"/>
        <v>0</v>
      </c>
      <c r="V339" s="14">
        <f t="shared" si="148"/>
        <v>0</v>
      </c>
      <c r="W339" s="14">
        <f t="shared" ca="1" si="148"/>
        <v>0</v>
      </c>
      <c r="X339" s="14">
        <f t="shared" si="148"/>
        <v>0</v>
      </c>
      <c r="Y339" s="14">
        <f t="shared" si="148"/>
        <v>0</v>
      </c>
      <c r="Z339" s="14">
        <f t="shared" ca="1" si="148"/>
        <v>0</v>
      </c>
      <c r="AA339" s="14">
        <f t="shared" si="148"/>
        <v>0</v>
      </c>
      <c r="AB339" s="14">
        <f t="shared" si="148"/>
        <v>0</v>
      </c>
      <c r="AC339" s="14">
        <f t="shared" ca="1" si="148"/>
        <v>0</v>
      </c>
      <c r="AD339" s="14">
        <f t="shared" si="148"/>
        <v>0</v>
      </c>
      <c r="AE339" s="14">
        <f t="shared" si="148"/>
        <v>0</v>
      </c>
      <c r="AF339" s="14">
        <f t="shared" ca="1" si="148"/>
        <v>0</v>
      </c>
      <c r="AG339" s="14">
        <f t="shared" si="148"/>
        <v>0</v>
      </c>
      <c r="AH339" s="14">
        <f t="shared" si="148"/>
        <v>0</v>
      </c>
      <c r="AI339" s="14">
        <f t="shared" ca="1" si="148"/>
        <v>0</v>
      </c>
      <c r="AJ339" s="14">
        <f t="shared" si="148"/>
        <v>0</v>
      </c>
      <c r="AK339" s="14">
        <f t="shared" si="148"/>
        <v>0</v>
      </c>
      <c r="AL339" s="14">
        <f t="shared" ca="1" si="148"/>
        <v>0</v>
      </c>
      <c r="AM339" s="14">
        <f t="shared" si="148"/>
        <v>0</v>
      </c>
      <c r="AN339" s="14">
        <f t="shared" si="148"/>
        <v>0</v>
      </c>
      <c r="AO339" s="14">
        <f t="shared" ca="1" si="148"/>
        <v>0</v>
      </c>
      <c r="AP339" s="14">
        <f t="shared" si="148"/>
        <v>0</v>
      </c>
      <c r="AQ339" s="14">
        <f t="shared" si="148"/>
        <v>0</v>
      </c>
      <c r="AR339" s="14">
        <f t="shared" ca="1" si="148"/>
        <v>0</v>
      </c>
      <c r="AS339" s="14">
        <f t="shared" si="148"/>
        <v>0</v>
      </c>
    </row>
    <row r="340" spans="2:45" outlineLevel="1" x14ac:dyDescent="0.15">
      <c r="C340" s="107" t="s">
        <v>591</v>
      </c>
      <c r="J340" s="14">
        <f t="shared" ref="J340:AS340" ca="1" si="149">IF(J336&lt;&gt;Corp_Tax_Yes,0,IF(OR(J$8=1,J337=1),0,-SUM(OFFSET(J345,0,1-MIN(J$8,J315),1,MIN(J$8,J315)-1))))</f>
        <v>0</v>
      </c>
      <c r="K340" s="14">
        <f t="shared" ca="1" si="149"/>
        <v>0</v>
      </c>
      <c r="L340" s="14">
        <f t="shared" ca="1" si="149"/>
        <v>0</v>
      </c>
      <c r="M340" s="14">
        <f t="shared" ca="1" si="149"/>
        <v>0</v>
      </c>
      <c r="N340" s="14">
        <f t="shared" ca="1" si="149"/>
        <v>0</v>
      </c>
      <c r="O340" s="14">
        <f t="shared" ca="1" si="149"/>
        <v>0</v>
      </c>
      <c r="P340" s="14">
        <f t="shared" ca="1" si="149"/>
        <v>0</v>
      </c>
      <c r="Q340" s="14">
        <f t="shared" ca="1" si="149"/>
        <v>0</v>
      </c>
      <c r="R340" s="14">
        <f t="shared" ca="1" si="149"/>
        <v>0</v>
      </c>
      <c r="S340" s="14">
        <f t="shared" ca="1" si="149"/>
        <v>0</v>
      </c>
      <c r="T340" s="14">
        <f t="shared" ca="1" si="149"/>
        <v>0</v>
      </c>
      <c r="U340" s="14">
        <f t="shared" ca="1" si="149"/>
        <v>0</v>
      </c>
      <c r="V340" s="14">
        <f t="shared" ca="1" si="149"/>
        <v>0</v>
      </c>
      <c r="W340" s="14">
        <f t="shared" ca="1" si="149"/>
        <v>0</v>
      </c>
      <c r="X340" s="14">
        <f t="shared" ca="1" si="149"/>
        <v>0</v>
      </c>
      <c r="Y340" s="14">
        <f t="shared" ca="1" si="149"/>
        <v>0</v>
      </c>
      <c r="Z340" s="14">
        <f t="shared" ca="1" si="149"/>
        <v>0</v>
      </c>
      <c r="AA340" s="14">
        <f t="shared" ca="1" si="149"/>
        <v>0</v>
      </c>
      <c r="AB340" s="14">
        <f t="shared" ca="1" si="149"/>
        <v>0</v>
      </c>
      <c r="AC340" s="14">
        <f t="shared" ca="1" si="149"/>
        <v>0</v>
      </c>
      <c r="AD340" s="14">
        <f t="shared" ca="1" si="149"/>
        <v>0</v>
      </c>
      <c r="AE340" s="14">
        <f t="shared" ca="1" si="149"/>
        <v>0</v>
      </c>
      <c r="AF340" s="14">
        <f t="shared" ca="1" si="149"/>
        <v>0</v>
      </c>
      <c r="AG340" s="14">
        <f t="shared" ca="1" si="149"/>
        <v>0</v>
      </c>
      <c r="AH340" s="14">
        <f t="shared" ca="1" si="149"/>
        <v>0</v>
      </c>
      <c r="AI340" s="14">
        <f t="shared" ca="1" si="149"/>
        <v>0</v>
      </c>
      <c r="AJ340" s="14">
        <f t="shared" ca="1" si="149"/>
        <v>0</v>
      </c>
      <c r="AK340" s="14">
        <f t="shared" ca="1" si="149"/>
        <v>0</v>
      </c>
      <c r="AL340" s="14">
        <f t="shared" ca="1" si="149"/>
        <v>0</v>
      </c>
      <c r="AM340" s="14">
        <f t="shared" ca="1" si="149"/>
        <v>0</v>
      </c>
      <c r="AN340" s="14">
        <f t="shared" ca="1" si="149"/>
        <v>0</v>
      </c>
      <c r="AO340" s="14">
        <f t="shared" ca="1" si="149"/>
        <v>0</v>
      </c>
      <c r="AP340" s="14">
        <f t="shared" ca="1" si="149"/>
        <v>0</v>
      </c>
      <c r="AQ340" s="14">
        <f t="shared" ca="1" si="149"/>
        <v>0</v>
      </c>
      <c r="AR340" s="14">
        <f t="shared" ca="1" si="149"/>
        <v>0</v>
      </c>
      <c r="AS340" s="14">
        <f t="shared" ca="1" si="149"/>
        <v>0</v>
      </c>
    </row>
    <row r="341" spans="2:45" outlineLevel="1" x14ac:dyDescent="0.15">
      <c r="C341" s="16" t="s">
        <v>592</v>
      </c>
      <c r="J341" s="34">
        <f t="shared" ref="J341:AS341" si="150">IF(J336&lt;&gt;Corp_Tax_Yes,0,MAX(0,J339+J340))</f>
        <v>0</v>
      </c>
      <c r="K341" s="34">
        <f t="shared" ca="1" si="150"/>
        <v>0</v>
      </c>
      <c r="L341" s="34">
        <f t="shared" si="150"/>
        <v>0</v>
      </c>
      <c r="M341" s="34">
        <f t="shared" si="150"/>
        <v>0</v>
      </c>
      <c r="N341" s="34">
        <f t="shared" ca="1" si="150"/>
        <v>0</v>
      </c>
      <c r="O341" s="34">
        <f t="shared" si="150"/>
        <v>0</v>
      </c>
      <c r="P341" s="34">
        <f t="shared" si="150"/>
        <v>0</v>
      </c>
      <c r="Q341" s="34">
        <f t="shared" ca="1" si="150"/>
        <v>0</v>
      </c>
      <c r="R341" s="34">
        <f t="shared" si="150"/>
        <v>0</v>
      </c>
      <c r="S341" s="34">
        <f t="shared" si="150"/>
        <v>0</v>
      </c>
      <c r="T341" s="34">
        <f t="shared" ca="1" si="150"/>
        <v>0</v>
      </c>
      <c r="U341" s="34">
        <f t="shared" si="150"/>
        <v>0</v>
      </c>
      <c r="V341" s="34">
        <f t="shared" si="150"/>
        <v>0</v>
      </c>
      <c r="W341" s="34">
        <f t="shared" ca="1" si="150"/>
        <v>0</v>
      </c>
      <c r="X341" s="34">
        <f t="shared" si="150"/>
        <v>0</v>
      </c>
      <c r="Y341" s="34">
        <f t="shared" si="150"/>
        <v>0</v>
      </c>
      <c r="Z341" s="34">
        <f t="shared" ca="1" si="150"/>
        <v>0</v>
      </c>
      <c r="AA341" s="34">
        <f t="shared" si="150"/>
        <v>0</v>
      </c>
      <c r="AB341" s="34">
        <f t="shared" si="150"/>
        <v>0</v>
      </c>
      <c r="AC341" s="34">
        <f t="shared" ca="1" si="150"/>
        <v>0</v>
      </c>
      <c r="AD341" s="34">
        <f t="shared" si="150"/>
        <v>0</v>
      </c>
      <c r="AE341" s="34">
        <f t="shared" si="150"/>
        <v>0</v>
      </c>
      <c r="AF341" s="34">
        <f t="shared" ca="1" si="150"/>
        <v>0</v>
      </c>
      <c r="AG341" s="34">
        <f t="shared" si="150"/>
        <v>0</v>
      </c>
      <c r="AH341" s="34">
        <f t="shared" si="150"/>
        <v>0</v>
      </c>
      <c r="AI341" s="34">
        <f t="shared" ca="1" si="150"/>
        <v>0</v>
      </c>
      <c r="AJ341" s="34">
        <f t="shared" si="150"/>
        <v>0</v>
      </c>
      <c r="AK341" s="34">
        <f t="shared" si="150"/>
        <v>0</v>
      </c>
      <c r="AL341" s="34">
        <f t="shared" ca="1" si="150"/>
        <v>0</v>
      </c>
      <c r="AM341" s="34">
        <f t="shared" si="150"/>
        <v>0</v>
      </c>
      <c r="AN341" s="34">
        <f t="shared" si="150"/>
        <v>0</v>
      </c>
      <c r="AO341" s="34">
        <f t="shared" ca="1" si="150"/>
        <v>0</v>
      </c>
      <c r="AP341" s="34">
        <f t="shared" si="150"/>
        <v>0</v>
      </c>
      <c r="AQ341" s="34">
        <f t="shared" si="150"/>
        <v>0</v>
      </c>
      <c r="AR341" s="34">
        <f t="shared" ca="1" si="150"/>
        <v>0</v>
      </c>
      <c r="AS341" s="34">
        <f t="shared" si="150"/>
        <v>0</v>
      </c>
    </row>
    <row r="342" spans="2:45" ht="6" customHeight="1" outlineLevel="1" x14ac:dyDescent="0.15">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row>
    <row r="343" spans="2:45" outlineLevel="1" x14ac:dyDescent="0.15">
      <c r="C343" s="107" t="str">
        <f>B272</f>
        <v>Tax Payment Amount Determination</v>
      </c>
      <c r="J343" s="29">
        <f t="shared" ref="J343:AS343" si="151">IF(J336&lt;&gt;Corp_Tax_Yes,0,J272)</f>
        <v>0</v>
      </c>
      <c r="K343" s="29" t="str">
        <f t="shared" si="151"/>
        <v>Assessment</v>
      </c>
      <c r="L343" s="29">
        <f t="shared" si="151"/>
        <v>0</v>
      </c>
      <c r="M343" s="29">
        <f t="shared" si="151"/>
        <v>0</v>
      </c>
      <c r="N343" s="29" t="str">
        <f t="shared" si="151"/>
        <v>Assessment</v>
      </c>
      <c r="O343" s="29">
        <f t="shared" si="151"/>
        <v>0</v>
      </c>
      <c r="P343" s="29">
        <f t="shared" si="151"/>
        <v>0</v>
      </c>
      <c r="Q343" s="29" t="str">
        <f t="shared" si="151"/>
        <v>Assessment</v>
      </c>
      <c r="R343" s="29">
        <f t="shared" si="151"/>
        <v>0</v>
      </c>
      <c r="S343" s="29">
        <f t="shared" si="151"/>
        <v>0</v>
      </c>
      <c r="T343" s="29" t="str">
        <f t="shared" si="151"/>
        <v>Assessment</v>
      </c>
      <c r="U343" s="29">
        <f t="shared" si="151"/>
        <v>0</v>
      </c>
      <c r="V343" s="29">
        <f t="shared" si="151"/>
        <v>0</v>
      </c>
      <c r="W343" s="29" t="str">
        <f t="shared" si="151"/>
        <v>Assessment</v>
      </c>
      <c r="X343" s="29">
        <f t="shared" si="151"/>
        <v>0</v>
      </c>
      <c r="Y343" s="29">
        <f t="shared" si="151"/>
        <v>0</v>
      </c>
      <c r="Z343" s="29" t="str">
        <f t="shared" si="151"/>
        <v>Assessment</v>
      </c>
      <c r="AA343" s="29">
        <f t="shared" si="151"/>
        <v>0</v>
      </c>
      <c r="AB343" s="29">
        <f t="shared" si="151"/>
        <v>0</v>
      </c>
      <c r="AC343" s="29" t="str">
        <f t="shared" si="151"/>
        <v>Assessment</v>
      </c>
      <c r="AD343" s="29">
        <f t="shared" si="151"/>
        <v>0</v>
      </c>
      <c r="AE343" s="29">
        <f t="shared" si="151"/>
        <v>0</v>
      </c>
      <c r="AF343" s="29" t="str">
        <f t="shared" si="151"/>
        <v>Assessment</v>
      </c>
      <c r="AG343" s="29">
        <f t="shared" si="151"/>
        <v>0</v>
      </c>
      <c r="AH343" s="29">
        <f t="shared" si="151"/>
        <v>0</v>
      </c>
      <c r="AI343" s="29" t="str">
        <f t="shared" si="151"/>
        <v>Assessment</v>
      </c>
      <c r="AJ343" s="29">
        <f t="shared" si="151"/>
        <v>0</v>
      </c>
      <c r="AK343" s="29">
        <f t="shared" si="151"/>
        <v>0</v>
      </c>
      <c r="AL343" s="29" t="str">
        <f t="shared" si="151"/>
        <v>Assessment</v>
      </c>
      <c r="AM343" s="29">
        <f t="shared" si="151"/>
        <v>0</v>
      </c>
      <c r="AN343" s="29">
        <f t="shared" si="151"/>
        <v>0</v>
      </c>
      <c r="AO343" s="29" t="str">
        <f t="shared" si="151"/>
        <v>Assessment</v>
      </c>
      <c r="AP343" s="29">
        <f t="shared" si="151"/>
        <v>0</v>
      </c>
      <c r="AQ343" s="29">
        <f t="shared" si="151"/>
        <v>0</v>
      </c>
      <c r="AR343" s="29" t="str">
        <f t="shared" si="151"/>
        <v>Assessment</v>
      </c>
      <c r="AS343" s="29">
        <f t="shared" si="151"/>
        <v>0</v>
      </c>
    </row>
    <row r="344" spans="2:45" outlineLevel="1" x14ac:dyDescent="0.15">
      <c r="C344" s="107" t="str">
        <f>B273</f>
        <v>Assumed Tax Payment Amount (If Applicable)</v>
      </c>
      <c r="J344" s="14">
        <f t="shared" ref="J344:AS344" si="152">IF(OR(J336&lt;&gt;Corp_Tax_Yes,J343&lt;&gt;Corp_Tax_Pmt_Amt_Mth_Amt),0,J273)</f>
        <v>0</v>
      </c>
      <c r="K344" s="14">
        <f t="shared" si="152"/>
        <v>0</v>
      </c>
      <c r="L344" s="14">
        <f t="shared" si="152"/>
        <v>0</v>
      </c>
      <c r="M344" s="14">
        <f t="shared" si="152"/>
        <v>0</v>
      </c>
      <c r="N344" s="14">
        <f t="shared" si="152"/>
        <v>0</v>
      </c>
      <c r="O344" s="14">
        <f t="shared" si="152"/>
        <v>0</v>
      </c>
      <c r="P344" s="14">
        <f t="shared" si="152"/>
        <v>0</v>
      </c>
      <c r="Q344" s="14">
        <f t="shared" si="152"/>
        <v>0</v>
      </c>
      <c r="R344" s="14">
        <f t="shared" si="152"/>
        <v>0</v>
      </c>
      <c r="S344" s="14">
        <f t="shared" si="152"/>
        <v>0</v>
      </c>
      <c r="T344" s="14">
        <f t="shared" si="152"/>
        <v>0</v>
      </c>
      <c r="U344" s="14">
        <f t="shared" si="152"/>
        <v>0</v>
      </c>
      <c r="V344" s="14">
        <f t="shared" si="152"/>
        <v>0</v>
      </c>
      <c r="W344" s="14">
        <f t="shared" si="152"/>
        <v>0</v>
      </c>
      <c r="X344" s="14">
        <f t="shared" si="152"/>
        <v>0</v>
      </c>
      <c r="Y344" s="14">
        <f t="shared" si="152"/>
        <v>0</v>
      </c>
      <c r="Z344" s="14">
        <f t="shared" si="152"/>
        <v>0</v>
      </c>
      <c r="AA344" s="14">
        <f t="shared" si="152"/>
        <v>0</v>
      </c>
      <c r="AB344" s="14">
        <f t="shared" si="152"/>
        <v>0</v>
      </c>
      <c r="AC344" s="14">
        <f t="shared" si="152"/>
        <v>0</v>
      </c>
      <c r="AD344" s="14">
        <f t="shared" si="152"/>
        <v>0</v>
      </c>
      <c r="AE344" s="14">
        <f t="shared" si="152"/>
        <v>0</v>
      </c>
      <c r="AF344" s="14">
        <f t="shared" si="152"/>
        <v>0</v>
      </c>
      <c r="AG344" s="14">
        <f t="shared" si="152"/>
        <v>0</v>
      </c>
      <c r="AH344" s="14">
        <f t="shared" si="152"/>
        <v>0</v>
      </c>
      <c r="AI344" s="14">
        <f t="shared" si="152"/>
        <v>0</v>
      </c>
      <c r="AJ344" s="14">
        <f t="shared" si="152"/>
        <v>0</v>
      </c>
      <c r="AK344" s="14">
        <f t="shared" si="152"/>
        <v>0</v>
      </c>
      <c r="AL344" s="14">
        <f t="shared" si="152"/>
        <v>0</v>
      </c>
      <c r="AM344" s="14">
        <f t="shared" si="152"/>
        <v>0</v>
      </c>
      <c r="AN344" s="14">
        <f t="shared" si="152"/>
        <v>0</v>
      </c>
      <c r="AO344" s="14">
        <f t="shared" si="152"/>
        <v>0</v>
      </c>
      <c r="AP344" s="14">
        <f t="shared" si="152"/>
        <v>0</v>
      </c>
      <c r="AQ344" s="14">
        <f t="shared" si="152"/>
        <v>0</v>
      </c>
      <c r="AR344" s="14">
        <f t="shared" si="152"/>
        <v>0</v>
      </c>
      <c r="AS344" s="14">
        <f t="shared" si="152"/>
        <v>0</v>
      </c>
    </row>
    <row r="345" spans="2:45" outlineLevel="1" x14ac:dyDescent="0.15">
      <c r="C345" s="16" t="str">
        <f>B334&amp;" - Tax Payable"</f>
        <v>Interim Tax Assessments - Tax Payable</v>
      </c>
      <c r="J345" s="18">
        <f t="shared" ref="J345:AS345" si="153">IF(J336&lt;&gt;Corp_Tax_Yes,0,IF(J343=Corp_Tax_Pmt_Amt_Mth_Amt,J344,J341))</f>
        <v>0</v>
      </c>
      <c r="K345" s="18">
        <f t="shared" ca="1" si="153"/>
        <v>0</v>
      </c>
      <c r="L345" s="18">
        <f t="shared" si="153"/>
        <v>0</v>
      </c>
      <c r="M345" s="18">
        <f t="shared" si="153"/>
        <v>0</v>
      </c>
      <c r="N345" s="18">
        <f t="shared" ca="1" si="153"/>
        <v>0</v>
      </c>
      <c r="O345" s="18">
        <f t="shared" si="153"/>
        <v>0</v>
      </c>
      <c r="P345" s="18">
        <f t="shared" si="153"/>
        <v>0</v>
      </c>
      <c r="Q345" s="18">
        <f t="shared" ca="1" si="153"/>
        <v>0</v>
      </c>
      <c r="R345" s="18">
        <f t="shared" si="153"/>
        <v>0</v>
      </c>
      <c r="S345" s="18">
        <f t="shared" si="153"/>
        <v>0</v>
      </c>
      <c r="T345" s="18">
        <f t="shared" ca="1" si="153"/>
        <v>0</v>
      </c>
      <c r="U345" s="18">
        <f t="shared" si="153"/>
        <v>0</v>
      </c>
      <c r="V345" s="18">
        <f t="shared" si="153"/>
        <v>0</v>
      </c>
      <c r="W345" s="18">
        <f t="shared" ca="1" si="153"/>
        <v>0</v>
      </c>
      <c r="X345" s="18">
        <f t="shared" si="153"/>
        <v>0</v>
      </c>
      <c r="Y345" s="18">
        <f t="shared" si="153"/>
        <v>0</v>
      </c>
      <c r="Z345" s="18">
        <f t="shared" ca="1" si="153"/>
        <v>0</v>
      </c>
      <c r="AA345" s="18">
        <f t="shared" si="153"/>
        <v>0</v>
      </c>
      <c r="AB345" s="18">
        <f t="shared" si="153"/>
        <v>0</v>
      </c>
      <c r="AC345" s="18">
        <f t="shared" ca="1" si="153"/>
        <v>0</v>
      </c>
      <c r="AD345" s="18">
        <f t="shared" si="153"/>
        <v>0</v>
      </c>
      <c r="AE345" s="18">
        <f t="shared" si="153"/>
        <v>0</v>
      </c>
      <c r="AF345" s="18">
        <f t="shared" ca="1" si="153"/>
        <v>0</v>
      </c>
      <c r="AG345" s="18">
        <f t="shared" si="153"/>
        <v>0</v>
      </c>
      <c r="AH345" s="18">
        <f t="shared" si="153"/>
        <v>0</v>
      </c>
      <c r="AI345" s="18">
        <f t="shared" ca="1" si="153"/>
        <v>0</v>
      </c>
      <c r="AJ345" s="18">
        <f t="shared" si="153"/>
        <v>0</v>
      </c>
      <c r="AK345" s="18">
        <f t="shared" si="153"/>
        <v>0</v>
      </c>
      <c r="AL345" s="18">
        <f t="shared" ca="1" si="153"/>
        <v>0</v>
      </c>
      <c r="AM345" s="18">
        <f t="shared" si="153"/>
        <v>0</v>
      </c>
      <c r="AN345" s="18">
        <f t="shared" si="153"/>
        <v>0</v>
      </c>
      <c r="AO345" s="18">
        <f t="shared" ca="1" si="153"/>
        <v>0</v>
      </c>
      <c r="AP345" s="18">
        <f t="shared" si="153"/>
        <v>0</v>
      </c>
      <c r="AQ345" s="18">
        <f t="shared" si="153"/>
        <v>0</v>
      </c>
      <c r="AR345" s="18">
        <f t="shared" ca="1" si="153"/>
        <v>0</v>
      </c>
      <c r="AS345" s="18">
        <f t="shared" si="153"/>
        <v>0</v>
      </c>
    </row>
    <row r="346" spans="2:45" outlineLevel="1" x14ac:dyDescent="0.15">
      <c r="C346" s="107" t="str">
        <f>"Interim Assessment - "&amp;B274</f>
        <v>Interim Assessment - Tax Payment Delay (Months)</v>
      </c>
      <c r="J346" s="17">
        <f t="shared" ref="J346:AS346" si="154">IF(J336&lt;&gt;Corp_Tax_Yes,0,J274)</f>
        <v>0</v>
      </c>
      <c r="K346" s="17">
        <f t="shared" si="154"/>
        <v>1</v>
      </c>
      <c r="L346" s="17">
        <f t="shared" si="154"/>
        <v>0</v>
      </c>
      <c r="M346" s="17">
        <f t="shared" si="154"/>
        <v>0</v>
      </c>
      <c r="N346" s="17">
        <f t="shared" si="154"/>
        <v>1</v>
      </c>
      <c r="O346" s="17">
        <f t="shared" si="154"/>
        <v>0</v>
      </c>
      <c r="P346" s="17">
        <f t="shared" si="154"/>
        <v>0</v>
      </c>
      <c r="Q346" s="17">
        <f t="shared" si="154"/>
        <v>1</v>
      </c>
      <c r="R346" s="17">
        <f t="shared" si="154"/>
        <v>0</v>
      </c>
      <c r="S346" s="17">
        <f t="shared" si="154"/>
        <v>0</v>
      </c>
      <c r="T346" s="17">
        <f t="shared" si="154"/>
        <v>1</v>
      </c>
      <c r="U346" s="17">
        <f t="shared" si="154"/>
        <v>0</v>
      </c>
      <c r="V346" s="17">
        <f t="shared" si="154"/>
        <v>0</v>
      </c>
      <c r="W346" s="17">
        <f t="shared" si="154"/>
        <v>1</v>
      </c>
      <c r="X346" s="17">
        <f t="shared" si="154"/>
        <v>0</v>
      </c>
      <c r="Y346" s="17">
        <f t="shared" si="154"/>
        <v>0</v>
      </c>
      <c r="Z346" s="17">
        <f t="shared" si="154"/>
        <v>1</v>
      </c>
      <c r="AA346" s="17">
        <f t="shared" si="154"/>
        <v>0</v>
      </c>
      <c r="AB346" s="17">
        <f t="shared" si="154"/>
        <v>0</v>
      </c>
      <c r="AC346" s="17">
        <f t="shared" si="154"/>
        <v>1</v>
      </c>
      <c r="AD346" s="17">
        <f t="shared" si="154"/>
        <v>0</v>
      </c>
      <c r="AE346" s="17">
        <f t="shared" si="154"/>
        <v>0</v>
      </c>
      <c r="AF346" s="17">
        <f t="shared" si="154"/>
        <v>1</v>
      </c>
      <c r="AG346" s="17">
        <f t="shared" si="154"/>
        <v>0</v>
      </c>
      <c r="AH346" s="17">
        <f t="shared" si="154"/>
        <v>0</v>
      </c>
      <c r="AI346" s="17">
        <f t="shared" si="154"/>
        <v>1</v>
      </c>
      <c r="AJ346" s="17">
        <f t="shared" si="154"/>
        <v>0</v>
      </c>
      <c r="AK346" s="17">
        <f t="shared" si="154"/>
        <v>0</v>
      </c>
      <c r="AL346" s="17">
        <f t="shared" si="154"/>
        <v>1</v>
      </c>
      <c r="AM346" s="17">
        <f t="shared" si="154"/>
        <v>0</v>
      </c>
      <c r="AN346" s="17">
        <f t="shared" si="154"/>
        <v>0</v>
      </c>
      <c r="AO346" s="17">
        <f t="shared" si="154"/>
        <v>1</v>
      </c>
      <c r="AP346" s="17">
        <f t="shared" si="154"/>
        <v>0</v>
      </c>
      <c r="AQ346" s="17">
        <f t="shared" si="154"/>
        <v>0</v>
      </c>
      <c r="AR346" s="17">
        <f t="shared" si="154"/>
        <v>1</v>
      </c>
      <c r="AS346" s="17">
        <f t="shared" si="154"/>
        <v>0</v>
      </c>
    </row>
    <row r="347" spans="2:45" outlineLevel="1" x14ac:dyDescent="0.15">
      <c r="C347" s="107" t="s">
        <v>525</v>
      </c>
      <c r="J347" s="32">
        <f t="shared" ref="J347:AS347" si="155">IF(J336&lt;&gt;Corp_Tax_Yes,0,EDATE(J$6,1+J346)-1)</f>
        <v>0</v>
      </c>
      <c r="K347" s="32">
        <f t="shared" si="155"/>
        <v>45230</v>
      </c>
      <c r="L347" s="32">
        <f t="shared" si="155"/>
        <v>0</v>
      </c>
      <c r="M347" s="32">
        <f t="shared" si="155"/>
        <v>0</v>
      </c>
      <c r="N347" s="32">
        <f t="shared" si="155"/>
        <v>45322</v>
      </c>
      <c r="O347" s="32">
        <f t="shared" si="155"/>
        <v>0</v>
      </c>
      <c r="P347" s="32">
        <f t="shared" si="155"/>
        <v>0</v>
      </c>
      <c r="Q347" s="32">
        <f t="shared" si="155"/>
        <v>45412</v>
      </c>
      <c r="R347" s="32">
        <f t="shared" si="155"/>
        <v>0</v>
      </c>
      <c r="S347" s="32">
        <f t="shared" si="155"/>
        <v>0</v>
      </c>
      <c r="T347" s="32">
        <f t="shared" si="155"/>
        <v>45504</v>
      </c>
      <c r="U347" s="32">
        <f t="shared" si="155"/>
        <v>0</v>
      </c>
      <c r="V347" s="32">
        <f t="shared" si="155"/>
        <v>0</v>
      </c>
      <c r="W347" s="32">
        <f t="shared" si="155"/>
        <v>45596</v>
      </c>
      <c r="X347" s="32">
        <f t="shared" si="155"/>
        <v>0</v>
      </c>
      <c r="Y347" s="32">
        <f t="shared" si="155"/>
        <v>0</v>
      </c>
      <c r="Z347" s="32">
        <f t="shared" si="155"/>
        <v>45688</v>
      </c>
      <c r="AA347" s="32">
        <f t="shared" si="155"/>
        <v>0</v>
      </c>
      <c r="AB347" s="32">
        <f t="shared" si="155"/>
        <v>0</v>
      </c>
      <c r="AC347" s="32">
        <f t="shared" si="155"/>
        <v>45777</v>
      </c>
      <c r="AD347" s="32">
        <f t="shared" si="155"/>
        <v>0</v>
      </c>
      <c r="AE347" s="32">
        <f t="shared" si="155"/>
        <v>0</v>
      </c>
      <c r="AF347" s="32">
        <f t="shared" si="155"/>
        <v>45869</v>
      </c>
      <c r="AG347" s="32">
        <f t="shared" si="155"/>
        <v>0</v>
      </c>
      <c r="AH347" s="32">
        <f t="shared" si="155"/>
        <v>0</v>
      </c>
      <c r="AI347" s="32">
        <f t="shared" si="155"/>
        <v>45961</v>
      </c>
      <c r="AJ347" s="32">
        <f t="shared" si="155"/>
        <v>0</v>
      </c>
      <c r="AK347" s="32">
        <f t="shared" si="155"/>
        <v>0</v>
      </c>
      <c r="AL347" s="32">
        <f t="shared" si="155"/>
        <v>46053</v>
      </c>
      <c r="AM347" s="32">
        <f t="shared" si="155"/>
        <v>0</v>
      </c>
      <c r="AN347" s="32">
        <f t="shared" si="155"/>
        <v>0</v>
      </c>
      <c r="AO347" s="32">
        <f t="shared" si="155"/>
        <v>46142</v>
      </c>
      <c r="AP347" s="32">
        <f t="shared" si="155"/>
        <v>0</v>
      </c>
      <c r="AQ347" s="32">
        <f t="shared" si="155"/>
        <v>0</v>
      </c>
      <c r="AR347" s="32">
        <f t="shared" si="155"/>
        <v>46234</v>
      </c>
      <c r="AS347" s="32">
        <f t="shared" si="155"/>
        <v>0</v>
      </c>
    </row>
    <row r="348" spans="2:45" outlineLevel="1" x14ac:dyDescent="0.15">
      <c r="C348" s="16" t="str">
        <f>B334&amp;" - Tax Paid"</f>
        <v>Interim Tax Assessments - Tax Paid</v>
      </c>
      <c r="J348" s="18">
        <f>SUMIF($J347:J347,J$7,$J345:J345)</f>
        <v>0</v>
      </c>
      <c r="K348" s="18">
        <f>SUMIF($J347:K347,K$7,$J345:K345)</f>
        <v>0</v>
      </c>
      <c r="L348" s="18">
        <f ca="1">SUMIF($J347:L347,L$7,$J345:L345)</f>
        <v>0</v>
      </c>
      <c r="M348" s="18">
        <f>SUMIF($J347:M347,M$7,$J345:M345)</f>
        <v>0</v>
      </c>
      <c r="N348" s="18">
        <f>SUMIF($J347:N347,N$7,$J345:N345)</f>
        <v>0</v>
      </c>
      <c r="O348" s="18">
        <f ca="1">SUMIF($J347:O347,O$7,$J345:O345)</f>
        <v>0</v>
      </c>
      <c r="P348" s="18">
        <f>SUMIF($J347:P347,P$7,$J345:P345)</f>
        <v>0</v>
      </c>
      <c r="Q348" s="18">
        <f>SUMIF($J347:Q347,Q$7,$J345:Q345)</f>
        <v>0</v>
      </c>
      <c r="R348" s="18">
        <f ca="1">SUMIF($J347:R347,R$7,$J345:R345)</f>
        <v>0</v>
      </c>
      <c r="S348" s="18">
        <f>SUMIF($J347:S347,S$7,$J345:S345)</f>
        <v>0</v>
      </c>
      <c r="T348" s="18">
        <f>SUMIF($J347:T347,T$7,$J345:T345)</f>
        <v>0</v>
      </c>
      <c r="U348" s="18">
        <f ca="1">SUMIF($J347:U347,U$7,$J345:U345)</f>
        <v>0</v>
      </c>
      <c r="V348" s="18">
        <f>SUMIF($J347:V347,V$7,$J345:V345)</f>
        <v>0</v>
      </c>
      <c r="W348" s="18">
        <f>SUMIF($J347:W347,W$7,$J345:W345)</f>
        <v>0</v>
      </c>
      <c r="X348" s="18">
        <f ca="1">SUMIF($J347:X347,X$7,$J345:X345)</f>
        <v>0</v>
      </c>
      <c r="Y348" s="18">
        <f>SUMIF($J347:Y347,Y$7,$J345:Y345)</f>
        <v>0</v>
      </c>
      <c r="Z348" s="18">
        <f>SUMIF($J347:Z347,Z$7,$J345:Z345)</f>
        <v>0</v>
      </c>
      <c r="AA348" s="18">
        <f ca="1">SUMIF($J347:AA347,AA$7,$J345:AA345)</f>
        <v>0</v>
      </c>
      <c r="AB348" s="18">
        <f>SUMIF($J347:AB347,AB$7,$J345:AB345)</f>
        <v>0</v>
      </c>
      <c r="AC348" s="18">
        <f>SUMIF($J347:AC347,AC$7,$J345:AC345)</f>
        <v>0</v>
      </c>
      <c r="AD348" s="18">
        <f ca="1">SUMIF($J347:AD347,AD$7,$J345:AD345)</f>
        <v>0</v>
      </c>
      <c r="AE348" s="18">
        <f>SUMIF($J347:AE347,AE$7,$J345:AE345)</f>
        <v>0</v>
      </c>
      <c r="AF348" s="18">
        <f>SUMIF($J347:AF347,AF$7,$J345:AF345)</f>
        <v>0</v>
      </c>
      <c r="AG348" s="18">
        <f ca="1">SUMIF($J347:AG347,AG$7,$J345:AG345)</f>
        <v>0</v>
      </c>
      <c r="AH348" s="18">
        <f>SUMIF($J347:AH347,AH$7,$J345:AH345)</f>
        <v>0</v>
      </c>
      <c r="AI348" s="18">
        <f>SUMIF($J347:AI347,AI$7,$J345:AI345)</f>
        <v>0</v>
      </c>
      <c r="AJ348" s="18">
        <f ca="1">SUMIF($J347:AJ347,AJ$7,$J345:AJ345)</f>
        <v>0</v>
      </c>
      <c r="AK348" s="18">
        <f>SUMIF($J347:AK347,AK$7,$J345:AK345)</f>
        <v>0</v>
      </c>
      <c r="AL348" s="18">
        <f>SUMIF($J347:AL347,AL$7,$J345:AL345)</f>
        <v>0</v>
      </c>
      <c r="AM348" s="18">
        <f ca="1">SUMIF($J347:AM347,AM$7,$J345:AM345)</f>
        <v>0</v>
      </c>
      <c r="AN348" s="18">
        <f>SUMIF($J347:AN347,AN$7,$J345:AN345)</f>
        <v>0</v>
      </c>
      <c r="AO348" s="18">
        <f>SUMIF($J347:AO347,AO$7,$J345:AO345)</f>
        <v>0</v>
      </c>
      <c r="AP348" s="18">
        <f ca="1">SUMIF($J347:AP347,AP$7,$J345:AP345)</f>
        <v>0</v>
      </c>
      <c r="AQ348" s="18">
        <f>SUMIF($J347:AQ347,AQ$7,$J345:AQ345)</f>
        <v>0</v>
      </c>
      <c r="AR348" s="18">
        <f>SUMIF($J347:AR347,AR$7,$J345:AR345)</f>
        <v>0</v>
      </c>
      <c r="AS348" s="18">
        <f ca="1">SUMIF($J347:AS347,AS$7,$J345:AS345)</f>
        <v>0</v>
      </c>
    </row>
    <row r="349" spans="2:45" outlineLevel="1" x14ac:dyDescent="0.15"/>
    <row r="350" spans="2:45" outlineLevel="1" x14ac:dyDescent="0.15">
      <c r="B350" s="16" t="s">
        <v>593</v>
      </c>
    </row>
    <row r="351" spans="2:45" outlineLevel="1" x14ac:dyDescent="0.15"/>
    <row r="352" spans="2:45" outlineLevel="1" x14ac:dyDescent="0.15">
      <c r="C352" s="107" t="s">
        <v>594</v>
      </c>
      <c r="J352" s="29" t="str">
        <f t="shared" ref="J352:AS352" si="156">IF(MONTH(J$7)=DD_Corp_Tax_Yr_End_Mth,Corp_Tax_Yes,Corp_Tax_No)</f>
        <v>No</v>
      </c>
      <c r="K352" s="29" t="str">
        <f t="shared" si="156"/>
        <v>No</v>
      </c>
      <c r="L352" s="29" t="str">
        <f t="shared" si="156"/>
        <v>No</v>
      </c>
      <c r="M352" s="29" t="str">
        <f t="shared" si="156"/>
        <v>No</v>
      </c>
      <c r="N352" s="29" t="str">
        <f t="shared" si="156"/>
        <v>No</v>
      </c>
      <c r="O352" s="29" t="str">
        <f t="shared" si="156"/>
        <v>No</v>
      </c>
      <c r="P352" s="29" t="str">
        <f t="shared" si="156"/>
        <v>No</v>
      </c>
      <c r="Q352" s="29" t="str">
        <f t="shared" si="156"/>
        <v>No</v>
      </c>
      <c r="R352" s="29" t="str">
        <f t="shared" si="156"/>
        <v>No</v>
      </c>
      <c r="S352" s="29" t="str">
        <f t="shared" si="156"/>
        <v>No</v>
      </c>
      <c r="T352" s="29" t="str">
        <f t="shared" si="156"/>
        <v>Yes</v>
      </c>
      <c r="U352" s="29" t="str">
        <f t="shared" si="156"/>
        <v>No</v>
      </c>
      <c r="V352" s="29" t="str">
        <f t="shared" si="156"/>
        <v>No</v>
      </c>
      <c r="W352" s="29" t="str">
        <f t="shared" si="156"/>
        <v>No</v>
      </c>
      <c r="X352" s="29" t="str">
        <f t="shared" si="156"/>
        <v>No</v>
      </c>
      <c r="Y352" s="29" t="str">
        <f t="shared" si="156"/>
        <v>No</v>
      </c>
      <c r="Z352" s="29" t="str">
        <f t="shared" si="156"/>
        <v>No</v>
      </c>
      <c r="AA352" s="29" t="str">
        <f t="shared" si="156"/>
        <v>No</v>
      </c>
      <c r="AB352" s="29" t="str">
        <f t="shared" si="156"/>
        <v>No</v>
      </c>
      <c r="AC352" s="29" t="str">
        <f t="shared" si="156"/>
        <v>No</v>
      </c>
      <c r="AD352" s="29" t="str">
        <f t="shared" si="156"/>
        <v>No</v>
      </c>
      <c r="AE352" s="29" t="str">
        <f t="shared" si="156"/>
        <v>No</v>
      </c>
      <c r="AF352" s="29" t="str">
        <f t="shared" si="156"/>
        <v>Yes</v>
      </c>
      <c r="AG352" s="29" t="str">
        <f t="shared" si="156"/>
        <v>No</v>
      </c>
      <c r="AH352" s="29" t="str">
        <f t="shared" si="156"/>
        <v>No</v>
      </c>
      <c r="AI352" s="29" t="str">
        <f t="shared" si="156"/>
        <v>No</v>
      </c>
      <c r="AJ352" s="29" t="str">
        <f t="shared" si="156"/>
        <v>No</v>
      </c>
      <c r="AK352" s="29" t="str">
        <f t="shared" si="156"/>
        <v>No</v>
      </c>
      <c r="AL352" s="29" t="str">
        <f t="shared" si="156"/>
        <v>No</v>
      </c>
      <c r="AM352" s="29" t="str">
        <f t="shared" si="156"/>
        <v>No</v>
      </c>
      <c r="AN352" s="29" t="str">
        <f t="shared" si="156"/>
        <v>No</v>
      </c>
      <c r="AO352" s="29" t="str">
        <f t="shared" si="156"/>
        <v>No</v>
      </c>
      <c r="AP352" s="29" t="str">
        <f t="shared" si="156"/>
        <v>No</v>
      </c>
      <c r="AQ352" s="29" t="str">
        <f t="shared" si="156"/>
        <v>No</v>
      </c>
      <c r="AR352" s="29" t="str">
        <f t="shared" si="156"/>
        <v>Yes</v>
      </c>
      <c r="AS352" s="29" t="str">
        <f t="shared" si="156"/>
        <v>No</v>
      </c>
    </row>
    <row r="353" spans="2:45" outlineLevel="1" x14ac:dyDescent="0.15">
      <c r="C353" s="107" t="s">
        <v>595</v>
      </c>
      <c r="J353" s="14">
        <f t="shared" ref="J353:AS353" si="157">IF(J352&lt;&gt;Corp_Tax_Yes,0,J331)</f>
        <v>0</v>
      </c>
      <c r="K353" s="14">
        <f t="shared" si="157"/>
        <v>0</v>
      </c>
      <c r="L353" s="14">
        <f t="shared" si="157"/>
        <v>0</v>
      </c>
      <c r="M353" s="14">
        <f t="shared" si="157"/>
        <v>0</v>
      </c>
      <c r="N353" s="14">
        <f t="shared" si="157"/>
        <v>0</v>
      </c>
      <c r="O353" s="14">
        <f t="shared" si="157"/>
        <v>0</v>
      </c>
      <c r="P353" s="14">
        <f t="shared" si="157"/>
        <v>0</v>
      </c>
      <c r="Q353" s="14">
        <f t="shared" si="157"/>
        <v>0</v>
      </c>
      <c r="R353" s="14">
        <f t="shared" si="157"/>
        <v>0</v>
      </c>
      <c r="S353" s="14">
        <f t="shared" si="157"/>
        <v>0</v>
      </c>
      <c r="T353" s="14">
        <f t="shared" ca="1" si="157"/>
        <v>0</v>
      </c>
      <c r="U353" s="14">
        <f t="shared" si="157"/>
        <v>0</v>
      </c>
      <c r="V353" s="14">
        <f t="shared" si="157"/>
        <v>0</v>
      </c>
      <c r="W353" s="14">
        <f t="shared" si="157"/>
        <v>0</v>
      </c>
      <c r="X353" s="14">
        <f t="shared" si="157"/>
        <v>0</v>
      </c>
      <c r="Y353" s="14">
        <f t="shared" si="157"/>
        <v>0</v>
      </c>
      <c r="Z353" s="14">
        <f t="shared" si="157"/>
        <v>0</v>
      </c>
      <c r="AA353" s="14">
        <f t="shared" si="157"/>
        <v>0</v>
      </c>
      <c r="AB353" s="14">
        <f t="shared" si="157"/>
        <v>0</v>
      </c>
      <c r="AC353" s="14">
        <f t="shared" si="157"/>
        <v>0</v>
      </c>
      <c r="AD353" s="14">
        <f t="shared" si="157"/>
        <v>0</v>
      </c>
      <c r="AE353" s="14">
        <f t="shared" si="157"/>
        <v>0</v>
      </c>
      <c r="AF353" s="14">
        <f t="shared" ca="1" si="157"/>
        <v>0</v>
      </c>
      <c r="AG353" s="14">
        <f t="shared" si="157"/>
        <v>0</v>
      </c>
      <c r="AH353" s="14">
        <f t="shared" si="157"/>
        <v>0</v>
      </c>
      <c r="AI353" s="14">
        <f t="shared" si="157"/>
        <v>0</v>
      </c>
      <c r="AJ353" s="14">
        <f t="shared" si="157"/>
        <v>0</v>
      </c>
      <c r="AK353" s="14">
        <f t="shared" si="157"/>
        <v>0</v>
      </c>
      <c r="AL353" s="14">
        <f t="shared" si="157"/>
        <v>0</v>
      </c>
      <c r="AM353" s="14">
        <f t="shared" si="157"/>
        <v>0</v>
      </c>
      <c r="AN353" s="14">
        <f t="shared" si="157"/>
        <v>0</v>
      </c>
      <c r="AO353" s="14">
        <f t="shared" si="157"/>
        <v>0</v>
      </c>
      <c r="AP353" s="14">
        <f t="shared" si="157"/>
        <v>0</v>
      </c>
      <c r="AQ353" s="14">
        <f t="shared" si="157"/>
        <v>0</v>
      </c>
      <c r="AR353" s="14">
        <f t="shared" ca="1" si="157"/>
        <v>0</v>
      </c>
      <c r="AS353" s="14">
        <f t="shared" si="157"/>
        <v>0</v>
      </c>
    </row>
    <row r="354" spans="2:45" outlineLevel="1" x14ac:dyDescent="0.15">
      <c r="C354" s="107" t="s">
        <v>596</v>
      </c>
      <c r="J354" s="14">
        <f>IF(J352&lt;&gt;Corp_Tax_Yes,0,-SUMIF($J314:J314,J314,$J345:J345))</f>
        <v>0</v>
      </c>
      <c r="K354" s="14">
        <f>IF(K352&lt;&gt;Corp_Tax_Yes,0,-SUMIF($J314:K314,K314,$J345:K345))</f>
        <v>0</v>
      </c>
      <c r="L354" s="14">
        <f>IF(L352&lt;&gt;Corp_Tax_Yes,0,-SUMIF($J314:L314,L314,$J345:L345))</f>
        <v>0</v>
      </c>
      <c r="M354" s="14">
        <f>IF(M352&lt;&gt;Corp_Tax_Yes,0,-SUMIF($J314:M314,M314,$J345:M345))</f>
        <v>0</v>
      </c>
      <c r="N354" s="14">
        <f>IF(N352&lt;&gt;Corp_Tax_Yes,0,-SUMIF($J314:N314,N314,$J345:N345))</f>
        <v>0</v>
      </c>
      <c r="O354" s="14">
        <f>IF(O352&lt;&gt;Corp_Tax_Yes,0,-SUMIF($J314:O314,O314,$J345:O345))</f>
        <v>0</v>
      </c>
      <c r="P354" s="14">
        <f>IF(P352&lt;&gt;Corp_Tax_Yes,0,-SUMIF($J314:P314,P314,$J345:P345))</f>
        <v>0</v>
      </c>
      <c r="Q354" s="14">
        <f>IF(Q352&lt;&gt;Corp_Tax_Yes,0,-SUMIF($J314:Q314,Q314,$J345:Q345))</f>
        <v>0</v>
      </c>
      <c r="R354" s="14">
        <f>IF(R352&lt;&gt;Corp_Tax_Yes,0,-SUMIF($J314:R314,R314,$J345:R345))</f>
        <v>0</v>
      </c>
      <c r="S354" s="14">
        <f>IF(S352&lt;&gt;Corp_Tax_Yes,0,-SUMIF($J314:S314,S314,$J345:S345))</f>
        <v>0</v>
      </c>
      <c r="T354" s="14">
        <f ca="1">IF(T352&lt;&gt;Corp_Tax_Yes,0,-SUMIF($J314:T314,T314,$J345:T345))</f>
        <v>0</v>
      </c>
      <c r="U354" s="14">
        <f>IF(U352&lt;&gt;Corp_Tax_Yes,0,-SUMIF($J314:U314,U314,$J345:U345))</f>
        <v>0</v>
      </c>
      <c r="V354" s="14">
        <f>IF(V352&lt;&gt;Corp_Tax_Yes,0,-SUMIF($J314:V314,V314,$J345:V345))</f>
        <v>0</v>
      </c>
      <c r="W354" s="14">
        <f>IF(W352&lt;&gt;Corp_Tax_Yes,0,-SUMIF($J314:W314,W314,$J345:W345))</f>
        <v>0</v>
      </c>
      <c r="X354" s="14">
        <f>IF(X352&lt;&gt;Corp_Tax_Yes,0,-SUMIF($J314:X314,X314,$J345:X345))</f>
        <v>0</v>
      </c>
      <c r="Y354" s="14">
        <f>IF(Y352&lt;&gt;Corp_Tax_Yes,0,-SUMIF($J314:Y314,Y314,$J345:Y345))</f>
        <v>0</v>
      </c>
      <c r="Z354" s="14">
        <f>IF(Z352&lt;&gt;Corp_Tax_Yes,0,-SUMIF($J314:Z314,Z314,$J345:Z345))</f>
        <v>0</v>
      </c>
      <c r="AA354" s="14">
        <f>IF(AA352&lt;&gt;Corp_Tax_Yes,0,-SUMIF($J314:AA314,AA314,$J345:AA345))</f>
        <v>0</v>
      </c>
      <c r="AB354" s="14">
        <f>IF(AB352&lt;&gt;Corp_Tax_Yes,0,-SUMIF($J314:AB314,AB314,$J345:AB345))</f>
        <v>0</v>
      </c>
      <c r="AC354" s="14">
        <f>IF(AC352&lt;&gt;Corp_Tax_Yes,0,-SUMIF($J314:AC314,AC314,$J345:AC345))</f>
        <v>0</v>
      </c>
      <c r="AD354" s="14">
        <f>IF(AD352&lt;&gt;Corp_Tax_Yes,0,-SUMIF($J314:AD314,AD314,$J345:AD345))</f>
        <v>0</v>
      </c>
      <c r="AE354" s="14">
        <f>IF(AE352&lt;&gt;Corp_Tax_Yes,0,-SUMIF($J314:AE314,AE314,$J345:AE345))</f>
        <v>0</v>
      </c>
      <c r="AF354" s="14">
        <f ca="1">IF(AF352&lt;&gt;Corp_Tax_Yes,0,-SUMIF($J314:AF314,AF314,$J345:AF345))</f>
        <v>0</v>
      </c>
      <c r="AG354" s="14">
        <f>IF(AG352&lt;&gt;Corp_Tax_Yes,0,-SUMIF($J314:AG314,AG314,$J345:AG345))</f>
        <v>0</v>
      </c>
      <c r="AH354" s="14">
        <f>IF(AH352&lt;&gt;Corp_Tax_Yes,0,-SUMIF($J314:AH314,AH314,$J345:AH345))</f>
        <v>0</v>
      </c>
      <c r="AI354" s="14">
        <f>IF(AI352&lt;&gt;Corp_Tax_Yes,0,-SUMIF($J314:AI314,AI314,$J345:AI345))</f>
        <v>0</v>
      </c>
      <c r="AJ354" s="14">
        <f>IF(AJ352&lt;&gt;Corp_Tax_Yes,0,-SUMIF($J314:AJ314,AJ314,$J345:AJ345))</f>
        <v>0</v>
      </c>
      <c r="AK354" s="14">
        <f>IF(AK352&lt;&gt;Corp_Tax_Yes,0,-SUMIF($J314:AK314,AK314,$J345:AK345))</f>
        <v>0</v>
      </c>
      <c r="AL354" s="14">
        <f>IF(AL352&lt;&gt;Corp_Tax_Yes,0,-SUMIF($J314:AL314,AL314,$J345:AL345))</f>
        <v>0</v>
      </c>
      <c r="AM354" s="14">
        <f>IF(AM352&lt;&gt;Corp_Tax_Yes,0,-SUMIF($J314:AM314,AM314,$J345:AM345))</f>
        <v>0</v>
      </c>
      <c r="AN354" s="14">
        <f>IF(AN352&lt;&gt;Corp_Tax_Yes,0,-SUMIF($J314:AN314,AN314,$J345:AN345))</f>
        <v>0</v>
      </c>
      <c r="AO354" s="14">
        <f>IF(AO352&lt;&gt;Corp_Tax_Yes,0,-SUMIF($J314:AO314,AO314,$J345:AO345))</f>
        <v>0</v>
      </c>
      <c r="AP354" s="14">
        <f>IF(AP352&lt;&gt;Corp_Tax_Yes,0,-SUMIF($J314:AP314,AP314,$J345:AP345))</f>
        <v>0</v>
      </c>
      <c r="AQ354" s="14">
        <f>IF(AQ352&lt;&gt;Corp_Tax_Yes,0,-SUMIF($J314:AQ314,AQ314,$J345:AQ345))</f>
        <v>0</v>
      </c>
      <c r="AR354" s="14">
        <f ca="1">IF(AR352&lt;&gt;Corp_Tax_Yes,0,-SUMIF($J314:AR314,AR314,$J345:AR345))</f>
        <v>0</v>
      </c>
      <c r="AS354" s="14">
        <f>IF(AS352&lt;&gt;Corp_Tax_Yes,0,-SUMIF($J314:AS314,AS314,$J345:AS345))</f>
        <v>0</v>
      </c>
    </row>
    <row r="355" spans="2:45" outlineLevel="1" x14ac:dyDescent="0.15">
      <c r="C355" s="16" t="str">
        <f>B350&amp;" - Tax Payable/(Refund)"</f>
        <v>Annual Tax Assessments - Tax Payable/(Refund)</v>
      </c>
      <c r="J355" s="18">
        <f t="shared" ref="J355:AS355" si="158">IF(J352&lt;&gt;Corp_Tax_Yes,0,J353+J354)</f>
        <v>0</v>
      </c>
      <c r="K355" s="18">
        <f t="shared" si="158"/>
        <v>0</v>
      </c>
      <c r="L355" s="18">
        <f t="shared" si="158"/>
        <v>0</v>
      </c>
      <c r="M355" s="18">
        <f t="shared" si="158"/>
        <v>0</v>
      </c>
      <c r="N355" s="18">
        <f t="shared" si="158"/>
        <v>0</v>
      </c>
      <c r="O355" s="18">
        <f t="shared" si="158"/>
        <v>0</v>
      </c>
      <c r="P355" s="18">
        <f t="shared" si="158"/>
        <v>0</v>
      </c>
      <c r="Q355" s="18">
        <f t="shared" si="158"/>
        <v>0</v>
      </c>
      <c r="R355" s="18">
        <f t="shared" si="158"/>
        <v>0</v>
      </c>
      <c r="S355" s="18">
        <f t="shared" si="158"/>
        <v>0</v>
      </c>
      <c r="T355" s="18">
        <f t="shared" ca="1" si="158"/>
        <v>0</v>
      </c>
      <c r="U355" s="18">
        <f t="shared" si="158"/>
        <v>0</v>
      </c>
      <c r="V355" s="18">
        <f t="shared" si="158"/>
        <v>0</v>
      </c>
      <c r="W355" s="18">
        <f t="shared" si="158"/>
        <v>0</v>
      </c>
      <c r="X355" s="18">
        <f t="shared" si="158"/>
        <v>0</v>
      </c>
      <c r="Y355" s="18">
        <f t="shared" si="158"/>
        <v>0</v>
      </c>
      <c r="Z355" s="18">
        <f t="shared" si="158"/>
        <v>0</v>
      </c>
      <c r="AA355" s="18">
        <f t="shared" si="158"/>
        <v>0</v>
      </c>
      <c r="AB355" s="18">
        <f t="shared" si="158"/>
        <v>0</v>
      </c>
      <c r="AC355" s="18">
        <f t="shared" si="158"/>
        <v>0</v>
      </c>
      <c r="AD355" s="18">
        <f t="shared" si="158"/>
        <v>0</v>
      </c>
      <c r="AE355" s="18">
        <f t="shared" si="158"/>
        <v>0</v>
      </c>
      <c r="AF355" s="18">
        <f t="shared" ca="1" si="158"/>
        <v>0</v>
      </c>
      <c r="AG355" s="18">
        <f t="shared" si="158"/>
        <v>0</v>
      </c>
      <c r="AH355" s="18">
        <f t="shared" si="158"/>
        <v>0</v>
      </c>
      <c r="AI355" s="18">
        <f t="shared" si="158"/>
        <v>0</v>
      </c>
      <c r="AJ355" s="18">
        <f t="shared" si="158"/>
        <v>0</v>
      </c>
      <c r="AK355" s="18">
        <f t="shared" si="158"/>
        <v>0</v>
      </c>
      <c r="AL355" s="18">
        <f t="shared" si="158"/>
        <v>0</v>
      </c>
      <c r="AM355" s="18">
        <f t="shared" si="158"/>
        <v>0</v>
      </c>
      <c r="AN355" s="18">
        <f t="shared" si="158"/>
        <v>0</v>
      </c>
      <c r="AO355" s="18">
        <f t="shared" si="158"/>
        <v>0</v>
      </c>
      <c r="AP355" s="18">
        <f t="shared" si="158"/>
        <v>0</v>
      </c>
      <c r="AQ355" s="18">
        <f t="shared" si="158"/>
        <v>0</v>
      </c>
      <c r="AR355" s="18">
        <f t="shared" ca="1" si="158"/>
        <v>0</v>
      </c>
      <c r="AS355" s="18">
        <f t="shared" si="158"/>
        <v>0</v>
      </c>
    </row>
    <row r="356" spans="2:45" outlineLevel="1" x14ac:dyDescent="0.15">
      <c r="C356" s="107" t="str">
        <f>"Annual Assessment - "&amp;B279</f>
        <v>Annual Assessment - Tax Payment Delay (Months)</v>
      </c>
      <c r="J356" s="17">
        <f t="shared" ref="J356:AS356" si="159">IF(J352&lt;&gt;Corp_Tax_Yes,0,IF(J355&lt;0,0,J279))</f>
        <v>0</v>
      </c>
      <c r="K356" s="17">
        <f t="shared" si="159"/>
        <v>0</v>
      </c>
      <c r="L356" s="17">
        <f t="shared" si="159"/>
        <v>0</v>
      </c>
      <c r="M356" s="17">
        <f t="shared" si="159"/>
        <v>0</v>
      </c>
      <c r="N356" s="17">
        <f t="shared" si="159"/>
        <v>0</v>
      </c>
      <c r="O356" s="17">
        <f t="shared" si="159"/>
        <v>0</v>
      </c>
      <c r="P356" s="17">
        <f t="shared" si="159"/>
        <v>0</v>
      </c>
      <c r="Q356" s="17">
        <f t="shared" si="159"/>
        <v>0</v>
      </c>
      <c r="R356" s="17">
        <f t="shared" si="159"/>
        <v>0</v>
      </c>
      <c r="S356" s="17">
        <f t="shared" si="159"/>
        <v>0</v>
      </c>
      <c r="T356" s="17">
        <f t="shared" ca="1" si="159"/>
        <v>1</v>
      </c>
      <c r="U356" s="17">
        <f t="shared" si="159"/>
        <v>0</v>
      </c>
      <c r="V356" s="17">
        <f t="shared" si="159"/>
        <v>0</v>
      </c>
      <c r="W356" s="17">
        <f t="shared" si="159"/>
        <v>0</v>
      </c>
      <c r="X356" s="17">
        <f t="shared" si="159"/>
        <v>0</v>
      </c>
      <c r="Y356" s="17">
        <f t="shared" si="159"/>
        <v>0</v>
      </c>
      <c r="Z356" s="17">
        <f t="shared" si="159"/>
        <v>0</v>
      </c>
      <c r="AA356" s="17">
        <f t="shared" si="159"/>
        <v>0</v>
      </c>
      <c r="AB356" s="17">
        <f t="shared" si="159"/>
        <v>0</v>
      </c>
      <c r="AC356" s="17">
        <f t="shared" si="159"/>
        <v>0</v>
      </c>
      <c r="AD356" s="17">
        <f t="shared" si="159"/>
        <v>0</v>
      </c>
      <c r="AE356" s="17">
        <f t="shared" si="159"/>
        <v>0</v>
      </c>
      <c r="AF356" s="17">
        <f t="shared" ca="1" si="159"/>
        <v>1</v>
      </c>
      <c r="AG356" s="17">
        <f t="shared" si="159"/>
        <v>0</v>
      </c>
      <c r="AH356" s="17">
        <f t="shared" si="159"/>
        <v>0</v>
      </c>
      <c r="AI356" s="17">
        <f t="shared" si="159"/>
        <v>0</v>
      </c>
      <c r="AJ356" s="17">
        <f t="shared" si="159"/>
        <v>0</v>
      </c>
      <c r="AK356" s="17">
        <f t="shared" si="159"/>
        <v>0</v>
      </c>
      <c r="AL356" s="17">
        <f t="shared" si="159"/>
        <v>0</v>
      </c>
      <c r="AM356" s="17">
        <f t="shared" si="159"/>
        <v>0</v>
      </c>
      <c r="AN356" s="17">
        <f t="shared" si="159"/>
        <v>0</v>
      </c>
      <c r="AO356" s="17">
        <f t="shared" si="159"/>
        <v>0</v>
      </c>
      <c r="AP356" s="17">
        <f t="shared" si="159"/>
        <v>0</v>
      </c>
      <c r="AQ356" s="17">
        <f t="shared" si="159"/>
        <v>0</v>
      </c>
      <c r="AR356" s="17">
        <f t="shared" ca="1" si="159"/>
        <v>1</v>
      </c>
      <c r="AS356" s="17">
        <f t="shared" si="159"/>
        <v>0</v>
      </c>
    </row>
    <row r="357" spans="2:45" outlineLevel="1" x14ac:dyDescent="0.15">
      <c r="C357" s="107" t="str">
        <f>"Annual Assessment - "&amp;B280</f>
        <v>Annual Assessment - Tax Refund Delay (Months)</v>
      </c>
      <c r="J357" s="17">
        <f t="shared" ref="J357:AS357" si="160">IF(J352&lt;&gt;Corp_Tax_Yes,0,IF(J355&gt;=0,0,J280))</f>
        <v>0</v>
      </c>
      <c r="K357" s="17">
        <f t="shared" si="160"/>
        <v>0</v>
      </c>
      <c r="L357" s="17">
        <f t="shared" si="160"/>
        <v>0</v>
      </c>
      <c r="M357" s="17">
        <f t="shared" si="160"/>
        <v>0</v>
      </c>
      <c r="N357" s="17">
        <f t="shared" si="160"/>
        <v>0</v>
      </c>
      <c r="O357" s="17">
        <f t="shared" si="160"/>
        <v>0</v>
      </c>
      <c r="P357" s="17">
        <f t="shared" si="160"/>
        <v>0</v>
      </c>
      <c r="Q357" s="17">
        <f t="shared" si="160"/>
        <v>0</v>
      </c>
      <c r="R357" s="17">
        <f t="shared" si="160"/>
        <v>0</v>
      </c>
      <c r="S357" s="17">
        <f t="shared" si="160"/>
        <v>0</v>
      </c>
      <c r="T357" s="17">
        <f t="shared" ca="1" si="160"/>
        <v>0</v>
      </c>
      <c r="U357" s="17">
        <f t="shared" si="160"/>
        <v>0</v>
      </c>
      <c r="V357" s="17">
        <f t="shared" si="160"/>
        <v>0</v>
      </c>
      <c r="W357" s="17">
        <f t="shared" si="160"/>
        <v>0</v>
      </c>
      <c r="X357" s="17">
        <f t="shared" si="160"/>
        <v>0</v>
      </c>
      <c r="Y357" s="17">
        <f t="shared" si="160"/>
        <v>0</v>
      </c>
      <c r="Z357" s="17">
        <f t="shared" si="160"/>
        <v>0</v>
      </c>
      <c r="AA357" s="17">
        <f t="shared" si="160"/>
        <v>0</v>
      </c>
      <c r="AB357" s="17">
        <f t="shared" si="160"/>
        <v>0</v>
      </c>
      <c r="AC357" s="17">
        <f t="shared" si="160"/>
        <v>0</v>
      </c>
      <c r="AD357" s="17">
        <f t="shared" si="160"/>
        <v>0</v>
      </c>
      <c r="AE357" s="17">
        <f t="shared" si="160"/>
        <v>0</v>
      </c>
      <c r="AF357" s="17">
        <f t="shared" ca="1" si="160"/>
        <v>0</v>
      </c>
      <c r="AG357" s="17">
        <f t="shared" si="160"/>
        <v>0</v>
      </c>
      <c r="AH357" s="17">
        <f t="shared" si="160"/>
        <v>0</v>
      </c>
      <c r="AI357" s="17">
        <f t="shared" si="160"/>
        <v>0</v>
      </c>
      <c r="AJ357" s="17">
        <f t="shared" si="160"/>
        <v>0</v>
      </c>
      <c r="AK357" s="17">
        <f t="shared" si="160"/>
        <v>0</v>
      </c>
      <c r="AL357" s="17">
        <f t="shared" si="160"/>
        <v>0</v>
      </c>
      <c r="AM357" s="17">
        <f t="shared" si="160"/>
        <v>0</v>
      </c>
      <c r="AN357" s="17">
        <f t="shared" si="160"/>
        <v>0</v>
      </c>
      <c r="AO357" s="17">
        <f t="shared" si="160"/>
        <v>0</v>
      </c>
      <c r="AP357" s="17">
        <f t="shared" si="160"/>
        <v>0</v>
      </c>
      <c r="AQ357" s="17">
        <f t="shared" si="160"/>
        <v>0</v>
      </c>
      <c r="AR357" s="17">
        <f t="shared" ca="1" si="160"/>
        <v>0</v>
      </c>
      <c r="AS357" s="17">
        <f t="shared" si="160"/>
        <v>0</v>
      </c>
    </row>
    <row r="358" spans="2:45" outlineLevel="1" x14ac:dyDescent="0.15">
      <c r="C358" s="107" t="s">
        <v>597</v>
      </c>
      <c r="J358" s="35">
        <f t="shared" ref="J358:AS358" si="161">IF(J352&lt;&gt;Corp_Tax_Yes,0,IF(J355&lt;0,0,EDATE(J$6,1+J356)-1))</f>
        <v>0</v>
      </c>
      <c r="K358" s="35">
        <f t="shared" si="161"/>
        <v>0</v>
      </c>
      <c r="L358" s="35">
        <f t="shared" si="161"/>
        <v>0</v>
      </c>
      <c r="M358" s="35">
        <f t="shared" si="161"/>
        <v>0</v>
      </c>
      <c r="N358" s="35">
        <f t="shared" si="161"/>
        <v>0</v>
      </c>
      <c r="O358" s="35">
        <f t="shared" si="161"/>
        <v>0</v>
      </c>
      <c r="P358" s="35">
        <f t="shared" si="161"/>
        <v>0</v>
      </c>
      <c r="Q358" s="35">
        <f t="shared" si="161"/>
        <v>0</v>
      </c>
      <c r="R358" s="35">
        <f t="shared" si="161"/>
        <v>0</v>
      </c>
      <c r="S358" s="35">
        <f t="shared" si="161"/>
        <v>0</v>
      </c>
      <c r="T358" s="35">
        <f t="shared" ca="1" si="161"/>
        <v>45504</v>
      </c>
      <c r="U358" s="35">
        <f t="shared" si="161"/>
        <v>0</v>
      </c>
      <c r="V358" s="35">
        <f t="shared" si="161"/>
        <v>0</v>
      </c>
      <c r="W358" s="35">
        <f t="shared" si="161"/>
        <v>0</v>
      </c>
      <c r="X358" s="35">
        <f t="shared" si="161"/>
        <v>0</v>
      </c>
      <c r="Y358" s="35">
        <f t="shared" si="161"/>
        <v>0</v>
      </c>
      <c r="Z358" s="35">
        <f t="shared" si="161"/>
        <v>0</v>
      </c>
      <c r="AA358" s="35">
        <f t="shared" si="161"/>
        <v>0</v>
      </c>
      <c r="AB358" s="35">
        <f t="shared" si="161"/>
        <v>0</v>
      </c>
      <c r="AC358" s="35">
        <f t="shared" si="161"/>
        <v>0</v>
      </c>
      <c r="AD358" s="35">
        <f t="shared" si="161"/>
        <v>0</v>
      </c>
      <c r="AE358" s="35">
        <f t="shared" si="161"/>
        <v>0</v>
      </c>
      <c r="AF358" s="35">
        <f t="shared" ca="1" si="161"/>
        <v>45869</v>
      </c>
      <c r="AG358" s="35">
        <f t="shared" si="161"/>
        <v>0</v>
      </c>
      <c r="AH358" s="35">
        <f t="shared" si="161"/>
        <v>0</v>
      </c>
      <c r="AI358" s="35">
        <f t="shared" si="161"/>
        <v>0</v>
      </c>
      <c r="AJ358" s="35">
        <f t="shared" si="161"/>
        <v>0</v>
      </c>
      <c r="AK358" s="35">
        <f t="shared" si="161"/>
        <v>0</v>
      </c>
      <c r="AL358" s="35">
        <f t="shared" si="161"/>
        <v>0</v>
      </c>
      <c r="AM358" s="35">
        <f t="shared" si="161"/>
        <v>0</v>
      </c>
      <c r="AN358" s="35">
        <f t="shared" si="161"/>
        <v>0</v>
      </c>
      <c r="AO358" s="35">
        <f t="shared" si="161"/>
        <v>0</v>
      </c>
      <c r="AP358" s="35">
        <f t="shared" si="161"/>
        <v>0</v>
      </c>
      <c r="AQ358" s="35">
        <f t="shared" si="161"/>
        <v>0</v>
      </c>
      <c r="AR358" s="35">
        <f t="shared" ca="1" si="161"/>
        <v>46234</v>
      </c>
      <c r="AS358" s="35">
        <f t="shared" si="161"/>
        <v>0</v>
      </c>
    </row>
    <row r="359" spans="2:45" outlineLevel="1" x14ac:dyDescent="0.15">
      <c r="C359" s="107" t="s">
        <v>598</v>
      </c>
      <c r="J359" s="36">
        <f t="shared" ref="J359:AS359" si="162">IF(J352&lt;&gt;Corp_Tax_Yes,0,IF(J355&gt;=0,0,EDATE(J$6,1+J357)-1))</f>
        <v>0</v>
      </c>
      <c r="K359" s="36">
        <f t="shared" si="162"/>
        <v>0</v>
      </c>
      <c r="L359" s="36">
        <f t="shared" si="162"/>
        <v>0</v>
      </c>
      <c r="M359" s="36">
        <f t="shared" si="162"/>
        <v>0</v>
      </c>
      <c r="N359" s="36">
        <f t="shared" si="162"/>
        <v>0</v>
      </c>
      <c r="O359" s="36">
        <f t="shared" si="162"/>
        <v>0</v>
      </c>
      <c r="P359" s="36">
        <f t="shared" si="162"/>
        <v>0</v>
      </c>
      <c r="Q359" s="36">
        <f t="shared" si="162"/>
        <v>0</v>
      </c>
      <c r="R359" s="36">
        <f t="shared" si="162"/>
        <v>0</v>
      </c>
      <c r="S359" s="36">
        <f t="shared" si="162"/>
        <v>0</v>
      </c>
      <c r="T359" s="36">
        <f t="shared" ca="1" si="162"/>
        <v>0</v>
      </c>
      <c r="U359" s="36">
        <f t="shared" si="162"/>
        <v>0</v>
      </c>
      <c r="V359" s="36">
        <f t="shared" si="162"/>
        <v>0</v>
      </c>
      <c r="W359" s="36">
        <f t="shared" si="162"/>
        <v>0</v>
      </c>
      <c r="X359" s="36">
        <f t="shared" si="162"/>
        <v>0</v>
      </c>
      <c r="Y359" s="36">
        <f t="shared" si="162"/>
        <v>0</v>
      </c>
      <c r="Z359" s="36">
        <f t="shared" si="162"/>
        <v>0</v>
      </c>
      <c r="AA359" s="36">
        <f t="shared" si="162"/>
        <v>0</v>
      </c>
      <c r="AB359" s="36">
        <f t="shared" si="162"/>
        <v>0</v>
      </c>
      <c r="AC359" s="36">
        <f t="shared" si="162"/>
        <v>0</v>
      </c>
      <c r="AD359" s="36">
        <f t="shared" si="162"/>
        <v>0</v>
      </c>
      <c r="AE359" s="36">
        <f t="shared" si="162"/>
        <v>0</v>
      </c>
      <c r="AF359" s="36">
        <f t="shared" ca="1" si="162"/>
        <v>0</v>
      </c>
      <c r="AG359" s="36">
        <f t="shared" si="162"/>
        <v>0</v>
      </c>
      <c r="AH359" s="36">
        <f t="shared" si="162"/>
        <v>0</v>
      </c>
      <c r="AI359" s="36">
        <f t="shared" si="162"/>
        <v>0</v>
      </c>
      <c r="AJ359" s="36">
        <f t="shared" si="162"/>
        <v>0</v>
      </c>
      <c r="AK359" s="36">
        <f t="shared" si="162"/>
        <v>0</v>
      </c>
      <c r="AL359" s="36">
        <f t="shared" si="162"/>
        <v>0</v>
      </c>
      <c r="AM359" s="36">
        <f t="shared" si="162"/>
        <v>0</v>
      </c>
      <c r="AN359" s="36">
        <f t="shared" si="162"/>
        <v>0</v>
      </c>
      <c r="AO359" s="36">
        <f t="shared" si="162"/>
        <v>0</v>
      </c>
      <c r="AP359" s="36">
        <f t="shared" si="162"/>
        <v>0</v>
      </c>
      <c r="AQ359" s="36">
        <f t="shared" si="162"/>
        <v>0</v>
      </c>
      <c r="AR359" s="36">
        <f t="shared" ca="1" si="162"/>
        <v>0</v>
      </c>
      <c r="AS359" s="36">
        <f t="shared" si="162"/>
        <v>0</v>
      </c>
    </row>
    <row r="360" spans="2:45" outlineLevel="1" x14ac:dyDescent="0.15">
      <c r="C360" s="107" t="s">
        <v>599</v>
      </c>
      <c r="J360" s="32">
        <f t="shared" ref="J360:AS360" si="163">IF(J352&lt;&gt;Corp_Tax_Yes,0,IF(J355&lt;0,J359,J358))</f>
        <v>0</v>
      </c>
      <c r="K360" s="32">
        <f t="shared" si="163"/>
        <v>0</v>
      </c>
      <c r="L360" s="32">
        <f t="shared" si="163"/>
        <v>0</v>
      </c>
      <c r="M360" s="32">
        <f t="shared" si="163"/>
        <v>0</v>
      </c>
      <c r="N360" s="32">
        <f t="shared" si="163"/>
        <v>0</v>
      </c>
      <c r="O360" s="32">
        <f t="shared" si="163"/>
        <v>0</v>
      </c>
      <c r="P360" s="32">
        <f t="shared" si="163"/>
        <v>0</v>
      </c>
      <c r="Q360" s="32">
        <f t="shared" si="163"/>
        <v>0</v>
      </c>
      <c r="R360" s="32">
        <f t="shared" si="163"/>
        <v>0</v>
      </c>
      <c r="S360" s="32">
        <f t="shared" si="163"/>
        <v>0</v>
      </c>
      <c r="T360" s="32">
        <f t="shared" ca="1" si="163"/>
        <v>45504</v>
      </c>
      <c r="U360" s="32">
        <f t="shared" si="163"/>
        <v>0</v>
      </c>
      <c r="V360" s="32">
        <f t="shared" si="163"/>
        <v>0</v>
      </c>
      <c r="W360" s="32">
        <f t="shared" si="163"/>
        <v>0</v>
      </c>
      <c r="X360" s="32">
        <f t="shared" si="163"/>
        <v>0</v>
      </c>
      <c r="Y360" s="32">
        <f t="shared" si="163"/>
        <v>0</v>
      </c>
      <c r="Z360" s="32">
        <f t="shared" si="163"/>
        <v>0</v>
      </c>
      <c r="AA360" s="32">
        <f t="shared" si="163"/>
        <v>0</v>
      </c>
      <c r="AB360" s="32">
        <f t="shared" si="163"/>
        <v>0</v>
      </c>
      <c r="AC360" s="32">
        <f t="shared" si="163"/>
        <v>0</v>
      </c>
      <c r="AD360" s="32">
        <f t="shared" si="163"/>
        <v>0</v>
      </c>
      <c r="AE360" s="32">
        <f t="shared" si="163"/>
        <v>0</v>
      </c>
      <c r="AF360" s="32">
        <f t="shared" ca="1" si="163"/>
        <v>45869</v>
      </c>
      <c r="AG360" s="32">
        <f t="shared" si="163"/>
        <v>0</v>
      </c>
      <c r="AH360" s="32">
        <f t="shared" si="163"/>
        <v>0</v>
      </c>
      <c r="AI360" s="32">
        <f t="shared" si="163"/>
        <v>0</v>
      </c>
      <c r="AJ360" s="32">
        <f t="shared" si="163"/>
        <v>0</v>
      </c>
      <c r="AK360" s="32">
        <f t="shared" si="163"/>
        <v>0</v>
      </c>
      <c r="AL360" s="32">
        <f t="shared" si="163"/>
        <v>0</v>
      </c>
      <c r="AM360" s="32">
        <f t="shared" si="163"/>
        <v>0</v>
      </c>
      <c r="AN360" s="32">
        <f t="shared" si="163"/>
        <v>0</v>
      </c>
      <c r="AO360" s="32">
        <f t="shared" si="163"/>
        <v>0</v>
      </c>
      <c r="AP360" s="32">
        <f t="shared" si="163"/>
        <v>0</v>
      </c>
      <c r="AQ360" s="32">
        <f t="shared" si="163"/>
        <v>0</v>
      </c>
      <c r="AR360" s="32">
        <f t="shared" ca="1" si="163"/>
        <v>46234</v>
      </c>
      <c r="AS360" s="32">
        <f t="shared" si="163"/>
        <v>0</v>
      </c>
    </row>
    <row r="361" spans="2:45" outlineLevel="1" x14ac:dyDescent="0.15">
      <c r="C361" s="16" t="str">
        <f>B350&amp;" - Tax Paid/(Received)"</f>
        <v>Annual Tax Assessments - Tax Paid/(Received)</v>
      </c>
      <c r="J361" s="18">
        <f>SUMIF($J360:J360,J$7,$J355:J355)</f>
        <v>0</v>
      </c>
      <c r="K361" s="18">
        <f>SUMIF($J360:K360,K$7,$J355:K355)</f>
        <v>0</v>
      </c>
      <c r="L361" s="18">
        <f>SUMIF($J360:L360,L$7,$J355:L355)</f>
        <v>0</v>
      </c>
      <c r="M361" s="18">
        <f>SUMIF($J360:M360,M$7,$J355:M355)</f>
        <v>0</v>
      </c>
      <c r="N361" s="18">
        <f>SUMIF($J360:N360,N$7,$J355:N355)</f>
        <v>0</v>
      </c>
      <c r="O361" s="18">
        <f>SUMIF($J360:O360,O$7,$J355:O355)</f>
        <v>0</v>
      </c>
      <c r="P361" s="18">
        <f>SUMIF($J360:P360,P$7,$J355:P355)</f>
        <v>0</v>
      </c>
      <c r="Q361" s="18">
        <f>SUMIF($J360:Q360,Q$7,$J355:Q355)</f>
        <v>0</v>
      </c>
      <c r="R361" s="18">
        <f>SUMIF($J360:R360,R$7,$J355:R355)</f>
        <v>0</v>
      </c>
      <c r="S361" s="18">
        <f>SUMIF($J360:S360,S$7,$J355:S355)</f>
        <v>0</v>
      </c>
      <c r="T361" s="18">
        <f ca="1">SUMIF($J360:T360,T$7,$J355:T355)</f>
        <v>0</v>
      </c>
      <c r="U361" s="18">
        <f ca="1">SUMIF($J360:U360,U$7,$J355:U355)</f>
        <v>0</v>
      </c>
      <c r="V361" s="18">
        <f ca="1">SUMIF($J360:V360,V$7,$J355:V355)</f>
        <v>0</v>
      </c>
      <c r="W361" s="18">
        <f ca="1">SUMIF($J360:W360,W$7,$J355:W355)</f>
        <v>0</v>
      </c>
      <c r="X361" s="18">
        <f ca="1">SUMIF($J360:X360,X$7,$J355:X355)</f>
        <v>0</v>
      </c>
      <c r="Y361" s="18">
        <f ca="1">SUMIF($J360:Y360,Y$7,$J355:Y355)</f>
        <v>0</v>
      </c>
      <c r="Z361" s="18">
        <f ca="1">SUMIF($J360:Z360,Z$7,$J355:Z355)</f>
        <v>0</v>
      </c>
      <c r="AA361" s="18">
        <f ca="1">SUMIF($J360:AA360,AA$7,$J355:AA355)</f>
        <v>0</v>
      </c>
      <c r="AB361" s="18">
        <f ca="1">SUMIF($J360:AB360,AB$7,$J355:AB355)</f>
        <v>0</v>
      </c>
      <c r="AC361" s="18">
        <f ca="1">SUMIF($J360:AC360,AC$7,$J355:AC355)</f>
        <v>0</v>
      </c>
      <c r="AD361" s="18">
        <f ca="1">SUMIF($J360:AD360,AD$7,$J355:AD355)</f>
        <v>0</v>
      </c>
      <c r="AE361" s="18">
        <f ca="1">SUMIF($J360:AE360,AE$7,$J355:AE355)</f>
        <v>0</v>
      </c>
      <c r="AF361" s="18">
        <f ca="1">SUMIF($J360:AF360,AF$7,$J355:AF355)</f>
        <v>0</v>
      </c>
      <c r="AG361" s="18">
        <f ca="1">SUMIF($J360:AG360,AG$7,$J355:AG355)</f>
        <v>0</v>
      </c>
      <c r="AH361" s="18">
        <f ca="1">SUMIF($J360:AH360,AH$7,$J355:AH355)</f>
        <v>0</v>
      </c>
      <c r="AI361" s="18">
        <f ca="1">SUMIF($J360:AI360,AI$7,$J355:AI355)</f>
        <v>0</v>
      </c>
      <c r="AJ361" s="18">
        <f ca="1">SUMIF($J360:AJ360,AJ$7,$J355:AJ355)</f>
        <v>0</v>
      </c>
      <c r="AK361" s="18">
        <f ca="1">SUMIF($J360:AK360,AK$7,$J355:AK355)</f>
        <v>0</v>
      </c>
      <c r="AL361" s="18">
        <f ca="1">SUMIF($J360:AL360,AL$7,$J355:AL355)</f>
        <v>0</v>
      </c>
      <c r="AM361" s="18">
        <f ca="1">SUMIF($J360:AM360,AM$7,$J355:AM355)</f>
        <v>0</v>
      </c>
      <c r="AN361" s="18">
        <f ca="1">SUMIF($J360:AN360,AN$7,$J355:AN355)</f>
        <v>0</v>
      </c>
      <c r="AO361" s="18">
        <f ca="1">SUMIF($J360:AO360,AO$7,$J355:AO355)</f>
        <v>0</v>
      </c>
      <c r="AP361" s="18">
        <f ca="1">SUMIF($J360:AP360,AP$7,$J355:AP355)</f>
        <v>0</v>
      </c>
      <c r="AQ361" s="18">
        <f ca="1">SUMIF($J360:AQ360,AQ$7,$J355:AQ355)</f>
        <v>0</v>
      </c>
      <c r="AR361" s="18">
        <f ca="1">SUMIF($J360:AR360,AR$7,$J355:AR355)</f>
        <v>0</v>
      </c>
      <c r="AS361" s="18">
        <f ca="1">SUMIF($J360:AS360,AS$7,$J355:AS355)</f>
        <v>0</v>
      </c>
    </row>
    <row r="362" spans="2:45" outlineLevel="1" x14ac:dyDescent="0.15"/>
    <row r="363" spans="2:45" outlineLevel="1" x14ac:dyDescent="0.15">
      <c r="B363" s="108" t="s">
        <v>600</v>
      </c>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row>
    <row r="364" spans="2:45" outlineLevel="1" x14ac:dyDescent="0.15"/>
    <row r="365" spans="2:45" outlineLevel="1" x14ac:dyDescent="0.15">
      <c r="B365" s="107" t="s">
        <v>375</v>
      </c>
      <c r="J365" s="14">
        <f t="shared" ref="J365:AS365" si="164">IF(J$8=1,$I$241,I370)</f>
        <v>0</v>
      </c>
      <c r="K365" s="14">
        <f t="shared" ca="1" si="164"/>
        <v>0</v>
      </c>
      <c r="L365" s="14">
        <f t="shared" ca="1" si="164"/>
        <v>0</v>
      </c>
      <c r="M365" s="14">
        <f t="shared" ca="1" si="164"/>
        <v>0</v>
      </c>
      <c r="N365" s="14">
        <f t="shared" ca="1" si="164"/>
        <v>0</v>
      </c>
      <c r="O365" s="14">
        <f t="shared" ca="1" si="164"/>
        <v>0</v>
      </c>
      <c r="P365" s="14">
        <f t="shared" ca="1" si="164"/>
        <v>0</v>
      </c>
      <c r="Q365" s="14">
        <f t="shared" ca="1" si="164"/>
        <v>0</v>
      </c>
      <c r="R365" s="14">
        <f t="shared" ca="1" si="164"/>
        <v>0</v>
      </c>
      <c r="S365" s="14">
        <f t="shared" ca="1" si="164"/>
        <v>0</v>
      </c>
      <c r="T365" s="14">
        <f t="shared" ca="1" si="164"/>
        <v>0</v>
      </c>
      <c r="U365" s="14">
        <f t="shared" ca="1" si="164"/>
        <v>0</v>
      </c>
      <c r="V365" s="14">
        <f t="shared" ca="1" si="164"/>
        <v>0</v>
      </c>
      <c r="W365" s="14">
        <f t="shared" ca="1" si="164"/>
        <v>0</v>
      </c>
      <c r="X365" s="14">
        <f t="shared" ca="1" si="164"/>
        <v>0</v>
      </c>
      <c r="Y365" s="14">
        <f t="shared" ca="1" si="164"/>
        <v>0</v>
      </c>
      <c r="Z365" s="14">
        <f t="shared" ca="1" si="164"/>
        <v>0</v>
      </c>
      <c r="AA365" s="14">
        <f t="shared" ca="1" si="164"/>
        <v>0</v>
      </c>
      <c r="AB365" s="14">
        <f t="shared" ca="1" si="164"/>
        <v>0</v>
      </c>
      <c r="AC365" s="14">
        <f t="shared" ca="1" si="164"/>
        <v>0</v>
      </c>
      <c r="AD365" s="14">
        <f t="shared" ca="1" si="164"/>
        <v>0</v>
      </c>
      <c r="AE365" s="14">
        <f t="shared" ca="1" si="164"/>
        <v>0</v>
      </c>
      <c r="AF365" s="14">
        <f t="shared" ca="1" si="164"/>
        <v>0</v>
      </c>
      <c r="AG365" s="14">
        <f t="shared" ca="1" si="164"/>
        <v>0</v>
      </c>
      <c r="AH365" s="14">
        <f t="shared" ca="1" si="164"/>
        <v>0</v>
      </c>
      <c r="AI365" s="14">
        <f t="shared" ca="1" si="164"/>
        <v>0</v>
      </c>
      <c r="AJ365" s="14">
        <f t="shared" ca="1" si="164"/>
        <v>0</v>
      </c>
      <c r="AK365" s="14">
        <f t="shared" ca="1" si="164"/>
        <v>0</v>
      </c>
      <c r="AL365" s="14">
        <f t="shared" ca="1" si="164"/>
        <v>0</v>
      </c>
      <c r="AM365" s="14">
        <f t="shared" ca="1" si="164"/>
        <v>0</v>
      </c>
      <c r="AN365" s="14">
        <f t="shared" ca="1" si="164"/>
        <v>0</v>
      </c>
      <c r="AO365" s="14">
        <f t="shared" ca="1" si="164"/>
        <v>0</v>
      </c>
      <c r="AP365" s="14">
        <f t="shared" ca="1" si="164"/>
        <v>0</v>
      </c>
      <c r="AQ365" s="14">
        <f t="shared" ca="1" si="164"/>
        <v>0</v>
      </c>
      <c r="AR365" s="14">
        <f t="shared" ca="1" si="164"/>
        <v>0</v>
      </c>
      <c r="AS365" s="14">
        <f t="shared" ca="1" si="164"/>
        <v>0</v>
      </c>
    </row>
    <row r="366" spans="2:45" outlineLevel="1" x14ac:dyDescent="0.15">
      <c r="B366" s="107" t="s">
        <v>601</v>
      </c>
      <c r="J366" s="14">
        <f t="shared" ref="J366:AS366" ca="1" si="165">J332</f>
        <v>0</v>
      </c>
      <c r="K366" s="14">
        <f t="shared" ca="1" si="165"/>
        <v>0</v>
      </c>
      <c r="L366" s="14">
        <f t="shared" ca="1" si="165"/>
        <v>0</v>
      </c>
      <c r="M366" s="14">
        <f t="shared" ca="1" si="165"/>
        <v>0</v>
      </c>
      <c r="N366" s="14">
        <f t="shared" ca="1" si="165"/>
        <v>0</v>
      </c>
      <c r="O366" s="14">
        <f t="shared" ca="1" si="165"/>
        <v>0</v>
      </c>
      <c r="P366" s="14">
        <f t="shared" ca="1" si="165"/>
        <v>0</v>
      </c>
      <c r="Q366" s="14">
        <f t="shared" ca="1" si="165"/>
        <v>0</v>
      </c>
      <c r="R366" s="14">
        <f t="shared" ca="1" si="165"/>
        <v>0</v>
      </c>
      <c r="S366" s="14">
        <f t="shared" ca="1" si="165"/>
        <v>0</v>
      </c>
      <c r="T366" s="14">
        <f t="shared" ca="1" si="165"/>
        <v>0</v>
      </c>
      <c r="U366" s="14">
        <f t="shared" ca="1" si="165"/>
        <v>0</v>
      </c>
      <c r="V366" s="14">
        <f t="shared" ca="1" si="165"/>
        <v>0</v>
      </c>
      <c r="W366" s="14">
        <f t="shared" ca="1" si="165"/>
        <v>0</v>
      </c>
      <c r="X366" s="14">
        <f t="shared" ca="1" si="165"/>
        <v>0</v>
      </c>
      <c r="Y366" s="14">
        <f t="shared" ca="1" si="165"/>
        <v>0</v>
      </c>
      <c r="Z366" s="14">
        <f t="shared" ca="1" si="165"/>
        <v>0</v>
      </c>
      <c r="AA366" s="14">
        <f t="shared" ca="1" si="165"/>
        <v>0</v>
      </c>
      <c r="AB366" s="14">
        <f t="shared" ca="1" si="165"/>
        <v>0</v>
      </c>
      <c r="AC366" s="14">
        <f t="shared" ca="1" si="165"/>
        <v>0</v>
      </c>
      <c r="AD366" s="14">
        <f t="shared" ca="1" si="165"/>
        <v>0</v>
      </c>
      <c r="AE366" s="14">
        <f t="shared" ca="1" si="165"/>
        <v>0</v>
      </c>
      <c r="AF366" s="14">
        <f t="shared" ca="1" si="165"/>
        <v>0</v>
      </c>
      <c r="AG366" s="14">
        <f t="shared" ca="1" si="165"/>
        <v>0</v>
      </c>
      <c r="AH366" s="14">
        <f t="shared" ca="1" si="165"/>
        <v>0</v>
      </c>
      <c r="AI366" s="14">
        <f t="shared" ca="1" si="165"/>
        <v>0</v>
      </c>
      <c r="AJ366" s="14">
        <f t="shared" ca="1" si="165"/>
        <v>0</v>
      </c>
      <c r="AK366" s="14">
        <f t="shared" ca="1" si="165"/>
        <v>0</v>
      </c>
      <c r="AL366" s="14">
        <f t="shared" ca="1" si="165"/>
        <v>0</v>
      </c>
      <c r="AM366" s="14">
        <f t="shared" ca="1" si="165"/>
        <v>0</v>
      </c>
      <c r="AN366" s="14">
        <f t="shared" ca="1" si="165"/>
        <v>0</v>
      </c>
      <c r="AO366" s="14">
        <f t="shared" ca="1" si="165"/>
        <v>0</v>
      </c>
      <c r="AP366" s="14">
        <f t="shared" ca="1" si="165"/>
        <v>0</v>
      </c>
      <c r="AQ366" s="14">
        <f t="shared" ca="1" si="165"/>
        <v>0</v>
      </c>
      <c r="AR366" s="14">
        <f t="shared" ca="1" si="165"/>
        <v>0</v>
      </c>
      <c r="AS366" s="14">
        <f t="shared" ca="1" si="165"/>
        <v>0</v>
      </c>
    </row>
    <row r="367" spans="2:45" hidden="1" outlineLevel="2" x14ac:dyDescent="0.15">
      <c r="C367" s="107" t="s">
        <v>602</v>
      </c>
      <c r="J367" s="14">
        <f>IF(J$8=$I$242,-$J365*$I$243,IF(AND(J$8&gt;$I$242,NOT(ISERROR(MATCH(J$7,$J347:J347,0)))),-($J365+SUM($I367:I367)),0))</f>
        <v>0</v>
      </c>
      <c r="K367" s="14">
        <f>IF(K$8=$I$242,-$J365*$I$243,IF(AND(K$8&gt;$I$242,NOT(ISERROR(MATCH(K$7,$J347:K347,0)))),-($J365+SUM($I367:J367)),0))</f>
        <v>0</v>
      </c>
      <c r="L367" s="14">
        <f>IF(L$8=$I$242,-$J365*$I$243,IF(AND(L$8&gt;$I$242,NOT(ISERROR(MATCH(L$7,$J347:L347,0)))),-($J365+SUM($I367:K367)),0))</f>
        <v>0</v>
      </c>
      <c r="M367" s="14">
        <f>IF(M$8=$I$242,-$J365*$I$243,IF(AND(M$8&gt;$I$242,NOT(ISERROR(MATCH(M$7,$J347:M347,0)))),-($J365+SUM($I367:L367)),0))</f>
        <v>0</v>
      </c>
      <c r="N367" s="14">
        <f>IF(N$8=$I$242,-$J365*$I$243,IF(AND(N$8&gt;$I$242,NOT(ISERROR(MATCH(N$7,$J347:N347,0)))),-($J365+SUM($I367:M367)),0))</f>
        <v>0</v>
      </c>
      <c r="O367" s="14">
        <f>IF(O$8=$I$242,-$J365*$I$243,IF(AND(O$8&gt;$I$242,NOT(ISERROR(MATCH(O$7,$J347:O347,0)))),-($J365+SUM($I367:N367)),0))</f>
        <v>0</v>
      </c>
      <c r="P367" s="14">
        <f>IF(P$8=$I$242,-$J365*$I$243,IF(AND(P$8&gt;$I$242,NOT(ISERROR(MATCH(P$7,$J347:P347,0)))),-($J365+SUM($I367:O367)),0))</f>
        <v>0</v>
      </c>
      <c r="Q367" s="14">
        <f>IF(Q$8=$I$242,-$J365*$I$243,IF(AND(Q$8&gt;$I$242,NOT(ISERROR(MATCH(Q$7,$J347:Q347,0)))),-($J365+SUM($I367:P367)),0))</f>
        <v>0</v>
      </c>
      <c r="R367" s="14">
        <f>IF(R$8=$I$242,-$J365*$I$243,IF(AND(R$8&gt;$I$242,NOT(ISERROR(MATCH(R$7,$J347:R347,0)))),-($J365+SUM($I367:Q367)),0))</f>
        <v>0</v>
      </c>
      <c r="S367" s="14">
        <f>IF(S$8=$I$242,-$J365*$I$243,IF(AND(S$8&gt;$I$242,NOT(ISERROR(MATCH(S$7,$J347:S347,0)))),-($J365+SUM($I367:R367)),0))</f>
        <v>0</v>
      </c>
      <c r="T367" s="14">
        <f>IF(T$8=$I$242,-$J365*$I$243,IF(AND(T$8&gt;$I$242,NOT(ISERROR(MATCH(T$7,$J347:T347,0)))),-($J365+SUM($I367:S367)),0))</f>
        <v>0</v>
      </c>
      <c r="U367" s="14">
        <f>IF(U$8=$I$242,-$J365*$I$243,IF(AND(U$8&gt;$I$242,NOT(ISERROR(MATCH(U$7,$J347:U347,0)))),-($J365+SUM($I367:T367)),0))</f>
        <v>0</v>
      </c>
      <c r="V367" s="14">
        <f>IF(V$8=$I$242,-$J365*$I$243,IF(AND(V$8&gt;$I$242,NOT(ISERROR(MATCH(V$7,$J347:V347,0)))),-($J365+SUM($I367:U367)),0))</f>
        <v>0</v>
      </c>
      <c r="W367" s="14">
        <f>IF(W$8=$I$242,-$J365*$I$243,IF(AND(W$8&gt;$I$242,NOT(ISERROR(MATCH(W$7,$J347:W347,0)))),-($J365+SUM($I367:V367)),0))</f>
        <v>0</v>
      </c>
      <c r="X367" s="14">
        <f>IF(X$8=$I$242,-$J365*$I$243,IF(AND(X$8&gt;$I$242,NOT(ISERROR(MATCH(X$7,$J347:X347,0)))),-($J365+SUM($I367:W367)),0))</f>
        <v>0</v>
      </c>
      <c r="Y367" s="14">
        <f>IF(Y$8=$I$242,-$J365*$I$243,IF(AND(Y$8&gt;$I$242,NOT(ISERROR(MATCH(Y$7,$J347:Y347,0)))),-($J365+SUM($I367:X367)),0))</f>
        <v>0</v>
      </c>
      <c r="Z367" s="14">
        <f>IF(Z$8=$I$242,-$J365*$I$243,IF(AND(Z$8&gt;$I$242,NOT(ISERROR(MATCH(Z$7,$J347:Z347,0)))),-($J365+SUM($I367:Y367)),0))</f>
        <v>0</v>
      </c>
      <c r="AA367" s="14">
        <f>IF(AA$8=$I$242,-$J365*$I$243,IF(AND(AA$8&gt;$I$242,NOT(ISERROR(MATCH(AA$7,$J347:AA347,0)))),-($J365+SUM($I367:Z367)),0))</f>
        <v>0</v>
      </c>
      <c r="AB367" s="14">
        <f>IF(AB$8=$I$242,-$J365*$I$243,IF(AND(AB$8&gt;$I$242,NOT(ISERROR(MATCH(AB$7,$J347:AB347,0)))),-($J365+SUM($I367:AA367)),0))</f>
        <v>0</v>
      </c>
      <c r="AC367" s="14">
        <f>IF(AC$8=$I$242,-$J365*$I$243,IF(AND(AC$8&gt;$I$242,NOT(ISERROR(MATCH(AC$7,$J347:AC347,0)))),-($J365+SUM($I367:AB367)),0))</f>
        <v>0</v>
      </c>
      <c r="AD367" s="14">
        <f>IF(AD$8=$I$242,-$J365*$I$243,IF(AND(AD$8&gt;$I$242,NOT(ISERROR(MATCH(AD$7,$J347:AD347,0)))),-($J365+SUM($I367:AC367)),0))</f>
        <v>0</v>
      </c>
      <c r="AE367" s="14">
        <f>IF(AE$8=$I$242,-$J365*$I$243,IF(AND(AE$8&gt;$I$242,NOT(ISERROR(MATCH(AE$7,$J347:AE347,0)))),-($J365+SUM($I367:AD367)),0))</f>
        <v>0</v>
      </c>
      <c r="AF367" s="14">
        <f>IF(AF$8=$I$242,-$J365*$I$243,IF(AND(AF$8&gt;$I$242,NOT(ISERROR(MATCH(AF$7,$J347:AF347,0)))),-($J365+SUM($I367:AE367)),0))</f>
        <v>0</v>
      </c>
      <c r="AG367" s="14">
        <f>IF(AG$8=$I$242,-$J365*$I$243,IF(AND(AG$8&gt;$I$242,NOT(ISERROR(MATCH(AG$7,$J347:AG347,0)))),-($J365+SUM($I367:AF367)),0))</f>
        <v>0</v>
      </c>
      <c r="AH367" s="14">
        <f>IF(AH$8=$I$242,-$J365*$I$243,IF(AND(AH$8&gt;$I$242,NOT(ISERROR(MATCH(AH$7,$J347:AH347,0)))),-($J365+SUM($I367:AG367)),0))</f>
        <v>0</v>
      </c>
      <c r="AI367" s="14">
        <f>IF(AI$8=$I$242,-$J365*$I$243,IF(AND(AI$8&gt;$I$242,NOT(ISERROR(MATCH(AI$7,$J347:AI347,0)))),-($J365+SUM($I367:AH367)),0))</f>
        <v>0</v>
      </c>
      <c r="AJ367" s="14">
        <f>IF(AJ$8=$I$242,-$J365*$I$243,IF(AND(AJ$8&gt;$I$242,NOT(ISERROR(MATCH(AJ$7,$J347:AJ347,0)))),-($J365+SUM($I367:AI367)),0))</f>
        <v>0</v>
      </c>
      <c r="AK367" s="14">
        <f>IF(AK$8=$I$242,-$J365*$I$243,IF(AND(AK$8&gt;$I$242,NOT(ISERROR(MATCH(AK$7,$J347:AK347,0)))),-($J365+SUM($I367:AJ367)),0))</f>
        <v>0</v>
      </c>
      <c r="AL367" s="14">
        <f>IF(AL$8=$I$242,-$J365*$I$243,IF(AND(AL$8&gt;$I$242,NOT(ISERROR(MATCH(AL$7,$J347:AL347,0)))),-($J365+SUM($I367:AK367)),0))</f>
        <v>0</v>
      </c>
      <c r="AM367" s="14">
        <f>IF(AM$8=$I$242,-$J365*$I$243,IF(AND(AM$8&gt;$I$242,NOT(ISERROR(MATCH(AM$7,$J347:AM347,0)))),-($J365+SUM($I367:AL367)),0))</f>
        <v>0</v>
      </c>
      <c r="AN367" s="14">
        <f>IF(AN$8=$I$242,-$J365*$I$243,IF(AND(AN$8&gt;$I$242,NOT(ISERROR(MATCH(AN$7,$J347:AN347,0)))),-($J365+SUM($I367:AM367)),0))</f>
        <v>0</v>
      </c>
      <c r="AO367" s="14">
        <f>IF(AO$8=$I$242,-$J365*$I$243,IF(AND(AO$8&gt;$I$242,NOT(ISERROR(MATCH(AO$7,$J347:AO347,0)))),-($J365+SUM($I367:AN367)),0))</f>
        <v>0</v>
      </c>
      <c r="AP367" s="14">
        <f>IF(AP$8=$I$242,-$J365*$I$243,IF(AND(AP$8&gt;$I$242,NOT(ISERROR(MATCH(AP$7,$J347:AP347,0)))),-($J365+SUM($I367:AO367)),0))</f>
        <v>0</v>
      </c>
      <c r="AQ367" s="14">
        <f>IF(AQ$8=$I$242,-$J365*$I$243,IF(AND(AQ$8&gt;$I$242,NOT(ISERROR(MATCH(AQ$7,$J347:AQ347,0)))),-($J365+SUM($I367:AP367)),0))</f>
        <v>0</v>
      </c>
      <c r="AR367" s="14">
        <f>IF(AR$8=$I$242,-$J365*$I$243,IF(AND(AR$8&gt;$I$242,NOT(ISERROR(MATCH(AR$7,$J347:AR347,0)))),-($J365+SUM($I367:AQ367)),0))</f>
        <v>0</v>
      </c>
      <c r="AS367" s="14">
        <f>IF(AS$8=$I$242,-$J365*$I$243,IF(AND(AS$8&gt;$I$242,NOT(ISERROR(MATCH(AS$7,$J347:AS347,0)))),-($J365+SUM($I367:AR367)),0))</f>
        <v>0</v>
      </c>
    </row>
    <row r="368" spans="2:45" hidden="1" outlineLevel="2" x14ac:dyDescent="0.15">
      <c r="C368" s="107" t="s">
        <v>603</v>
      </c>
      <c r="J368" s="24">
        <f t="shared" ref="J368:AS368" si="166">-J348-J361</f>
        <v>0</v>
      </c>
      <c r="K368" s="24">
        <f t="shared" si="166"/>
        <v>0</v>
      </c>
      <c r="L368" s="24">
        <f t="shared" ca="1" si="166"/>
        <v>0</v>
      </c>
      <c r="M368" s="24">
        <f t="shared" si="166"/>
        <v>0</v>
      </c>
      <c r="N368" s="24">
        <f t="shared" si="166"/>
        <v>0</v>
      </c>
      <c r="O368" s="24">
        <f t="shared" ca="1" si="166"/>
        <v>0</v>
      </c>
      <c r="P368" s="24">
        <f t="shared" si="166"/>
        <v>0</v>
      </c>
      <c r="Q368" s="24">
        <f t="shared" si="166"/>
        <v>0</v>
      </c>
      <c r="R368" s="24">
        <f t="shared" ca="1" si="166"/>
        <v>0</v>
      </c>
      <c r="S368" s="24">
        <f t="shared" si="166"/>
        <v>0</v>
      </c>
      <c r="T368" s="24">
        <f t="shared" ca="1" si="166"/>
        <v>0</v>
      </c>
      <c r="U368" s="24">
        <f t="shared" ca="1" si="166"/>
        <v>0</v>
      </c>
      <c r="V368" s="24">
        <f t="shared" ca="1" si="166"/>
        <v>0</v>
      </c>
      <c r="W368" s="24">
        <f t="shared" ca="1" si="166"/>
        <v>0</v>
      </c>
      <c r="X368" s="24">
        <f t="shared" ca="1" si="166"/>
        <v>0</v>
      </c>
      <c r="Y368" s="24">
        <f t="shared" ca="1" si="166"/>
        <v>0</v>
      </c>
      <c r="Z368" s="24">
        <f t="shared" ca="1" si="166"/>
        <v>0</v>
      </c>
      <c r="AA368" s="24">
        <f t="shared" ca="1" si="166"/>
        <v>0</v>
      </c>
      <c r="AB368" s="24">
        <f t="shared" ca="1" si="166"/>
        <v>0</v>
      </c>
      <c r="AC368" s="24">
        <f t="shared" ca="1" si="166"/>
        <v>0</v>
      </c>
      <c r="AD368" s="24">
        <f t="shared" ca="1" si="166"/>
        <v>0</v>
      </c>
      <c r="AE368" s="24">
        <f t="shared" ca="1" si="166"/>
        <v>0</v>
      </c>
      <c r="AF368" s="24">
        <f t="shared" ca="1" si="166"/>
        <v>0</v>
      </c>
      <c r="AG368" s="24">
        <f t="shared" ca="1" si="166"/>
        <v>0</v>
      </c>
      <c r="AH368" s="24">
        <f t="shared" ca="1" si="166"/>
        <v>0</v>
      </c>
      <c r="AI368" s="24">
        <f t="shared" ca="1" si="166"/>
        <v>0</v>
      </c>
      <c r="AJ368" s="24">
        <f t="shared" ca="1" si="166"/>
        <v>0</v>
      </c>
      <c r="AK368" s="24">
        <f t="shared" ca="1" si="166"/>
        <v>0</v>
      </c>
      <c r="AL368" s="24">
        <f t="shared" ca="1" si="166"/>
        <v>0</v>
      </c>
      <c r="AM368" s="24">
        <f t="shared" ca="1" si="166"/>
        <v>0</v>
      </c>
      <c r="AN368" s="24">
        <f t="shared" ca="1" si="166"/>
        <v>0</v>
      </c>
      <c r="AO368" s="24">
        <f t="shared" ca="1" si="166"/>
        <v>0</v>
      </c>
      <c r="AP368" s="24">
        <f t="shared" ca="1" si="166"/>
        <v>0</v>
      </c>
      <c r="AQ368" s="24">
        <f t="shared" ca="1" si="166"/>
        <v>0</v>
      </c>
      <c r="AR368" s="24">
        <f t="shared" ca="1" si="166"/>
        <v>0</v>
      </c>
      <c r="AS368" s="24">
        <f t="shared" ca="1" si="166"/>
        <v>0</v>
      </c>
    </row>
    <row r="369" spans="2:45" outlineLevel="1" collapsed="1" x14ac:dyDescent="0.15">
      <c r="B369" s="107" t="s">
        <v>604</v>
      </c>
      <c r="J369" s="14">
        <f t="shared" ref="J369:AS369" si="167">SUM(J367:J368)</f>
        <v>0</v>
      </c>
      <c r="K369" s="14">
        <f t="shared" si="167"/>
        <v>0</v>
      </c>
      <c r="L369" s="14">
        <f t="shared" ca="1" si="167"/>
        <v>0</v>
      </c>
      <c r="M369" s="14">
        <f t="shared" si="167"/>
        <v>0</v>
      </c>
      <c r="N369" s="14">
        <f t="shared" si="167"/>
        <v>0</v>
      </c>
      <c r="O369" s="14">
        <f t="shared" ca="1" si="167"/>
        <v>0</v>
      </c>
      <c r="P369" s="14">
        <f t="shared" si="167"/>
        <v>0</v>
      </c>
      <c r="Q369" s="14">
        <f t="shared" si="167"/>
        <v>0</v>
      </c>
      <c r="R369" s="14">
        <f t="shared" ca="1" si="167"/>
        <v>0</v>
      </c>
      <c r="S369" s="14">
        <f t="shared" si="167"/>
        <v>0</v>
      </c>
      <c r="T369" s="14">
        <f t="shared" ca="1" si="167"/>
        <v>0</v>
      </c>
      <c r="U369" s="14">
        <f t="shared" ca="1" si="167"/>
        <v>0</v>
      </c>
      <c r="V369" s="14">
        <f t="shared" ca="1" si="167"/>
        <v>0</v>
      </c>
      <c r="W369" s="14">
        <f t="shared" ca="1" si="167"/>
        <v>0</v>
      </c>
      <c r="X369" s="14">
        <f t="shared" ca="1" si="167"/>
        <v>0</v>
      </c>
      <c r="Y369" s="14">
        <f t="shared" ca="1" si="167"/>
        <v>0</v>
      </c>
      <c r="Z369" s="14">
        <f t="shared" ca="1" si="167"/>
        <v>0</v>
      </c>
      <c r="AA369" s="14">
        <f t="shared" ca="1" si="167"/>
        <v>0</v>
      </c>
      <c r="AB369" s="14">
        <f t="shared" ca="1" si="167"/>
        <v>0</v>
      </c>
      <c r="AC369" s="14">
        <f t="shared" ca="1" si="167"/>
        <v>0</v>
      </c>
      <c r="AD369" s="14">
        <f t="shared" ca="1" si="167"/>
        <v>0</v>
      </c>
      <c r="AE369" s="14">
        <f t="shared" ca="1" si="167"/>
        <v>0</v>
      </c>
      <c r="AF369" s="14">
        <f t="shared" ca="1" si="167"/>
        <v>0</v>
      </c>
      <c r="AG369" s="14">
        <f t="shared" ca="1" si="167"/>
        <v>0</v>
      </c>
      <c r="AH369" s="14">
        <f t="shared" ca="1" si="167"/>
        <v>0</v>
      </c>
      <c r="AI369" s="14">
        <f t="shared" ca="1" si="167"/>
        <v>0</v>
      </c>
      <c r="AJ369" s="14">
        <f t="shared" ca="1" si="167"/>
        <v>0</v>
      </c>
      <c r="AK369" s="14">
        <f t="shared" ca="1" si="167"/>
        <v>0</v>
      </c>
      <c r="AL369" s="14">
        <f t="shared" ca="1" si="167"/>
        <v>0</v>
      </c>
      <c r="AM369" s="14">
        <f t="shared" ca="1" si="167"/>
        <v>0</v>
      </c>
      <c r="AN369" s="14">
        <f t="shared" ca="1" si="167"/>
        <v>0</v>
      </c>
      <c r="AO369" s="14">
        <f t="shared" ca="1" si="167"/>
        <v>0</v>
      </c>
      <c r="AP369" s="14">
        <f t="shared" ca="1" si="167"/>
        <v>0</v>
      </c>
      <c r="AQ369" s="14">
        <f t="shared" ca="1" si="167"/>
        <v>0</v>
      </c>
      <c r="AR369" s="14">
        <f t="shared" ca="1" si="167"/>
        <v>0</v>
      </c>
      <c r="AS369" s="14">
        <f t="shared" ca="1" si="167"/>
        <v>0</v>
      </c>
    </row>
    <row r="370" spans="2:45" outlineLevel="1" x14ac:dyDescent="0.15">
      <c r="B370" s="16" t="s">
        <v>605</v>
      </c>
      <c r="J370" s="18">
        <f t="shared" ref="J370:AS370" ca="1" si="168">SUM(J365:J366,J369)</f>
        <v>0</v>
      </c>
      <c r="K370" s="18">
        <f t="shared" ca="1" si="168"/>
        <v>0</v>
      </c>
      <c r="L370" s="18">
        <f t="shared" ca="1" si="168"/>
        <v>0</v>
      </c>
      <c r="M370" s="18">
        <f t="shared" ca="1" si="168"/>
        <v>0</v>
      </c>
      <c r="N370" s="18">
        <f t="shared" ca="1" si="168"/>
        <v>0</v>
      </c>
      <c r="O370" s="18">
        <f t="shared" ca="1" si="168"/>
        <v>0</v>
      </c>
      <c r="P370" s="18">
        <f t="shared" ca="1" si="168"/>
        <v>0</v>
      </c>
      <c r="Q370" s="18">
        <f t="shared" ca="1" si="168"/>
        <v>0</v>
      </c>
      <c r="R370" s="18">
        <f t="shared" ca="1" si="168"/>
        <v>0</v>
      </c>
      <c r="S370" s="18">
        <f t="shared" ca="1" si="168"/>
        <v>0</v>
      </c>
      <c r="T370" s="18">
        <f t="shared" ca="1" si="168"/>
        <v>0</v>
      </c>
      <c r="U370" s="18">
        <f t="shared" ca="1" si="168"/>
        <v>0</v>
      </c>
      <c r="V370" s="18">
        <f t="shared" ca="1" si="168"/>
        <v>0</v>
      </c>
      <c r="W370" s="18">
        <f t="shared" ca="1" si="168"/>
        <v>0</v>
      </c>
      <c r="X370" s="18">
        <f t="shared" ca="1" si="168"/>
        <v>0</v>
      </c>
      <c r="Y370" s="18">
        <f t="shared" ca="1" si="168"/>
        <v>0</v>
      </c>
      <c r="Z370" s="18">
        <f t="shared" ca="1" si="168"/>
        <v>0</v>
      </c>
      <c r="AA370" s="18">
        <f t="shared" ca="1" si="168"/>
        <v>0</v>
      </c>
      <c r="AB370" s="18">
        <f t="shared" ca="1" si="168"/>
        <v>0</v>
      </c>
      <c r="AC370" s="18">
        <f t="shared" ca="1" si="168"/>
        <v>0</v>
      </c>
      <c r="AD370" s="18">
        <f t="shared" ca="1" si="168"/>
        <v>0</v>
      </c>
      <c r="AE370" s="18">
        <f t="shared" ca="1" si="168"/>
        <v>0</v>
      </c>
      <c r="AF370" s="18">
        <f t="shared" ca="1" si="168"/>
        <v>0</v>
      </c>
      <c r="AG370" s="18">
        <f t="shared" ca="1" si="168"/>
        <v>0</v>
      </c>
      <c r="AH370" s="18">
        <f t="shared" ca="1" si="168"/>
        <v>0</v>
      </c>
      <c r="AI370" s="18">
        <f t="shared" ca="1" si="168"/>
        <v>0</v>
      </c>
      <c r="AJ370" s="18">
        <f t="shared" ca="1" si="168"/>
        <v>0</v>
      </c>
      <c r="AK370" s="18">
        <f t="shared" ca="1" si="168"/>
        <v>0</v>
      </c>
      <c r="AL370" s="18">
        <f t="shared" ca="1" si="168"/>
        <v>0</v>
      </c>
      <c r="AM370" s="18">
        <f t="shared" ca="1" si="168"/>
        <v>0</v>
      </c>
      <c r="AN370" s="18">
        <f t="shared" ca="1" si="168"/>
        <v>0</v>
      </c>
      <c r="AO370" s="18">
        <f t="shared" ca="1" si="168"/>
        <v>0</v>
      </c>
      <c r="AP370" s="18">
        <f t="shared" ca="1" si="168"/>
        <v>0</v>
      </c>
      <c r="AQ370" s="18">
        <f t="shared" ca="1" si="168"/>
        <v>0</v>
      </c>
      <c r="AR370" s="18">
        <f t="shared" ca="1" si="168"/>
        <v>0</v>
      </c>
      <c r="AS370" s="18">
        <f t="shared" ca="1" si="168"/>
        <v>0</v>
      </c>
    </row>
    <row r="371" spans="2:45" outlineLevel="1" x14ac:dyDescent="0.15"/>
    <row r="372" spans="2:45" outlineLevel="1" x14ac:dyDescent="0.15">
      <c r="B372" s="108" t="s">
        <v>59</v>
      </c>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row>
    <row r="373" spans="2:45" outlineLevel="1" x14ac:dyDescent="0.15"/>
    <row r="374" spans="2:45" outlineLevel="1" x14ac:dyDescent="0.15">
      <c r="B374" s="107" t="str">
        <f>B284</f>
        <v>Tax Expense/(Benefit)</v>
      </c>
      <c r="J374" s="14">
        <f t="shared" ref="J374:AS374" ca="1" si="169">J284</f>
        <v>0</v>
      </c>
      <c r="K374" s="14">
        <f t="shared" ca="1" si="169"/>
        <v>0</v>
      </c>
      <c r="L374" s="14">
        <f t="shared" ca="1" si="169"/>
        <v>0</v>
      </c>
      <c r="M374" s="14">
        <f t="shared" ca="1" si="169"/>
        <v>0</v>
      </c>
      <c r="N374" s="14">
        <f t="shared" ca="1" si="169"/>
        <v>0</v>
      </c>
      <c r="O374" s="14">
        <f t="shared" ca="1" si="169"/>
        <v>0</v>
      </c>
      <c r="P374" s="14">
        <f t="shared" ca="1" si="169"/>
        <v>0</v>
      </c>
      <c r="Q374" s="14">
        <f t="shared" ca="1" si="169"/>
        <v>0</v>
      </c>
      <c r="R374" s="14">
        <f t="shared" ca="1" si="169"/>
        <v>0</v>
      </c>
      <c r="S374" s="14">
        <f t="shared" ca="1" si="169"/>
        <v>0</v>
      </c>
      <c r="T374" s="14">
        <f t="shared" ca="1" si="169"/>
        <v>0</v>
      </c>
      <c r="U374" s="14">
        <f t="shared" ca="1" si="169"/>
        <v>0</v>
      </c>
      <c r="V374" s="14">
        <f t="shared" ca="1" si="169"/>
        <v>0</v>
      </c>
      <c r="W374" s="14">
        <f t="shared" ca="1" si="169"/>
        <v>0</v>
      </c>
      <c r="X374" s="14">
        <f t="shared" ca="1" si="169"/>
        <v>0</v>
      </c>
      <c r="Y374" s="14">
        <f t="shared" ca="1" si="169"/>
        <v>0</v>
      </c>
      <c r="Z374" s="14">
        <f t="shared" ca="1" si="169"/>
        <v>0</v>
      </c>
      <c r="AA374" s="14">
        <f t="shared" ca="1" si="169"/>
        <v>0</v>
      </c>
      <c r="AB374" s="14">
        <f t="shared" ca="1" si="169"/>
        <v>0</v>
      </c>
      <c r="AC374" s="14">
        <f t="shared" ca="1" si="169"/>
        <v>0</v>
      </c>
      <c r="AD374" s="14">
        <f t="shared" ca="1" si="169"/>
        <v>0</v>
      </c>
      <c r="AE374" s="14">
        <f t="shared" ca="1" si="169"/>
        <v>0</v>
      </c>
      <c r="AF374" s="14">
        <f t="shared" ca="1" si="169"/>
        <v>0</v>
      </c>
      <c r="AG374" s="14">
        <f t="shared" ca="1" si="169"/>
        <v>0</v>
      </c>
      <c r="AH374" s="14">
        <f t="shared" ca="1" si="169"/>
        <v>0</v>
      </c>
      <c r="AI374" s="14">
        <f t="shared" ca="1" si="169"/>
        <v>0</v>
      </c>
      <c r="AJ374" s="14">
        <f t="shared" ca="1" si="169"/>
        <v>0</v>
      </c>
      <c r="AK374" s="14">
        <f t="shared" ca="1" si="169"/>
        <v>0</v>
      </c>
      <c r="AL374" s="14">
        <f t="shared" ca="1" si="169"/>
        <v>0</v>
      </c>
      <c r="AM374" s="14">
        <f t="shared" ca="1" si="169"/>
        <v>0</v>
      </c>
      <c r="AN374" s="14">
        <f t="shared" ca="1" si="169"/>
        <v>0</v>
      </c>
      <c r="AO374" s="14">
        <f t="shared" ca="1" si="169"/>
        <v>0</v>
      </c>
      <c r="AP374" s="14">
        <f t="shared" ca="1" si="169"/>
        <v>0</v>
      </c>
      <c r="AQ374" s="14">
        <f t="shared" ca="1" si="169"/>
        <v>0</v>
      </c>
      <c r="AR374" s="14">
        <f t="shared" ca="1" si="169"/>
        <v>0</v>
      </c>
      <c r="AS374" s="14">
        <f t="shared" ca="1" si="169"/>
        <v>0</v>
      </c>
    </row>
    <row r="375" spans="2:45" outlineLevel="1" x14ac:dyDescent="0.15"/>
    <row r="376" spans="2:45" outlineLevel="1" x14ac:dyDescent="0.15">
      <c r="B376" s="16" t="str">
        <f>B363</f>
        <v>Tax Payable &amp; Paid</v>
      </c>
    </row>
    <row r="377" spans="2:45" outlineLevel="1" x14ac:dyDescent="0.15">
      <c r="B377" s="107" t="str">
        <f>B365</f>
        <v>Opening Balance</v>
      </c>
      <c r="J377" s="14">
        <f t="shared" ref="J377:AS377" si="170">J365</f>
        <v>0</v>
      </c>
      <c r="K377" s="14">
        <f t="shared" ca="1" si="170"/>
        <v>0</v>
      </c>
      <c r="L377" s="14">
        <f t="shared" ca="1" si="170"/>
        <v>0</v>
      </c>
      <c r="M377" s="14">
        <f t="shared" ca="1" si="170"/>
        <v>0</v>
      </c>
      <c r="N377" s="14">
        <f t="shared" ca="1" si="170"/>
        <v>0</v>
      </c>
      <c r="O377" s="14">
        <f t="shared" ca="1" si="170"/>
        <v>0</v>
      </c>
      <c r="P377" s="14">
        <f t="shared" ca="1" si="170"/>
        <v>0</v>
      </c>
      <c r="Q377" s="14">
        <f t="shared" ca="1" si="170"/>
        <v>0</v>
      </c>
      <c r="R377" s="14">
        <f t="shared" ca="1" si="170"/>
        <v>0</v>
      </c>
      <c r="S377" s="14">
        <f t="shared" ca="1" si="170"/>
        <v>0</v>
      </c>
      <c r="T377" s="14">
        <f t="shared" ca="1" si="170"/>
        <v>0</v>
      </c>
      <c r="U377" s="14">
        <f t="shared" ca="1" si="170"/>
        <v>0</v>
      </c>
      <c r="V377" s="14">
        <f t="shared" ca="1" si="170"/>
        <v>0</v>
      </c>
      <c r="W377" s="14">
        <f t="shared" ca="1" si="170"/>
        <v>0</v>
      </c>
      <c r="X377" s="14">
        <f t="shared" ca="1" si="170"/>
        <v>0</v>
      </c>
      <c r="Y377" s="14">
        <f t="shared" ca="1" si="170"/>
        <v>0</v>
      </c>
      <c r="Z377" s="14">
        <f t="shared" ca="1" si="170"/>
        <v>0</v>
      </c>
      <c r="AA377" s="14">
        <f t="shared" ca="1" si="170"/>
        <v>0</v>
      </c>
      <c r="AB377" s="14">
        <f t="shared" ca="1" si="170"/>
        <v>0</v>
      </c>
      <c r="AC377" s="14">
        <f t="shared" ca="1" si="170"/>
        <v>0</v>
      </c>
      <c r="AD377" s="14">
        <f t="shared" ca="1" si="170"/>
        <v>0</v>
      </c>
      <c r="AE377" s="14">
        <f t="shared" ca="1" si="170"/>
        <v>0</v>
      </c>
      <c r="AF377" s="14">
        <f t="shared" ca="1" si="170"/>
        <v>0</v>
      </c>
      <c r="AG377" s="14">
        <f t="shared" ca="1" si="170"/>
        <v>0</v>
      </c>
      <c r="AH377" s="14">
        <f t="shared" ca="1" si="170"/>
        <v>0</v>
      </c>
      <c r="AI377" s="14">
        <f t="shared" ca="1" si="170"/>
        <v>0</v>
      </c>
      <c r="AJ377" s="14">
        <f t="shared" ca="1" si="170"/>
        <v>0</v>
      </c>
      <c r="AK377" s="14">
        <f t="shared" ca="1" si="170"/>
        <v>0</v>
      </c>
      <c r="AL377" s="14">
        <f t="shared" ca="1" si="170"/>
        <v>0</v>
      </c>
      <c r="AM377" s="14">
        <f t="shared" ca="1" si="170"/>
        <v>0</v>
      </c>
      <c r="AN377" s="14">
        <f t="shared" ca="1" si="170"/>
        <v>0</v>
      </c>
      <c r="AO377" s="14">
        <f t="shared" ca="1" si="170"/>
        <v>0</v>
      </c>
      <c r="AP377" s="14">
        <f t="shared" ca="1" si="170"/>
        <v>0</v>
      </c>
      <c r="AQ377" s="14">
        <f t="shared" ca="1" si="170"/>
        <v>0</v>
      </c>
      <c r="AR377" s="14">
        <f t="shared" ca="1" si="170"/>
        <v>0</v>
      </c>
      <c r="AS377" s="14">
        <f t="shared" ca="1" si="170"/>
        <v>0</v>
      </c>
    </row>
    <row r="378" spans="2:45" outlineLevel="1" x14ac:dyDescent="0.15">
      <c r="B378" s="107" t="str">
        <f>B366</f>
        <v>Tax Payable - Created During Period</v>
      </c>
      <c r="J378" s="14">
        <f t="shared" ref="J378:AS378" ca="1" si="171">J366</f>
        <v>0</v>
      </c>
      <c r="K378" s="14">
        <f t="shared" ca="1" si="171"/>
        <v>0</v>
      </c>
      <c r="L378" s="14">
        <f t="shared" ca="1" si="171"/>
        <v>0</v>
      </c>
      <c r="M378" s="14">
        <f t="shared" ca="1" si="171"/>
        <v>0</v>
      </c>
      <c r="N378" s="14">
        <f t="shared" ca="1" si="171"/>
        <v>0</v>
      </c>
      <c r="O378" s="14">
        <f t="shared" ca="1" si="171"/>
        <v>0</v>
      </c>
      <c r="P378" s="14">
        <f t="shared" ca="1" si="171"/>
        <v>0</v>
      </c>
      <c r="Q378" s="14">
        <f t="shared" ca="1" si="171"/>
        <v>0</v>
      </c>
      <c r="R378" s="14">
        <f t="shared" ca="1" si="171"/>
        <v>0</v>
      </c>
      <c r="S378" s="14">
        <f t="shared" ca="1" si="171"/>
        <v>0</v>
      </c>
      <c r="T378" s="14">
        <f t="shared" ca="1" si="171"/>
        <v>0</v>
      </c>
      <c r="U378" s="14">
        <f t="shared" ca="1" si="171"/>
        <v>0</v>
      </c>
      <c r="V378" s="14">
        <f t="shared" ca="1" si="171"/>
        <v>0</v>
      </c>
      <c r="W378" s="14">
        <f t="shared" ca="1" si="171"/>
        <v>0</v>
      </c>
      <c r="X378" s="14">
        <f t="shared" ca="1" si="171"/>
        <v>0</v>
      </c>
      <c r="Y378" s="14">
        <f t="shared" ca="1" si="171"/>
        <v>0</v>
      </c>
      <c r="Z378" s="14">
        <f t="shared" ca="1" si="171"/>
        <v>0</v>
      </c>
      <c r="AA378" s="14">
        <f t="shared" ca="1" si="171"/>
        <v>0</v>
      </c>
      <c r="AB378" s="14">
        <f t="shared" ca="1" si="171"/>
        <v>0</v>
      </c>
      <c r="AC378" s="14">
        <f t="shared" ca="1" si="171"/>
        <v>0</v>
      </c>
      <c r="AD378" s="14">
        <f t="shared" ca="1" si="171"/>
        <v>0</v>
      </c>
      <c r="AE378" s="14">
        <f t="shared" ca="1" si="171"/>
        <v>0</v>
      </c>
      <c r="AF378" s="14">
        <f t="shared" ca="1" si="171"/>
        <v>0</v>
      </c>
      <c r="AG378" s="14">
        <f t="shared" ca="1" si="171"/>
        <v>0</v>
      </c>
      <c r="AH378" s="14">
        <f t="shared" ca="1" si="171"/>
        <v>0</v>
      </c>
      <c r="AI378" s="14">
        <f t="shared" ca="1" si="171"/>
        <v>0</v>
      </c>
      <c r="AJ378" s="14">
        <f t="shared" ca="1" si="171"/>
        <v>0</v>
      </c>
      <c r="AK378" s="14">
        <f t="shared" ca="1" si="171"/>
        <v>0</v>
      </c>
      <c r="AL378" s="14">
        <f t="shared" ca="1" si="171"/>
        <v>0</v>
      </c>
      <c r="AM378" s="14">
        <f t="shared" ca="1" si="171"/>
        <v>0</v>
      </c>
      <c r="AN378" s="14">
        <f t="shared" ca="1" si="171"/>
        <v>0</v>
      </c>
      <c r="AO378" s="14">
        <f t="shared" ca="1" si="171"/>
        <v>0</v>
      </c>
      <c r="AP378" s="14">
        <f t="shared" ca="1" si="171"/>
        <v>0</v>
      </c>
      <c r="AQ378" s="14">
        <f t="shared" ca="1" si="171"/>
        <v>0</v>
      </c>
      <c r="AR378" s="14">
        <f t="shared" ca="1" si="171"/>
        <v>0</v>
      </c>
      <c r="AS378" s="14">
        <f t="shared" ca="1" si="171"/>
        <v>0</v>
      </c>
    </row>
    <row r="379" spans="2:45" outlineLevel="1" x14ac:dyDescent="0.15">
      <c r="B379" s="107" t="str">
        <f>B369</f>
        <v>Tax Payable - Paid During Period</v>
      </c>
      <c r="J379" s="14">
        <f t="shared" ref="J379:AS379" si="172">J369</f>
        <v>0</v>
      </c>
      <c r="K379" s="14">
        <f t="shared" si="172"/>
        <v>0</v>
      </c>
      <c r="L379" s="14">
        <f t="shared" ca="1" si="172"/>
        <v>0</v>
      </c>
      <c r="M379" s="14">
        <f t="shared" si="172"/>
        <v>0</v>
      </c>
      <c r="N379" s="14">
        <f t="shared" si="172"/>
        <v>0</v>
      </c>
      <c r="O379" s="14">
        <f t="shared" ca="1" si="172"/>
        <v>0</v>
      </c>
      <c r="P379" s="14">
        <f t="shared" si="172"/>
        <v>0</v>
      </c>
      <c r="Q379" s="14">
        <f t="shared" si="172"/>
        <v>0</v>
      </c>
      <c r="R379" s="14">
        <f t="shared" ca="1" si="172"/>
        <v>0</v>
      </c>
      <c r="S379" s="14">
        <f t="shared" si="172"/>
        <v>0</v>
      </c>
      <c r="T379" s="14">
        <f t="shared" ca="1" si="172"/>
        <v>0</v>
      </c>
      <c r="U379" s="14">
        <f t="shared" ca="1" si="172"/>
        <v>0</v>
      </c>
      <c r="V379" s="14">
        <f t="shared" ca="1" si="172"/>
        <v>0</v>
      </c>
      <c r="W379" s="14">
        <f t="shared" ca="1" si="172"/>
        <v>0</v>
      </c>
      <c r="X379" s="14">
        <f t="shared" ca="1" si="172"/>
        <v>0</v>
      </c>
      <c r="Y379" s="14">
        <f t="shared" ca="1" si="172"/>
        <v>0</v>
      </c>
      <c r="Z379" s="14">
        <f t="shared" ca="1" si="172"/>
        <v>0</v>
      </c>
      <c r="AA379" s="14">
        <f t="shared" ca="1" si="172"/>
        <v>0</v>
      </c>
      <c r="AB379" s="14">
        <f t="shared" ca="1" si="172"/>
        <v>0</v>
      </c>
      <c r="AC379" s="14">
        <f t="shared" ca="1" si="172"/>
        <v>0</v>
      </c>
      <c r="AD379" s="14">
        <f t="shared" ca="1" si="172"/>
        <v>0</v>
      </c>
      <c r="AE379" s="14">
        <f t="shared" ca="1" si="172"/>
        <v>0</v>
      </c>
      <c r="AF379" s="14">
        <f t="shared" ca="1" si="172"/>
        <v>0</v>
      </c>
      <c r="AG379" s="14">
        <f t="shared" ca="1" si="172"/>
        <v>0</v>
      </c>
      <c r="AH379" s="14">
        <f t="shared" ca="1" si="172"/>
        <v>0</v>
      </c>
      <c r="AI379" s="14">
        <f t="shared" ca="1" si="172"/>
        <v>0</v>
      </c>
      <c r="AJ379" s="14">
        <f t="shared" ca="1" si="172"/>
        <v>0</v>
      </c>
      <c r="AK379" s="14">
        <f t="shared" ca="1" si="172"/>
        <v>0</v>
      </c>
      <c r="AL379" s="14">
        <f t="shared" ca="1" si="172"/>
        <v>0</v>
      </c>
      <c r="AM379" s="14">
        <f t="shared" ca="1" si="172"/>
        <v>0</v>
      </c>
      <c r="AN379" s="14">
        <f t="shared" ca="1" si="172"/>
        <v>0</v>
      </c>
      <c r="AO379" s="14">
        <f t="shared" ca="1" si="172"/>
        <v>0</v>
      </c>
      <c r="AP379" s="14">
        <f t="shared" ca="1" si="172"/>
        <v>0</v>
      </c>
      <c r="AQ379" s="14">
        <f t="shared" ca="1" si="172"/>
        <v>0</v>
      </c>
      <c r="AR379" s="14">
        <f t="shared" ca="1" si="172"/>
        <v>0</v>
      </c>
      <c r="AS379" s="14">
        <f t="shared" ca="1" si="172"/>
        <v>0</v>
      </c>
    </row>
    <row r="380" spans="2:45" outlineLevel="1" x14ac:dyDescent="0.15">
      <c r="B380" s="16" t="str">
        <f>B370</f>
        <v>Closing Tax Payable</v>
      </c>
      <c r="J380" s="18">
        <f t="shared" ref="J380:AS380" ca="1" si="173">J370</f>
        <v>0</v>
      </c>
      <c r="K380" s="18">
        <f t="shared" ca="1" si="173"/>
        <v>0</v>
      </c>
      <c r="L380" s="18">
        <f t="shared" ca="1" si="173"/>
        <v>0</v>
      </c>
      <c r="M380" s="18">
        <f t="shared" ca="1" si="173"/>
        <v>0</v>
      </c>
      <c r="N380" s="18">
        <f t="shared" ca="1" si="173"/>
        <v>0</v>
      </c>
      <c r="O380" s="18">
        <f t="shared" ca="1" si="173"/>
        <v>0</v>
      </c>
      <c r="P380" s="18">
        <f t="shared" ca="1" si="173"/>
        <v>0</v>
      </c>
      <c r="Q380" s="18">
        <f t="shared" ca="1" si="173"/>
        <v>0</v>
      </c>
      <c r="R380" s="18">
        <f t="shared" ca="1" si="173"/>
        <v>0</v>
      </c>
      <c r="S380" s="18">
        <f t="shared" ca="1" si="173"/>
        <v>0</v>
      </c>
      <c r="T380" s="18">
        <f t="shared" ca="1" si="173"/>
        <v>0</v>
      </c>
      <c r="U380" s="18">
        <f t="shared" ca="1" si="173"/>
        <v>0</v>
      </c>
      <c r="V380" s="18">
        <f t="shared" ca="1" si="173"/>
        <v>0</v>
      </c>
      <c r="W380" s="18">
        <f t="shared" ca="1" si="173"/>
        <v>0</v>
      </c>
      <c r="X380" s="18">
        <f t="shared" ca="1" si="173"/>
        <v>0</v>
      </c>
      <c r="Y380" s="18">
        <f t="shared" ca="1" si="173"/>
        <v>0</v>
      </c>
      <c r="Z380" s="18">
        <f t="shared" ca="1" si="173"/>
        <v>0</v>
      </c>
      <c r="AA380" s="18">
        <f t="shared" ca="1" si="173"/>
        <v>0</v>
      </c>
      <c r="AB380" s="18">
        <f t="shared" ca="1" si="173"/>
        <v>0</v>
      </c>
      <c r="AC380" s="18">
        <f t="shared" ca="1" si="173"/>
        <v>0</v>
      </c>
      <c r="AD380" s="18">
        <f t="shared" ca="1" si="173"/>
        <v>0</v>
      </c>
      <c r="AE380" s="18">
        <f t="shared" ca="1" si="173"/>
        <v>0</v>
      </c>
      <c r="AF380" s="18">
        <f t="shared" ca="1" si="173"/>
        <v>0</v>
      </c>
      <c r="AG380" s="18">
        <f t="shared" ca="1" si="173"/>
        <v>0</v>
      </c>
      <c r="AH380" s="18">
        <f t="shared" ca="1" si="173"/>
        <v>0</v>
      </c>
      <c r="AI380" s="18">
        <f t="shared" ca="1" si="173"/>
        <v>0</v>
      </c>
      <c r="AJ380" s="18">
        <f t="shared" ca="1" si="173"/>
        <v>0</v>
      </c>
      <c r="AK380" s="18">
        <f t="shared" ca="1" si="173"/>
        <v>0</v>
      </c>
      <c r="AL380" s="18">
        <f t="shared" ca="1" si="173"/>
        <v>0</v>
      </c>
      <c r="AM380" s="18">
        <f t="shared" ca="1" si="173"/>
        <v>0</v>
      </c>
      <c r="AN380" s="18">
        <f t="shared" ca="1" si="173"/>
        <v>0</v>
      </c>
      <c r="AO380" s="18">
        <f t="shared" ca="1" si="173"/>
        <v>0</v>
      </c>
      <c r="AP380" s="18">
        <f t="shared" ca="1" si="173"/>
        <v>0</v>
      </c>
      <c r="AQ380" s="18">
        <f t="shared" ca="1" si="173"/>
        <v>0</v>
      </c>
      <c r="AR380" s="18">
        <f t="shared" ca="1" si="173"/>
        <v>0</v>
      </c>
      <c r="AS380" s="18">
        <f t="shared" ca="1" si="173"/>
        <v>0</v>
      </c>
    </row>
    <row r="381" spans="2:45" outlineLevel="1" x14ac:dyDescent="0.15"/>
    <row r="382" spans="2:45" hidden="1" outlineLevel="2" x14ac:dyDescent="0.15">
      <c r="C382" s="107" t="s">
        <v>192</v>
      </c>
      <c r="J382" s="17">
        <f t="shared" ref="J382:AS382" ca="1" si="174">IF(ISERROR(J374+J380),1,0)</f>
        <v>0</v>
      </c>
      <c r="K382" s="17">
        <f t="shared" ca="1" si="174"/>
        <v>0</v>
      </c>
      <c r="L382" s="17">
        <f t="shared" ca="1" si="174"/>
        <v>0</v>
      </c>
      <c r="M382" s="17">
        <f t="shared" ca="1" si="174"/>
        <v>0</v>
      </c>
      <c r="N382" s="17">
        <f t="shared" ca="1" si="174"/>
        <v>0</v>
      </c>
      <c r="O382" s="17">
        <f t="shared" ca="1" si="174"/>
        <v>0</v>
      </c>
      <c r="P382" s="17">
        <f t="shared" ca="1" si="174"/>
        <v>0</v>
      </c>
      <c r="Q382" s="17">
        <f t="shared" ca="1" si="174"/>
        <v>0</v>
      </c>
      <c r="R382" s="17">
        <f t="shared" ca="1" si="174"/>
        <v>0</v>
      </c>
      <c r="S382" s="17">
        <f t="shared" ca="1" si="174"/>
        <v>0</v>
      </c>
      <c r="T382" s="17">
        <f t="shared" ca="1" si="174"/>
        <v>0</v>
      </c>
      <c r="U382" s="17">
        <f t="shared" ca="1" si="174"/>
        <v>0</v>
      </c>
      <c r="V382" s="17">
        <f t="shared" ca="1" si="174"/>
        <v>0</v>
      </c>
      <c r="W382" s="17">
        <f t="shared" ca="1" si="174"/>
        <v>0</v>
      </c>
      <c r="X382" s="17">
        <f t="shared" ca="1" si="174"/>
        <v>0</v>
      </c>
      <c r="Y382" s="17">
        <f t="shared" ca="1" si="174"/>
        <v>0</v>
      </c>
      <c r="Z382" s="17">
        <f t="shared" ca="1" si="174"/>
        <v>0</v>
      </c>
      <c r="AA382" s="17">
        <f t="shared" ca="1" si="174"/>
        <v>0</v>
      </c>
      <c r="AB382" s="17">
        <f t="shared" ca="1" si="174"/>
        <v>0</v>
      </c>
      <c r="AC382" s="17">
        <f t="shared" ca="1" si="174"/>
        <v>0</v>
      </c>
      <c r="AD382" s="17">
        <f t="shared" ca="1" si="174"/>
        <v>0</v>
      </c>
      <c r="AE382" s="17">
        <f t="shared" ca="1" si="174"/>
        <v>0</v>
      </c>
      <c r="AF382" s="17">
        <f t="shared" ca="1" si="174"/>
        <v>0</v>
      </c>
      <c r="AG382" s="17">
        <f t="shared" ca="1" si="174"/>
        <v>0</v>
      </c>
      <c r="AH382" s="17">
        <f t="shared" ca="1" si="174"/>
        <v>0</v>
      </c>
      <c r="AI382" s="17">
        <f t="shared" ca="1" si="174"/>
        <v>0</v>
      </c>
      <c r="AJ382" s="17">
        <f t="shared" ca="1" si="174"/>
        <v>0</v>
      </c>
      <c r="AK382" s="17">
        <f t="shared" ca="1" si="174"/>
        <v>0</v>
      </c>
      <c r="AL382" s="17">
        <f t="shared" ca="1" si="174"/>
        <v>0</v>
      </c>
      <c r="AM382" s="17">
        <f t="shared" ca="1" si="174"/>
        <v>0</v>
      </c>
      <c r="AN382" s="17">
        <f t="shared" ca="1" si="174"/>
        <v>0</v>
      </c>
      <c r="AO382" s="17">
        <f t="shared" ca="1" si="174"/>
        <v>0</v>
      </c>
      <c r="AP382" s="17">
        <f t="shared" ca="1" si="174"/>
        <v>0</v>
      </c>
      <c r="AQ382" s="17">
        <f t="shared" ca="1" si="174"/>
        <v>0</v>
      </c>
      <c r="AR382" s="17">
        <f t="shared" ca="1" si="174"/>
        <v>0</v>
      </c>
      <c r="AS382" s="17">
        <f t="shared" ca="1" si="174"/>
        <v>0</v>
      </c>
    </row>
    <row r="383" spans="2:45" hidden="1" outlineLevel="2" x14ac:dyDescent="0.15">
      <c r="C383" s="107" t="s">
        <v>606</v>
      </c>
      <c r="J383" s="42">
        <f t="shared" ref="J383:AS383" ca="1" si="175">IF(J382&lt;&gt;0,0,IF(ROUND(J380-SUM(J377:J379),5)&lt;&gt;0,1,0))</f>
        <v>0</v>
      </c>
      <c r="K383" s="42">
        <f t="shared" ca="1" si="175"/>
        <v>0</v>
      </c>
      <c r="L383" s="42">
        <f t="shared" ca="1" si="175"/>
        <v>0</v>
      </c>
      <c r="M383" s="42">
        <f t="shared" ca="1" si="175"/>
        <v>0</v>
      </c>
      <c r="N383" s="42">
        <f t="shared" ca="1" si="175"/>
        <v>0</v>
      </c>
      <c r="O383" s="42">
        <f t="shared" ca="1" si="175"/>
        <v>0</v>
      </c>
      <c r="P383" s="42">
        <f t="shared" ca="1" si="175"/>
        <v>0</v>
      </c>
      <c r="Q383" s="42">
        <f t="shared" ca="1" si="175"/>
        <v>0</v>
      </c>
      <c r="R383" s="42">
        <f t="shared" ca="1" si="175"/>
        <v>0</v>
      </c>
      <c r="S383" s="42">
        <f t="shared" ca="1" si="175"/>
        <v>0</v>
      </c>
      <c r="T383" s="42">
        <f t="shared" ca="1" si="175"/>
        <v>0</v>
      </c>
      <c r="U383" s="42">
        <f t="shared" ca="1" si="175"/>
        <v>0</v>
      </c>
      <c r="V383" s="42">
        <f t="shared" ca="1" si="175"/>
        <v>0</v>
      </c>
      <c r="W383" s="42">
        <f t="shared" ca="1" si="175"/>
        <v>0</v>
      </c>
      <c r="X383" s="42">
        <f t="shared" ca="1" si="175"/>
        <v>0</v>
      </c>
      <c r="Y383" s="42">
        <f t="shared" ca="1" si="175"/>
        <v>0</v>
      </c>
      <c r="Z383" s="42">
        <f t="shared" ca="1" si="175"/>
        <v>0</v>
      </c>
      <c r="AA383" s="42">
        <f t="shared" ca="1" si="175"/>
        <v>0</v>
      </c>
      <c r="AB383" s="42">
        <f t="shared" ca="1" si="175"/>
        <v>0</v>
      </c>
      <c r="AC383" s="42">
        <f t="shared" ca="1" si="175"/>
        <v>0</v>
      </c>
      <c r="AD383" s="42">
        <f t="shared" ca="1" si="175"/>
        <v>0</v>
      </c>
      <c r="AE383" s="42">
        <f t="shared" ca="1" si="175"/>
        <v>0</v>
      </c>
      <c r="AF383" s="42">
        <f t="shared" ca="1" si="175"/>
        <v>0</v>
      </c>
      <c r="AG383" s="42">
        <f t="shared" ca="1" si="175"/>
        <v>0</v>
      </c>
      <c r="AH383" s="42">
        <f t="shared" ca="1" si="175"/>
        <v>0</v>
      </c>
      <c r="AI383" s="42">
        <f t="shared" ca="1" si="175"/>
        <v>0</v>
      </c>
      <c r="AJ383" s="42">
        <f t="shared" ca="1" si="175"/>
        <v>0</v>
      </c>
      <c r="AK383" s="42">
        <f t="shared" ca="1" si="175"/>
        <v>0</v>
      </c>
      <c r="AL383" s="42">
        <f t="shared" ca="1" si="175"/>
        <v>0</v>
      </c>
      <c r="AM383" s="42">
        <f t="shared" ca="1" si="175"/>
        <v>0</v>
      </c>
      <c r="AN383" s="42">
        <f t="shared" ca="1" si="175"/>
        <v>0</v>
      </c>
      <c r="AO383" s="42">
        <f t="shared" ca="1" si="175"/>
        <v>0</v>
      </c>
      <c r="AP383" s="42">
        <f t="shared" ca="1" si="175"/>
        <v>0</v>
      </c>
      <c r="AQ383" s="42">
        <f t="shared" ca="1" si="175"/>
        <v>0</v>
      </c>
      <c r="AR383" s="42">
        <f t="shared" ca="1" si="175"/>
        <v>0</v>
      </c>
      <c r="AS383" s="42">
        <f t="shared" ca="1" si="175"/>
        <v>0</v>
      </c>
    </row>
    <row r="384" spans="2:45" outlineLevel="1" collapsed="1" x14ac:dyDescent="0.15">
      <c r="B384" s="107" t="s">
        <v>335</v>
      </c>
      <c r="I384" s="22">
        <f ca="1">IF(ISERROR(SUM(J384:AS384)),1,MIN(SUM(J384:AS384),1))</f>
        <v>0</v>
      </c>
      <c r="J384" s="17">
        <f t="shared" ref="J384:AS384" ca="1" si="176">IF(ISERROR(SUM(J382:J383)),1,MIN(1,SUM(J382:J383)))</f>
        <v>0</v>
      </c>
      <c r="K384" s="17">
        <f t="shared" ca="1" si="176"/>
        <v>0</v>
      </c>
      <c r="L384" s="17">
        <f t="shared" ca="1" si="176"/>
        <v>0</v>
      </c>
      <c r="M384" s="17">
        <f t="shared" ca="1" si="176"/>
        <v>0</v>
      </c>
      <c r="N384" s="17">
        <f t="shared" ca="1" si="176"/>
        <v>0</v>
      </c>
      <c r="O384" s="17">
        <f t="shared" ca="1" si="176"/>
        <v>0</v>
      </c>
      <c r="P384" s="17">
        <f t="shared" ca="1" si="176"/>
        <v>0</v>
      </c>
      <c r="Q384" s="17">
        <f t="shared" ca="1" si="176"/>
        <v>0</v>
      </c>
      <c r="R384" s="17">
        <f t="shared" ca="1" si="176"/>
        <v>0</v>
      </c>
      <c r="S384" s="17">
        <f t="shared" ca="1" si="176"/>
        <v>0</v>
      </c>
      <c r="T384" s="17">
        <f t="shared" ca="1" si="176"/>
        <v>0</v>
      </c>
      <c r="U384" s="17">
        <f t="shared" ca="1" si="176"/>
        <v>0</v>
      </c>
      <c r="V384" s="17">
        <f t="shared" ca="1" si="176"/>
        <v>0</v>
      </c>
      <c r="W384" s="17">
        <f t="shared" ca="1" si="176"/>
        <v>0</v>
      </c>
      <c r="X384" s="17">
        <f t="shared" ca="1" si="176"/>
        <v>0</v>
      </c>
      <c r="Y384" s="17">
        <f t="shared" ca="1" si="176"/>
        <v>0</v>
      </c>
      <c r="Z384" s="17">
        <f t="shared" ca="1" si="176"/>
        <v>0</v>
      </c>
      <c r="AA384" s="17">
        <f t="shared" ca="1" si="176"/>
        <v>0</v>
      </c>
      <c r="AB384" s="17">
        <f t="shared" ca="1" si="176"/>
        <v>0</v>
      </c>
      <c r="AC384" s="17">
        <f t="shared" ca="1" si="176"/>
        <v>0</v>
      </c>
      <c r="AD384" s="17">
        <f t="shared" ca="1" si="176"/>
        <v>0</v>
      </c>
      <c r="AE384" s="17">
        <f t="shared" ca="1" si="176"/>
        <v>0</v>
      </c>
      <c r="AF384" s="17">
        <f t="shared" ca="1" si="176"/>
        <v>0</v>
      </c>
      <c r="AG384" s="17">
        <f t="shared" ca="1" si="176"/>
        <v>0</v>
      </c>
      <c r="AH384" s="17">
        <f t="shared" ca="1" si="176"/>
        <v>0</v>
      </c>
      <c r="AI384" s="17">
        <f t="shared" ca="1" si="176"/>
        <v>0</v>
      </c>
      <c r="AJ384" s="17">
        <f t="shared" ca="1" si="176"/>
        <v>0</v>
      </c>
      <c r="AK384" s="17">
        <f t="shared" ca="1" si="176"/>
        <v>0</v>
      </c>
      <c r="AL384" s="17">
        <f t="shared" ca="1" si="176"/>
        <v>0</v>
      </c>
      <c r="AM384" s="17">
        <f t="shared" ca="1" si="176"/>
        <v>0</v>
      </c>
      <c r="AN384" s="17">
        <f t="shared" ca="1" si="176"/>
        <v>0</v>
      </c>
      <c r="AO384" s="17">
        <f t="shared" ca="1" si="176"/>
        <v>0</v>
      </c>
      <c r="AP384" s="17">
        <f t="shared" ca="1" si="176"/>
        <v>0</v>
      </c>
      <c r="AQ384" s="17">
        <f t="shared" ca="1" si="176"/>
        <v>0</v>
      </c>
      <c r="AR384" s="17">
        <f t="shared" ca="1" si="176"/>
        <v>0</v>
      </c>
      <c r="AS384" s="17">
        <f t="shared" ca="1" si="176"/>
        <v>0</v>
      </c>
    </row>
  </sheetData>
  <sheetProtection algorithmName="SHA-512" hashValue="3NQA10G22qDTcXEJFcgc3hgBsQagUzQuKGQJUXqxnFXTKhyBGI3TsrlddoEJ3FCjwMzfl7+xAUwKReyNNzF93g==" saltValue="cILK/fuuWWI97uqJNdUN/g==" spinCount="100000" sheet="1" objects="1" scenarios="1" formatColumns="0" formatRows="0"/>
  <mergeCells count="33">
    <mergeCell ref="B81:G81"/>
    <mergeCell ref="B82:G82"/>
    <mergeCell ref="B259:H259"/>
    <mergeCell ref="B260:H260"/>
    <mergeCell ref="B52:G52"/>
    <mergeCell ref="B55:G55"/>
    <mergeCell ref="B56:G56"/>
    <mergeCell ref="B60:G60"/>
    <mergeCell ref="B67:G67"/>
    <mergeCell ref="B68:G68"/>
    <mergeCell ref="B74:G74"/>
    <mergeCell ref="B77:G77"/>
    <mergeCell ref="B83:G83"/>
    <mergeCell ref="B93:G93"/>
    <mergeCell ref="B69:G69"/>
    <mergeCell ref="B257:H257"/>
    <mergeCell ref="B258:H258"/>
    <mergeCell ref="B84:G84"/>
    <mergeCell ref="B85:G85"/>
    <mergeCell ref="B88:G88"/>
    <mergeCell ref="B92:G92"/>
    <mergeCell ref="B94:G94"/>
    <mergeCell ref="B89:G89"/>
    <mergeCell ref="B53:G53"/>
    <mergeCell ref="B54:G54"/>
    <mergeCell ref="B78:G78"/>
    <mergeCell ref="B80:G80"/>
    <mergeCell ref="B57:G57"/>
    <mergeCell ref="B62:G62"/>
    <mergeCell ref="B70:G70"/>
    <mergeCell ref="B73:G73"/>
    <mergeCell ref="B61:G61"/>
    <mergeCell ref="B79:G79"/>
  </mergeCells>
  <conditionalFormatting sqref="I229">
    <cfRule type="cellIs" dxfId="89" priority="20" operator="notEqual">
      <formula>0</formula>
    </cfRule>
  </conditionalFormatting>
  <conditionalFormatting sqref="I384">
    <cfRule type="cellIs" dxfId="88" priority="60" operator="notEqual">
      <formula>0</formula>
    </cfRule>
  </conditionalFormatting>
  <conditionalFormatting sqref="J32:AS32 J265:AS265">
    <cfRule type="expression" dxfId="87" priority="61">
      <formula>OR(J$8=1,J33=1)</formula>
    </cfRule>
  </conditionalFormatting>
  <conditionalFormatting sqref="J34:AS34 J267:AS267">
    <cfRule type="expression" dxfId="86" priority="62">
      <formula>NOT(OR(J$8=1,J33=1))</formula>
    </cfRule>
  </conditionalFormatting>
  <conditionalFormatting sqref="J40:AS40">
    <cfRule type="expression" dxfId="85" priority="65">
      <formula>J40&lt;&gt;VAT_Yes</formula>
    </cfRule>
    <cfRule type="expression" dxfId="84" priority="66">
      <formula>J40=VAT_Yes</formula>
    </cfRule>
  </conditionalFormatting>
  <conditionalFormatting sqref="J41:AS41">
    <cfRule type="expression" dxfId="83" priority="67">
      <formula>J40&lt;&gt;VAT_Yes</formula>
    </cfRule>
  </conditionalFormatting>
  <conditionalFormatting sqref="J42:AS42">
    <cfRule type="expression" dxfId="82" priority="68">
      <formula>J40&lt;&gt;VAT_Yes</formula>
    </cfRule>
    <cfRule type="expression" dxfId="81" priority="69">
      <formula>J40=VAT_Yes</formula>
    </cfRule>
  </conditionalFormatting>
  <conditionalFormatting sqref="J43:AS43">
    <cfRule type="expression" dxfId="80" priority="70">
      <formula>J40&lt;&gt;VAT_Yes</formula>
    </cfRule>
  </conditionalFormatting>
  <conditionalFormatting sqref="J113:AS113">
    <cfRule type="expression" dxfId="79" priority="71">
      <formula>J113=VAT_Yes</formula>
    </cfRule>
  </conditionalFormatting>
  <conditionalFormatting sqref="J114:AS114">
    <cfRule type="expression" dxfId="78" priority="72">
      <formula>J113=VAT_Yes</formula>
    </cfRule>
  </conditionalFormatting>
  <conditionalFormatting sqref="J115:AS115">
    <cfRule type="expression" dxfId="77" priority="73">
      <formula>J113=VAT_Yes</formula>
    </cfRule>
  </conditionalFormatting>
  <conditionalFormatting sqref="J116:AS116">
    <cfRule type="expression" dxfId="76" priority="74">
      <formula>J113=VAT_Yes</formula>
    </cfRule>
  </conditionalFormatting>
  <conditionalFormatting sqref="J117:AS117">
    <cfRule type="expression" dxfId="75" priority="75">
      <formula>J113=VAT_Yes</formula>
    </cfRule>
  </conditionalFormatting>
  <conditionalFormatting sqref="J118:AS118">
    <cfRule type="expression" dxfId="74" priority="76">
      <formula>J113=VAT_Yes</formula>
    </cfRule>
  </conditionalFormatting>
  <conditionalFormatting sqref="J119:AS119">
    <cfRule type="expression" dxfId="73" priority="77">
      <formula>J113=VAT_Yes</formula>
    </cfRule>
  </conditionalFormatting>
  <conditionalFormatting sqref="J120:AS120">
    <cfRule type="expression" dxfId="72" priority="78">
      <formula>J113=VAT_Yes</formula>
    </cfRule>
  </conditionalFormatting>
  <conditionalFormatting sqref="J121:AS121">
    <cfRule type="expression" dxfId="71" priority="79">
      <formula>J113=VAT_Yes</formula>
    </cfRule>
  </conditionalFormatting>
  <conditionalFormatting sqref="J227:AS229">
    <cfRule type="cellIs" dxfId="70" priority="80" operator="notEqual">
      <formula>0</formula>
    </cfRule>
  </conditionalFormatting>
  <conditionalFormatting sqref="J270:AS270">
    <cfRule type="expression" dxfId="69" priority="83">
      <formula>J270&lt;&gt;Corp_Tax_Yes</formula>
    </cfRule>
    <cfRule type="expression" dxfId="68" priority="84">
      <formula>J270=Corp_Tax_Yes</formula>
    </cfRule>
  </conditionalFormatting>
  <conditionalFormatting sqref="J271:AS271">
    <cfRule type="expression" dxfId="67" priority="85">
      <formula>J270&lt;&gt;Corp_Tax_Yes</formula>
    </cfRule>
    <cfRule type="expression" dxfId="66" priority="86">
      <formula>J270=Corp_Tax_Yes</formula>
    </cfRule>
  </conditionalFormatting>
  <conditionalFormatting sqref="J272:AS272">
    <cfRule type="expression" dxfId="65" priority="87">
      <formula>J270&lt;&gt;Corp_Tax_Yes</formula>
    </cfRule>
  </conditionalFormatting>
  <conditionalFormatting sqref="J273:AS273">
    <cfRule type="expression" dxfId="64" priority="88">
      <formula>OR(J270&lt;&gt;Corp_Tax_Yes,J272&lt;&gt;Corp_Tax_Pmt_Amt_Mth_Amt)</formula>
    </cfRule>
  </conditionalFormatting>
  <conditionalFormatting sqref="J274:AS274">
    <cfRule type="expression" dxfId="63" priority="89">
      <formula>J270&lt;&gt;Corp_Tax_Yes</formula>
    </cfRule>
  </conditionalFormatting>
  <conditionalFormatting sqref="J277:AS277">
    <cfRule type="expression" dxfId="62" priority="90">
      <formula>J277&lt;&gt;Corp_Tax_Yes</formula>
    </cfRule>
    <cfRule type="expression" dxfId="61" priority="91">
      <formula>J277=Corp_Tax_Yes</formula>
    </cfRule>
  </conditionalFormatting>
  <conditionalFormatting sqref="J278:AS278">
    <cfRule type="expression" dxfId="60" priority="92">
      <formula>J277&lt;&gt;Corp_Tax_Yes</formula>
    </cfRule>
    <cfRule type="expression" dxfId="59" priority="93">
      <formula>J277=Corp_Tax_Yes</formula>
    </cfRule>
  </conditionalFormatting>
  <conditionalFormatting sqref="J279:AS279">
    <cfRule type="expression" dxfId="58" priority="94">
      <formula>OR(J277&lt;&gt;Corp_Tax_Yes,J278&lt;0)</formula>
    </cfRule>
  </conditionalFormatting>
  <conditionalFormatting sqref="J280:AS280">
    <cfRule type="expression" dxfId="57" priority="95">
      <formula>OR(J277&lt;&gt;Corp_Tax_Yes,J278&gt;=0)</formula>
    </cfRule>
  </conditionalFormatting>
  <conditionalFormatting sqref="J336:AS336">
    <cfRule type="expression" dxfId="56" priority="96">
      <formula>J336=Corp_Tax_Yes</formula>
    </cfRule>
  </conditionalFormatting>
  <conditionalFormatting sqref="J337:AS337">
    <cfRule type="expression" dxfId="55" priority="97">
      <formula>J336=Corp_Tax_Yes</formula>
    </cfRule>
  </conditionalFormatting>
  <conditionalFormatting sqref="J338:AS338">
    <cfRule type="expression" dxfId="54" priority="98">
      <formula>J336=Corp_Tax_Yes</formula>
    </cfRule>
  </conditionalFormatting>
  <conditionalFormatting sqref="J339:AS339">
    <cfRule type="expression" dxfId="53" priority="99">
      <formula>J336=Corp_Tax_Yes</formula>
    </cfRule>
  </conditionalFormatting>
  <conditionalFormatting sqref="J340:AS340">
    <cfRule type="expression" dxfId="52" priority="100">
      <formula>J336=Corp_Tax_Yes</formula>
    </cfRule>
  </conditionalFormatting>
  <conditionalFormatting sqref="J341:AS341">
    <cfRule type="expression" dxfId="51" priority="101">
      <formula>J336=Corp_Tax_Yes</formula>
    </cfRule>
  </conditionalFormatting>
  <conditionalFormatting sqref="J342:AS342">
    <cfRule type="expression" dxfId="50" priority="102">
      <formula>J336=Corp_Tax_Yes</formula>
    </cfRule>
  </conditionalFormatting>
  <conditionalFormatting sqref="J343:AS343">
    <cfRule type="expression" dxfId="49" priority="103">
      <formula>J336=Corp_Tax_Yes</formula>
    </cfRule>
  </conditionalFormatting>
  <conditionalFormatting sqref="J344:AS344">
    <cfRule type="expression" dxfId="48" priority="104">
      <formula>J336=Corp_Tax_Yes</formula>
    </cfRule>
  </conditionalFormatting>
  <conditionalFormatting sqref="J345:AS345">
    <cfRule type="expression" dxfId="47" priority="105">
      <formula>J336=Corp_Tax_Yes</formula>
    </cfRule>
  </conditionalFormatting>
  <conditionalFormatting sqref="J346:AS346">
    <cfRule type="expression" dxfId="46" priority="106">
      <formula>J336=Corp_Tax_Yes</formula>
    </cfRule>
  </conditionalFormatting>
  <conditionalFormatting sqref="J347:AS347">
    <cfRule type="expression" dxfId="45" priority="107">
      <formula>J336=Corp_Tax_Yes</formula>
    </cfRule>
  </conditionalFormatting>
  <conditionalFormatting sqref="J352:AS352">
    <cfRule type="expression" dxfId="44" priority="108">
      <formula>J352=Corp_Tax_Yes</formula>
    </cfRule>
  </conditionalFormatting>
  <conditionalFormatting sqref="J353:AS353">
    <cfRule type="expression" dxfId="43" priority="109">
      <formula>J352=Corp_Tax_Yes</formula>
    </cfRule>
  </conditionalFormatting>
  <conditionalFormatting sqref="J354:AS354">
    <cfRule type="expression" dxfId="42" priority="110">
      <formula>J352=Corp_Tax_Yes</formula>
    </cfRule>
  </conditionalFormatting>
  <conditionalFormatting sqref="J355:AS355">
    <cfRule type="expression" dxfId="41" priority="111">
      <formula>J352=Corp_Tax_Yes</formula>
    </cfRule>
  </conditionalFormatting>
  <conditionalFormatting sqref="J356:AS356">
    <cfRule type="expression" dxfId="40" priority="112">
      <formula>J352=Corp_Tax_Yes</formula>
    </cfRule>
  </conditionalFormatting>
  <conditionalFormatting sqref="J357:AS357">
    <cfRule type="expression" dxfId="39" priority="113">
      <formula>J352=Corp_Tax_Yes</formula>
    </cfRule>
  </conditionalFormatting>
  <conditionalFormatting sqref="J358:AS358">
    <cfRule type="expression" dxfId="38" priority="114">
      <formula>J352=Corp_Tax_Yes</formula>
    </cfRule>
  </conditionalFormatting>
  <conditionalFormatting sqref="J359:AS359">
    <cfRule type="expression" dxfId="37" priority="115">
      <formula>J352=Corp_Tax_Yes</formula>
    </cfRule>
  </conditionalFormatting>
  <conditionalFormatting sqref="J360:AS360">
    <cfRule type="expression" dxfId="36" priority="116">
      <formula>J352=Corp_Tax_Yes</formula>
    </cfRule>
  </conditionalFormatting>
  <conditionalFormatting sqref="J382:AS384">
    <cfRule type="cellIs" dxfId="35" priority="117" operator="notEqual">
      <formula>0</formula>
    </cfRule>
  </conditionalFormatting>
  <dataValidations count="11">
    <dataValidation type="custom" showErrorMessage="1" errorTitle="Invalid Assumption" error="Assumption must be a number." sqref="I241 I25 J273:AS273 J257:AS259 J251:AS254 J248:AS248 J88:AS88 J73:AS73 J52:AS56 J92:AS93 J67:AS69 J60:AS61 J77:AS84" xr:uid="{7F1C7830-7DFD-44DA-A5BD-2634F6FE1BF0}">
      <formula1>NOT(ISERROR(I25/1))</formula1>
    </dataValidation>
    <dataValidation type="decimal" showDropDown="1" showErrorMessage="1" errorTitle="Invalid Assumption" error="Assumption must be between 0% and 100%." sqref="I243 I236 I88 I73 I27 J37:AS37 I52:I56 I92:I93 I67:I69 I60:I61 I77:I84" xr:uid="{55603B77-F6B5-4D50-BBFF-5444054AF5A0}">
      <formula1>0</formula1>
      <formula2>1</formula2>
    </dataValidation>
    <dataValidation type="decimal" operator="greaterThanOrEqual" allowBlank="1" showDropDown="1" showErrorMessage="1" errorTitle="Invalid Assumption" error="Assumption must be a value greater than or equal to zero." sqref="I240 J46:AS47" xr:uid="{5780E428-BF0A-43E6-956B-8F761FA778F9}">
      <formula1>0</formula1>
    </dataValidation>
    <dataValidation type="whole" operator="greaterThan" showDropDown="1" showErrorMessage="1" errorTitle="Opening Tax Payment Delay" error="The opening tax payment delay must be a whole number greater than zero." sqref="I242 I26" xr:uid="{9A0FFC40-7352-468B-AE8F-D12B8A61AA87}">
      <formula1>0</formula1>
    </dataValidation>
    <dataValidation type="whole" showDropDown="1" showErrorMessage="1" errorTitle="Drop Down Box Cell Link" error="The value in a drop down box cell link must be a whole number within the control's lookup range rows." sqref="H235" xr:uid="{E74D5CFF-34BE-4D12-AF57-947F6E7A1CC2}">
      <formula1>1</formula1>
      <formula2>ROWS(LU_Corp_Tax_Yr_End_Mth)</formula2>
    </dataValidation>
    <dataValidation type="whole" showDropDown="1" showErrorMessage="1" errorTitle="Drop Down Box Cell Link" error="The value in a drop down box cell link must be a whole number within the control's lookup range rows." sqref="H21" xr:uid="{E58E6B24-35D9-438E-A291-944D1A9DCA51}">
      <formula1>1</formula1>
      <formula2>ROWS(LU_VAT_Yr_End_Mth)</formula2>
    </dataValidation>
    <dataValidation type="list" showErrorMessage="1" errorTitle="VAT Assessment Frequency" error="An VAT assessment frequency must be selected from the list of available frequencies." sqref="J34:AS34" xr:uid="{9F319438-19E0-4AA8-B686-94405D136FE6}">
      <formula1>LU_VAT_Assess_Freq</formula1>
    </dataValidation>
    <dataValidation type="list" showInputMessage="1" showErrorMessage="1" errorTitle="VAT Payment Amount Basis" error="The amount of VAT paid for the assessment period must be  based on either accruals or cash-based accounting." sqref="J41:AS41" xr:uid="{C6263E35-F5CA-4732-9186-FF058207388D}">
      <formula1>LU_VAT_Basis</formula1>
    </dataValidation>
    <dataValidation type="whole" operator="greaterThanOrEqual" showDropDown="1" showErrorMessage="1" errorTitle="Tax Payment Delay" error="The tax payment delay must be a whole number of months greater than or equal to zero." sqref="J43:AS43 J279:AS280 J274:AS274" xr:uid="{F90E50F2-1C41-4601-81D1-7BE9753472A2}">
      <formula1>0</formula1>
    </dataValidation>
    <dataValidation type="list" showErrorMessage="1" errorTitle="Interim Assessment Frequency" error="An interim assessment frequency must be selected from the list of available frequencies." sqref="J267:AS267" xr:uid="{1392EFDD-F190-4127-A862-7C61ABFBD719}">
      <formula1>LU_Corp_Tax_Assess_Freq</formula1>
    </dataValidation>
    <dataValidation type="list" showInputMessage="1" showErrorMessage="1" errorTitle="Tax Payment Amount Determination" error="The amount of tax paid for the assessment period must be either the interim assessment tax payable amount or an assumed amount." sqref="J272:AS272" xr:uid="{2464D99E-F0EE-4847-A1D9-A8DC4114136B}">
      <formula1>LU_Corp_Tax_Pmt_Amt_Meth</formula1>
    </dataValidation>
  </dataValidations>
  <hyperlinks>
    <hyperlink ref="A1" location="HL_Home" tooltip="Go to Table of Contents" display="HL_Home" xr:uid="{B40B1752-178E-4949-9376-EDA0CCC06842}"/>
    <hyperlink ref="A2" location="HL_Err_Chk" tooltip="Go to Error Checks" display="HL_Err_Chk" xr:uid="{D2A552F1-7108-4E88-8C37-B213FA8387B0}"/>
  </hyperlinks>
  <pageMargins left="0.4" right="0.4" top="0.6" bottom="1" header="0" footer="0.3"/>
  <pageSetup scale="6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52" r:id="rId4" name="bpmDropDownCorp_Tax1">
              <controlPr defaultSize="0" autoFill="0" autoPict="0">
                <anchor moveWithCells="1">
                  <from>
                    <xdr:col>7</xdr:col>
                    <xdr:colOff>0</xdr:colOff>
                    <xdr:row>234</xdr:row>
                    <xdr:rowOff>0</xdr:rowOff>
                  </from>
                  <to>
                    <xdr:col>9</xdr:col>
                    <xdr:colOff>0</xdr:colOff>
                    <xdr:row>235</xdr:row>
                    <xdr:rowOff>0</xdr:rowOff>
                  </to>
                </anchor>
              </controlPr>
            </control>
          </mc:Choice>
        </mc:AlternateContent>
        <mc:AlternateContent xmlns:mc="http://schemas.openxmlformats.org/markup-compatibility/2006">
          <mc:Choice Requires="x14">
            <control shapeId="6155" r:id="rId5" name="bpmDropDownVAT1">
              <controlPr defaultSize="0" autoFill="0" autoPict="0">
                <anchor moveWithCells="1" sizeWithCells="1">
                  <from>
                    <xdr:col>7</xdr:col>
                    <xdr:colOff>0</xdr:colOff>
                    <xdr:row>20</xdr:row>
                    <xdr:rowOff>0</xdr:rowOff>
                  </from>
                  <to>
                    <xdr:col>9</xdr:col>
                    <xdr:colOff>0</xdr:colOff>
                    <xdr:row>21</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D232B-F6E6-419F-97DF-6F9984D54C0A}">
  <sheetPr codeName="Sheet11">
    <pageSetUpPr autoPageBreaks="0"/>
  </sheetPr>
  <dimension ref="A1:AS183"/>
  <sheetViews>
    <sheetView showGridLines="0" workbookViewId="0">
      <pane xSplit="9" ySplit="15" topLeftCell="J16" activePane="bottomRight" state="frozenSplit"/>
      <selection pane="topRight" activeCell="J1" sqref="J1"/>
      <selection pane="bottomLeft" activeCell="A16" sqref="A16"/>
      <selection pane="bottomRight" activeCell="J21" sqref="J21"/>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607</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outlineLevel="2" collapsed="1"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outlineLevel="2" collapsed="1"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7" spans="2:45" x14ac:dyDescent="0.15">
      <c r="B17" s="1" t="s">
        <v>127</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2:45" outlineLevel="1" x14ac:dyDescent="0.15"/>
    <row r="19" spans="2:45" outlineLevel="1" x14ac:dyDescent="0.15">
      <c r="B19" s="107" t="s">
        <v>475</v>
      </c>
      <c r="J19" s="14">
        <f>Financials!J84</f>
        <v>11206</v>
      </c>
      <c r="K19" s="14">
        <f ca="1">Financials!K84</f>
        <v>56366.869850494637</v>
      </c>
      <c r="L19" s="14">
        <f ca="1">Financials!L84</f>
        <v>44565.745398407664</v>
      </c>
      <c r="M19" s="14">
        <f ca="1">Financials!M84</f>
        <v>93791.017492155705</v>
      </c>
      <c r="N19" s="14">
        <f ca="1">Financials!N84</f>
        <v>99434.209346422373</v>
      </c>
      <c r="O19" s="14">
        <f ca="1">Financials!O84</f>
        <v>77892.898421634411</v>
      </c>
      <c r="P19" s="14">
        <f ca="1">Financials!P84</f>
        <v>86016.935079136339</v>
      </c>
      <c r="Q19" s="14">
        <f ca="1">Financials!Q84</f>
        <v>90029.52162581333</v>
      </c>
      <c r="R19" s="14">
        <f ca="1">Financials!R84</f>
        <v>69976.570193967302</v>
      </c>
      <c r="S19" s="14">
        <f ca="1">Financials!S84</f>
        <v>76726.490789144591</v>
      </c>
      <c r="T19" s="14">
        <f ca="1">Financials!T84</f>
        <v>79679.59382603319</v>
      </c>
      <c r="U19" s="14">
        <f ca="1">Financials!U84</f>
        <v>59829.112587495554</v>
      </c>
      <c r="V19" s="14">
        <f ca="1">Financials!V84</f>
        <v>66932.032226762138</v>
      </c>
      <c r="W19" s="14">
        <f ca="1">Financials!W84</f>
        <v>68782.986123983646</v>
      </c>
      <c r="X19" s="14">
        <f ca="1">Financials!X84</f>
        <v>50936.458049791559</v>
      </c>
      <c r="Y19" s="14">
        <f ca="1">Financials!Y84</f>
        <v>60985.385742811166</v>
      </c>
      <c r="Z19" s="14">
        <f ca="1">Financials!Z84</f>
        <v>67534.682810026221</v>
      </c>
      <c r="AA19" s="14">
        <f ca="1">Financials!AA84</f>
        <v>45599.886950905355</v>
      </c>
      <c r="AB19" s="14">
        <f ca="1">Financials!AB84</f>
        <v>54709.440588498903</v>
      </c>
      <c r="AC19" s="14">
        <f ca="1">Financials!AC84</f>
        <v>60582.755592301051</v>
      </c>
      <c r="AD19" s="14">
        <f ca="1">Financials!AD84</f>
        <v>42430.339608888578</v>
      </c>
      <c r="AE19" s="14">
        <f ca="1">Financials!AE84</f>
        <v>50545.550148553099</v>
      </c>
      <c r="AF19" s="14">
        <f ca="1">Financials!AF84</f>
        <v>55150.308436000843</v>
      </c>
      <c r="AG19" s="14">
        <f ca="1">Financials!AG84</f>
        <v>36669.491088300201</v>
      </c>
      <c r="AH19" s="14">
        <f ca="1">Financials!AH84</f>
        <v>45162.729399252457</v>
      </c>
      <c r="AI19" s="14">
        <f ca="1">Financials!AI84</f>
        <v>48349.556505764289</v>
      </c>
      <c r="AJ19" s="14">
        <f ca="1">Financials!AJ84</f>
        <v>32660.58119464085</v>
      </c>
      <c r="AK19" s="14">
        <f ca="1">Financials!AK84</f>
        <v>44822.294238204726</v>
      </c>
      <c r="AL19" s="14">
        <f ca="1">Financials!AL84</f>
        <v>53015.100646806874</v>
      </c>
      <c r="AM19" s="14">
        <f ca="1">Financials!AM84</f>
        <v>32120.85810328343</v>
      </c>
      <c r="AN19" s="14">
        <f ca="1">Financials!AN84</f>
        <v>42736.430529151818</v>
      </c>
      <c r="AO19" s="14">
        <f ca="1">Financials!AO84</f>
        <v>50142.804681753965</v>
      </c>
      <c r="AP19" s="14">
        <f ca="1">Financials!AP84</f>
        <v>33324.732340449875</v>
      </c>
      <c r="AQ19" s="14">
        <f ca="1">Financials!AQ84</f>
        <v>42517.262348519042</v>
      </c>
      <c r="AR19" s="14">
        <f ca="1">Financials!AR84</f>
        <v>48200.992636860552</v>
      </c>
      <c r="AS19" s="14">
        <f ca="1">Financials!AS84</f>
        <v>31045.245095313883</v>
      </c>
    </row>
    <row r="20" spans="2:45" ht="6" customHeight="1" outlineLevel="1" x14ac:dyDescent="0.15"/>
    <row r="21" spans="2:45" outlineLevel="1" x14ac:dyDescent="0.15">
      <c r="B21" s="107" t="s">
        <v>608</v>
      </c>
      <c r="J21" s="170">
        <v>0</v>
      </c>
      <c r="K21" s="170">
        <v>0</v>
      </c>
      <c r="L21" s="170">
        <v>0</v>
      </c>
      <c r="M21" s="170">
        <v>0</v>
      </c>
      <c r="N21" s="170">
        <v>0</v>
      </c>
      <c r="O21" s="170">
        <v>0</v>
      </c>
      <c r="P21" s="170">
        <v>0</v>
      </c>
      <c r="Q21" s="170">
        <v>0</v>
      </c>
      <c r="R21" s="170">
        <v>0</v>
      </c>
      <c r="S21" s="170">
        <v>0</v>
      </c>
      <c r="T21" s="170">
        <v>0</v>
      </c>
      <c r="U21" s="170">
        <v>0</v>
      </c>
      <c r="V21" s="170">
        <v>0</v>
      </c>
      <c r="W21" s="170">
        <v>0</v>
      </c>
      <c r="X21" s="170">
        <v>0</v>
      </c>
      <c r="Y21" s="170">
        <v>0</v>
      </c>
      <c r="Z21" s="170">
        <v>0</v>
      </c>
      <c r="AA21" s="170">
        <v>0</v>
      </c>
      <c r="AB21" s="170">
        <v>0</v>
      </c>
      <c r="AC21" s="170">
        <v>0</v>
      </c>
      <c r="AD21" s="170">
        <v>0</v>
      </c>
      <c r="AE21" s="170">
        <v>0</v>
      </c>
      <c r="AF21" s="170">
        <v>0</v>
      </c>
      <c r="AG21" s="170">
        <v>0</v>
      </c>
      <c r="AH21" s="170">
        <v>0</v>
      </c>
      <c r="AI21" s="170">
        <v>0</v>
      </c>
      <c r="AJ21" s="170">
        <v>0</v>
      </c>
      <c r="AK21" s="170">
        <v>0</v>
      </c>
      <c r="AL21" s="170">
        <v>0</v>
      </c>
      <c r="AM21" s="170">
        <v>0</v>
      </c>
      <c r="AN21" s="170">
        <v>0</v>
      </c>
      <c r="AO21" s="170">
        <v>0</v>
      </c>
      <c r="AP21" s="170">
        <v>0</v>
      </c>
      <c r="AQ21" s="170">
        <v>0</v>
      </c>
      <c r="AR21" s="170">
        <v>0</v>
      </c>
      <c r="AS21" s="170">
        <v>0</v>
      </c>
    </row>
    <row r="22" spans="2:45" ht="6" customHeight="1" outlineLevel="1" x14ac:dyDescent="0.15"/>
    <row r="23" spans="2:45" outlineLevel="1" x14ac:dyDescent="0.15">
      <c r="B23" s="107" t="s">
        <v>609</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c r="Z23" s="170">
        <v>0</v>
      </c>
      <c r="AA23" s="170">
        <v>0</v>
      </c>
      <c r="AB23" s="170">
        <v>0</v>
      </c>
      <c r="AC23" s="170">
        <v>0</v>
      </c>
      <c r="AD23" s="170">
        <v>0</v>
      </c>
      <c r="AE23" s="170">
        <v>0</v>
      </c>
      <c r="AF23" s="170">
        <v>0</v>
      </c>
      <c r="AG23" s="170">
        <v>0</v>
      </c>
      <c r="AH23" s="170">
        <v>0</v>
      </c>
      <c r="AI23" s="170">
        <v>0</v>
      </c>
      <c r="AJ23" s="170">
        <v>0</v>
      </c>
      <c r="AK23" s="170">
        <v>0</v>
      </c>
      <c r="AL23" s="170">
        <v>0</v>
      </c>
      <c r="AM23" s="170">
        <v>0</v>
      </c>
      <c r="AN23" s="170">
        <v>0</v>
      </c>
      <c r="AO23" s="170">
        <v>0</v>
      </c>
      <c r="AP23" s="170">
        <v>0</v>
      </c>
      <c r="AQ23" s="170">
        <v>0</v>
      </c>
      <c r="AR23" s="170">
        <v>0</v>
      </c>
      <c r="AS23" s="170">
        <v>0</v>
      </c>
    </row>
    <row r="24" spans="2:45" outlineLevel="1" x14ac:dyDescent="0.15">
      <c r="B24" s="107" t="s">
        <v>610</v>
      </c>
      <c r="J24" s="26">
        <f t="shared" ref="J24:AS24" si="11">J21+J23</f>
        <v>0</v>
      </c>
      <c r="K24" s="26">
        <f t="shared" si="11"/>
        <v>0</v>
      </c>
      <c r="L24" s="26">
        <f t="shared" si="11"/>
        <v>0</v>
      </c>
      <c r="M24" s="26">
        <f t="shared" si="11"/>
        <v>0</v>
      </c>
      <c r="N24" s="26">
        <f t="shared" si="11"/>
        <v>0</v>
      </c>
      <c r="O24" s="26">
        <f t="shared" si="11"/>
        <v>0</v>
      </c>
      <c r="P24" s="26">
        <f t="shared" si="11"/>
        <v>0</v>
      </c>
      <c r="Q24" s="26">
        <f t="shared" si="11"/>
        <v>0</v>
      </c>
      <c r="R24" s="26">
        <f t="shared" si="11"/>
        <v>0</v>
      </c>
      <c r="S24" s="26">
        <f t="shared" si="11"/>
        <v>0</v>
      </c>
      <c r="T24" s="26">
        <f t="shared" si="11"/>
        <v>0</v>
      </c>
      <c r="U24" s="26">
        <f t="shared" si="11"/>
        <v>0</v>
      </c>
      <c r="V24" s="26">
        <f t="shared" si="11"/>
        <v>0</v>
      </c>
      <c r="W24" s="26">
        <f t="shared" si="11"/>
        <v>0</v>
      </c>
      <c r="X24" s="26">
        <f t="shared" si="11"/>
        <v>0</v>
      </c>
      <c r="Y24" s="26">
        <f t="shared" si="11"/>
        <v>0</v>
      </c>
      <c r="Z24" s="26">
        <f t="shared" si="11"/>
        <v>0</v>
      </c>
      <c r="AA24" s="26">
        <f t="shared" si="11"/>
        <v>0</v>
      </c>
      <c r="AB24" s="26">
        <f t="shared" si="11"/>
        <v>0</v>
      </c>
      <c r="AC24" s="26">
        <f t="shared" si="11"/>
        <v>0</v>
      </c>
      <c r="AD24" s="26">
        <f t="shared" si="11"/>
        <v>0</v>
      </c>
      <c r="AE24" s="26">
        <f t="shared" si="11"/>
        <v>0</v>
      </c>
      <c r="AF24" s="26">
        <f t="shared" si="11"/>
        <v>0</v>
      </c>
      <c r="AG24" s="26">
        <f t="shared" si="11"/>
        <v>0</v>
      </c>
      <c r="AH24" s="26">
        <f t="shared" si="11"/>
        <v>0</v>
      </c>
      <c r="AI24" s="26">
        <f t="shared" si="11"/>
        <v>0</v>
      </c>
      <c r="AJ24" s="26">
        <f t="shared" si="11"/>
        <v>0</v>
      </c>
      <c r="AK24" s="26">
        <f t="shared" si="11"/>
        <v>0</v>
      </c>
      <c r="AL24" s="26">
        <f t="shared" si="11"/>
        <v>0</v>
      </c>
      <c r="AM24" s="26">
        <f t="shared" si="11"/>
        <v>0</v>
      </c>
      <c r="AN24" s="26">
        <f t="shared" si="11"/>
        <v>0</v>
      </c>
      <c r="AO24" s="26">
        <f t="shared" si="11"/>
        <v>0</v>
      </c>
      <c r="AP24" s="26">
        <f t="shared" si="11"/>
        <v>0</v>
      </c>
      <c r="AQ24" s="26">
        <f t="shared" si="11"/>
        <v>0</v>
      </c>
      <c r="AR24" s="26">
        <f t="shared" si="11"/>
        <v>0</v>
      </c>
      <c r="AS24" s="26">
        <f t="shared" si="11"/>
        <v>0</v>
      </c>
    </row>
    <row r="25" spans="2:45" outlineLevel="1" x14ac:dyDescent="0.15">
      <c r="B25" s="107" t="s">
        <v>611</v>
      </c>
      <c r="J25" s="27">
        <f t="shared" ref="J25:AS25" si="12">J24/Ts_Mths_In_Yr</f>
        <v>0</v>
      </c>
      <c r="K25" s="27">
        <f t="shared" si="12"/>
        <v>0</v>
      </c>
      <c r="L25" s="27">
        <f t="shared" si="12"/>
        <v>0</v>
      </c>
      <c r="M25" s="27">
        <f t="shared" si="12"/>
        <v>0</v>
      </c>
      <c r="N25" s="27">
        <f t="shared" si="12"/>
        <v>0</v>
      </c>
      <c r="O25" s="27">
        <f t="shared" si="12"/>
        <v>0</v>
      </c>
      <c r="P25" s="27">
        <f t="shared" si="12"/>
        <v>0</v>
      </c>
      <c r="Q25" s="27">
        <f t="shared" si="12"/>
        <v>0</v>
      </c>
      <c r="R25" s="27">
        <f t="shared" si="12"/>
        <v>0</v>
      </c>
      <c r="S25" s="27">
        <f t="shared" si="12"/>
        <v>0</v>
      </c>
      <c r="T25" s="27">
        <f t="shared" si="12"/>
        <v>0</v>
      </c>
      <c r="U25" s="27">
        <f t="shared" si="12"/>
        <v>0</v>
      </c>
      <c r="V25" s="27">
        <f t="shared" si="12"/>
        <v>0</v>
      </c>
      <c r="W25" s="27">
        <f t="shared" si="12"/>
        <v>0</v>
      </c>
      <c r="X25" s="27">
        <f t="shared" si="12"/>
        <v>0</v>
      </c>
      <c r="Y25" s="27">
        <f t="shared" si="12"/>
        <v>0</v>
      </c>
      <c r="Z25" s="27">
        <f t="shared" si="12"/>
        <v>0</v>
      </c>
      <c r="AA25" s="27">
        <f t="shared" si="12"/>
        <v>0</v>
      </c>
      <c r="AB25" s="27">
        <f t="shared" si="12"/>
        <v>0</v>
      </c>
      <c r="AC25" s="27">
        <f t="shared" si="12"/>
        <v>0</v>
      </c>
      <c r="AD25" s="27">
        <f t="shared" si="12"/>
        <v>0</v>
      </c>
      <c r="AE25" s="27">
        <f t="shared" si="12"/>
        <v>0</v>
      </c>
      <c r="AF25" s="27">
        <f t="shared" si="12"/>
        <v>0</v>
      </c>
      <c r="AG25" s="27">
        <f t="shared" si="12"/>
        <v>0</v>
      </c>
      <c r="AH25" s="27">
        <f t="shared" si="12"/>
        <v>0</v>
      </c>
      <c r="AI25" s="27">
        <f t="shared" si="12"/>
        <v>0</v>
      </c>
      <c r="AJ25" s="27">
        <f t="shared" si="12"/>
        <v>0</v>
      </c>
      <c r="AK25" s="27">
        <f t="shared" si="12"/>
        <v>0</v>
      </c>
      <c r="AL25" s="27">
        <f t="shared" si="12"/>
        <v>0</v>
      </c>
      <c r="AM25" s="27">
        <f t="shared" si="12"/>
        <v>0</v>
      </c>
      <c r="AN25" s="27">
        <f t="shared" si="12"/>
        <v>0</v>
      </c>
      <c r="AO25" s="27">
        <f t="shared" si="12"/>
        <v>0</v>
      </c>
      <c r="AP25" s="27">
        <f t="shared" si="12"/>
        <v>0</v>
      </c>
      <c r="AQ25" s="27">
        <f t="shared" si="12"/>
        <v>0</v>
      </c>
      <c r="AR25" s="27">
        <f t="shared" si="12"/>
        <v>0</v>
      </c>
      <c r="AS25" s="27">
        <f t="shared" si="12"/>
        <v>0</v>
      </c>
    </row>
    <row r="26" spans="2:45" ht="6" customHeight="1" outlineLevel="1" x14ac:dyDescent="0.15"/>
    <row r="27" spans="2:45" outlineLevel="1" x14ac:dyDescent="0.15">
      <c r="B27" s="107" t="s">
        <v>612</v>
      </c>
      <c r="J27" s="170">
        <v>0</v>
      </c>
      <c r="K27" s="170">
        <v>0</v>
      </c>
      <c r="L27" s="170">
        <v>0</v>
      </c>
      <c r="M27" s="170">
        <v>0</v>
      </c>
      <c r="N27" s="170">
        <v>0</v>
      </c>
      <c r="O27" s="170">
        <v>0</v>
      </c>
      <c r="P27" s="170">
        <v>0</v>
      </c>
      <c r="Q27" s="170">
        <v>0</v>
      </c>
      <c r="R27" s="170">
        <v>0</v>
      </c>
      <c r="S27" s="170">
        <v>0</v>
      </c>
      <c r="T27" s="170">
        <v>0</v>
      </c>
      <c r="U27" s="170">
        <v>0</v>
      </c>
      <c r="V27" s="170">
        <v>0</v>
      </c>
      <c r="W27" s="170">
        <v>0</v>
      </c>
      <c r="X27" s="170">
        <v>0</v>
      </c>
      <c r="Y27" s="170">
        <v>0</v>
      </c>
      <c r="Z27" s="170">
        <v>0</v>
      </c>
      <c r="AA27" s="170">
        <v>0</v>
      </c>
      <c r="AB27" s="170">
        <v>0</v>
      </c>
      <c r="AC27" s="170">
        <v>0</v>
      </c>
      <c r="AD27" s="170">
        <v>0</v>
      </c>
      <c r="AE27" s="170">
        <v>0</v>
      </c>
      <c r="AF27" s="170">
        <v>0</v>
      </c>
      <c r="AG27" s="170">
        <v>0</v>
      </c>
      <c r="AH27" s="170">
        <v>0</v>
      </c>
      <c r="AI27" s="170">
        <v>0</v>
      </c>
      <c r="AJ27" s="170">
        <v>0</v>
      </c>
      <c r="AK27" s="170">
        <v>0</v>
      </c>
      <c r="AL27" s="170">
        <v>0</v>
      </c>
      <c r="AM27" s="170">
        <v>0</v>
      </c>
      <c r="AN27" s="170">
        <v>0</v>
      </c>
      <c r="AO27" s="170">
        <v>0</v>
      </c>
      <c r="AP27" s="170">
        <v>0</v>
      </c>
      <c r="AQ27" s="170">
        <v>0</v>
      </c>
      <c r="AR27" s="170">
        <v>0</v>
      </c>
      <c r="AS27" s="170">
        <v>0</v>
      </c>
    </row>
    <row r="28" spans="2:45" outlineLevel="1" x14ac:dyDescent="0.15">
      <c r="B28" s="107" t="s">
        <v>613</v>
      </c>
      <c r="J28" s="26">
        <f t="shared" ref="J28:AS28" si="13">J21+J27</f>
        <v>0</v>
      </c>
      <c r="K28" s="26">
        <f t="shared" si="13"/>
        <v>0</v>
      </c>
      <c r="L28" s="26">
        <f t="shared" si="13"/>
        <v>0</v>
      </c>
      <c r="M28" s="26">
        <f t="shared" si="13"/>
        <v>0</v>
      </c>
      <c r="N28" s="26">
        <f t="shared" si="13"/>
        <v>0</v>
      </c>
      <c r="O28" s="26">
        <f t="shared" si="13"/>
        <v>0</v>
      </c>
      <c r="P28" s="26">
        <f t="shared" si="13"/>
        <v>0</v>
      </c>
      <c r="Q28" s="26">
        <f t="shared" si="13"/>
        <v>0</v>
      </c>
      <c r="R28" s="26">
        <f t="shared" si="13"/>
        <v>0</v>
      </c>
      <c r="S28" s="26">
        <f t="shared" si="13"/>
        <v>0</v>
      </c>
      <c r="T28" s="26">
        <f t="shared" si="13"/>
        <v>0</v>
      </c>
      <c r="U28" s="26">
        <f t="shared" si="13"/>
        <v>0</v>
      </c>
      <c r="V28" s="26">
        <f t="shared" si="13"/>
        <v>0</v>
      </c>
      <c r="W28" s="26">
        <f t="shared" si="13"/>
        <v>0</v>
      </c>
      <c r="X28" s="26">
        <f t="shared" si="13"/>
        <v>0</v>
      </c>
      <c r="Y28" s="26">
        <f t="shared" si="13"/>
        <v>0</v>
      </c>
      <c r="Z28" s="26">
        <f t="shared" si="13"/>
        <v>0</v>
      </c>
      <c r="AA28" s="26">
        <f t="shared" si="13"/>
        <v>0</v>
      </c>
      <c r="AB28" s="26">
        <f t="shared" si="13"/>
        <v>0</v>
      </c>
      <c r="AC28" s="26">
        <f t="shared" si="13"/>
        <v>0</v>
      </c>
      <c r="AD28" s="26">
        <f t="shared" si="13"/>
        <v>0</v>
      </c>
      <c r="AE28" s="26">
        <f t="shared" si="13"/>
        <v>0</v>
      </c>
      <c r="AF28" s="26">
        <f t="shared" si="13"/>
        <v>0</v>
      </c>
      <c r="AG28" s="26">
        <f t="shared" si="13"/>
        <v>0</v>
      </c>
      <c r="AH28" s="26">
        <f t="shared" si="13"/>
        <v>0</v>
      </c>
      <c r="AI28" s="26">
        <f t="shared" si="13"/>
        <v>0</v>
      </c>
      <c r="AJ28" s="26">
        <f t="shared" si="13"/>
        <v>0</v>
      </c>
      <c r="AK28" s="26">
        <f t="shared" si="13"/>
        <v>0</v>
      </c>
      <c r="AL28" s="26">
        <f t="shared" si="13"/>
        <v>0</v>
      </c>
      <c r="AM28" s="26">
        <f t="shared" si="13"/>
        <v>0</v>
      </c>
      <c r="AN28" s="26">
        <f t="shared" si="13"/>
        <v>0</v>
      </c>
      <c r="AO28" s="26">
        <f t="shared" si="13"/>
        <v>0</v>
      </c>
      <c r="AP28" s="26">
        <f t="shared" si="13"/>
        <v>0</v>
      </c>
      <c r="AQ28" s="26">
        <f t="shared" si="13"/>
        <v>0</v>
      </c>
      <c r="AR28" s="26">
        <f t="shared" si="13"/>
        <v>0</v>
      </c>
      <c r="AS28" s="26">
        <f t="shared" si="13"/>
        <v>0</v>
      </c>
    </row>
    <row r="29" spans="2:45" outlineLevel="1" x14ac:dyDescent="0.15">
      <c r="B29" s="107" t="s">
        <v>614</v>
      </c>
      <c r="J29" s="27">
        <f t="shared" ref="J29:AS29" si="14">J28/Ts_Mths_In_Yr</f>
        <v>0</v>
      </c>
      <c r="K29" s="27">
        <f t="shared" si="14"/>
        <v>0</v>
      </c>
      <c r="L29" s="27">
        <f t="shared" si="14"/>
        <v>0</v>
      </c>
      <c r="M29" s="27">
        <f t="shared" si="14"/>
        <v>0</v>
      </c>
      <c r="N29" s="27">
        <f t="shared" si="14"/>
        <v>0</v>
      </c>
      <c r="O29" s="27">
        <f t="shared" si="14"/>
        <v>0</v>
      </c>
      <c r="P29" s="27">
        <f t="shared" si="14"/>
        <v>0</v>
      </c>
      <c r="Q29" s="27">
        <f t="shared" si="14"/>
        <v>0</v>
      </c>
      <c r="R29" s="27">
        <f t="shared" si="14"/>
        <v>0</v>
      </c>
      <c r="S29" s="27">
        <f t="shared" si="14"/>
        <v>0</v>
      </c>
      <c r="T29" s="27">
        <f t="shared" si="14"/>
        <v>0</v>
      </c>
      <c r="U29" s="27">
        <f t="shared" si="14"/>
        <v>0</v>
      </c>
      <c r="V29" s="27">
        <f t="shared" si="14"/>
        <v>0</v>
      </c>
      <c r="W29" s="27">
        <f t="shared" si="14"/>
        <v>0</v>
      </c>
      <c r="X29" s="27">
        <f t="shared" si="14"/>
        <v>0</v>
      </c>
      <c r="Y29" s="27">
        <f t="shared" si="14"/>
        <v>0</v>
      </c>
      <c r="Z29" s="27">
        <f t="shared" si="14"/>
        <v>0</v>
      </c>
      <c r="AA29" s="27">
        <f t="shared" si="14"/>
        <v>0</v>
      </c>
      <c r="AB29" s="27">
        <f t="shared" si="14"/>
        <v>0</v>
      </c>
      <c r="AC29" s="27">
        <f t="shared" si="14"/>
        <v>0</v>
      </c>
      <c r="AD29" s="27">
        <f t="shared" si="14"/>
        <v>0</v>
      </c>
      <c r="AE29" s="27">
        <f t="shared" si="14"/>
        <v>0</v>
      </c>
      <c r="AF29" s="27">
        <f t="shared" si="14"/>
        <v>0</v>
      </c>
      <c r="AG29" s="27">
        <f t="shared" si="14"/>
        <v>0</v>
      </c>
      <c r="AH29" s="27">
        <f t="shared" si="14"/>
        <v>0</v>
      </c>
      <c r="AI29" s="27">
        <f t="shared" si="14"/>
        <v>0</v>
      </c>
      <c r="AJ29" s="27">
        <f t="shared" si="14"/>
        <v>0</v>
      </c>
      <c r="AK29" s="27">
        <f t="shared" si="14"/>
        <v>0</v>
      </c>
      <c r="AL29" s="27">
        <f t="shared" si="14"/>
        <v>0</v>
      </c>
      <c r="AM29" s="27">
        <f t="shared" si="14"/>
        <v>0</v>
      </c>
      <c r="AN29" s="27">
        <f t="shared" si="14"/>
        <v>0</v>
      </c>
      <c r="AO29" s="27">
        <f t="shared" si="14"/>
        <v>0</v>
      </c>
      <c r="AP29" s="27">
        <f t="shared" si="14"/>
        <v>0</v>
      </c>
      <c r="AQ29" s="27">
        <f t="shared" si="14"/>
        <v>0</v>
      </c>
      <c r="AR29" s="27">
        <f t="shared" si="14"/>
        <v>0</v>
      </c>
      <c r="AS29" s="27">
        <f t="shared" si="14"/>
        <v>0</v>
      </c>
    </row>
    <row r="30" spans="2:45" ht="6" customHeight="1" outlineLevel="1" x14ac:dyDescent="0.15"/>
    <row r="31" spans="2:45" outlineLevel="1" x14ac:dyDescent="0.15">
      <c r="B31" s="107" t="s">
        <v>127</v>
      </c>
      <c r="J31" s="14">
        <f t="shared" ref="J31:AS31" si="15">J19*IF(J19&gt;=0,J25,J29)</f>
        <v>0</v>
      </c>
      <c r="K31" s="14">
        <f t="shared" ca="1" si="15"/>
        <v>0</v>
      </c>
      <c r="L31" s="14">
        <f t="shared" ca="1" si="15"/>
        <v>0</v>
      </c>
      <c r="M31" s="14">
        <f t="shared" ca="1" si="15"/>
        <v>0</v>
      </c>
      <c r="N31" s="14">
        <f t="shared" ca="1" si="15"/>
        <v>0</v>
      </c>
      <c r="O31" s="14">
        <f t="shared" ca="1" si="15"/>
        <v>0</v>
      </c>
      <c r="P31" s="14">
        <f t="shared" ca="1" si="15"/>
        <v>0</v>
      </c>
      <c r="Q31" s="14">
        <f t="shared" ca="1" si="15"/>
        <v>0</v>
      </c>
      <c r="R31" s="14">
        <f t="shared" ca="1" si="15"/>
        <v>0</v>
      </c>
      <c r="S31" s="14">
        <f t="shared" ca="1" si="15"/>
        <v>0</v>
      </c>
      <c r="T31" s="14">
        <f t="shared" ca="1" si="15"/>
        <v>0</v>
      </c>
      <c r="U31" s="14">
        <f t="shared" ca="1" si="15"/>
        <v>0</v>
      </c>
      <c r="V31" s="14">
        <f t="shared" ca="1" si="15"/>
        <v>0</v>
      </c>
      <c r="W31" s="14">
        <f t="shared" ca="1" si="15"/>
        <v>0</v>
      </c>
      <c r="X31" s="14">
        <f t="shared" ca="1" si="15"/>
        <v>0</v>
      </c>
      <c r="Y31" s="14">
        <f t="shared" ca="1" si="15"/>
        <v>0</v>
      </c>
      <c r="Z31" s="14">
        <f t="shared" ca="1" si="15"/>
        <v>0</v>
      </c>
      <c r="AA31" s="14">
        <f t="shared" ca="1" si="15"/>
        <v>0</v>
      </c>
      <c r="AB31" s="14">
        <f t="shared" ca="1" si="15"/>
        <v>0</v>
      </c>
      <c r="AC31" s="14">
        <f t="shared" ca="1" si="15"/>
        <v>0</v>
      </c>
      <c r="AD31" s="14">
        <f t="shared" ca="1" si="15"/>
        <v>0</v>
      </c>
      <c r="AE31" s="14">
        <f t="shared" ca="1" si="15"/>
        <v>0</v>
      </c>
      <c r="AF31" s="14">
        <f t="shared" ca="1" si="15"/>
        <v>0</v>
      </c>
      <c r="AG31" s="14">
        <f t="shared" ca="1" si="15"/>
        <v>0</v>
      </c>
      <c r="AH31" s="14">
        <f t="shared" ca="1" si="15"/>
        <v>0</v>
      </c>
      <c r="AI31" s="14">
        <f t="shared" ca="1" si="15"/>
        <v>0</v>
      </c>
      <c r="AJ31" s="14">
        <f t="shared" ca="1" si="15"/>
        <v>0</v>
      </c>
      <c r="AK31" s="14">
        <f t="shared" ca="1" si="15"/>
        <v>0</v>
      </c>
      <c r="AL31" s="14">
        <f t="shared" ca="1" si="15"/>
        <v>0</v>
      </c>
      <c r="AM31" s="14">
        <f t="shared" ca="1" si="15"/>
        <v>0</v>
      </c>
      <c r="AN31" s="14">
        <f t="shared" ca="1" si="15"/>
        <v>0</v>
      </c>
      <c r="AO31" s="14">
        <f t="shared" ca="1" si="15"/>
        <v>0</v>
      </c>
      <c r="AP31" s="14">
        <f t="shared" ca="1" si="15"/>
        <v>0</v>
      </c>
      <c r="AQ31" s="14">
        <f t="shared" ca="1" si="15"/>
        <v>0</v>
      </c>
      <c r="AR31" s="14">
        <f t="shared" ca="1" si="15"/>
        <v>0</v>
      </c>
      <c r="AS31" s="14">
        <f t="shared" ca="1" si="15"/>
        <v>0</v>
      </c>
    </row>
    <row r="32" spans="2:45" ht="6" customHeight="1" outlineLevel="1" x14ac:dyDescent="0.15"/>
    <row r="33" spans="2:45" outlineLevel="1" x14ac:dyDescent="0.15">
      <c r="B33" s="107" t="s">
        <v>306</v>
      </c>
      <c r="I33" s="22">
        <f ca="1">IF(ISERROR(SUM(J33:AS33)),1,MIN(SUM(J33:AS33),1))</f>
        <v>0</v>
      </c>
      <c r="J33" s="17">
        <f t="shared" ref="J33:AS33" si="16">IF(ISERROR(J31),1,0)</f>
        <v>0</v>
      </c>
      <c r="K33" s="17">
        <f t="shared" ca="1" si="16"/>
        <v>0</v>
      </c>
      <c r="L33" s="17">
        <f t="shared" ca="1" si="16"/>
        <v>0</v>
      </c>
      <c r="M33" s="17">
        <f t="shared" ca="1" si="16"/>
        <v>0</v>
      </c>
      <c r="N33" s="17">
        <f t="shared" ca="1" si="16"/>
        <v>0</v>
      </c>
      <c r="O33" s="17">
        <f t="shared" ca="1" si="16"/>
        <v>0</v>
      </c>
      <c r="P33" s="17">
        <f t="shared" ca="1" si="16"/>
        <v>0</v>
      </c>
      <c r="Q33" s="17">
        <f t="shared" ca="1" si="16"/>
        <v>0</v>
      </c>
      <c r="R33" s="17">
        <f t="shared" ca="1" si="16"/>
        <v>0</v>
      </c>
      <c r="S33" s="17">
        <f t="shared" ca="1" si="16"/>
        <v>0</v>
      </c>
      <c r="T33" s="17">
        <f t="shared" ca="1" si="16"/>
        <v>0</v>
      </c>
      <c r="U33" s="17">
        <f t="shared" ca="1" si="16"/>
        <v>0</v>
      </c>
      <c r="V33" s="17">
        <f t="shared" ca="1" si="16"/>
        <v>0</v>
      </c>
      <c r="W33" s="17">
        <f t="shared" ca="1" si="16"/>
        <v>0</v>
      </c>
      <c r="X33" s="17">
        <f t="shared" ca="1" si="16"/>
        <v>0</v>
      </c>
      <c r="Y33" s="17">
        <f t="shared" ca="1" si="16"/>
        <v>0</v>
      </c>
      <c r="Z33" s="17">
        <f t="shared" ca="1" si="16"/>
        <v>0</v>
      </c>
      <c r="AA33" s="17">
        <f t="shared" ca="1" si="16"/>
        <v>0</v>
      </c>
      <c r="AB33" s="17">
        <f t="shared" ca="1" si="16"/>
        <v>0</v>
      </c>
      <c r="AC33" s="17">
        <f t="shared" ca="1" si="16"/>
        <v>0</v>
      </c>
      <c r="AD33" s="17">
        <f t="shared" ca="1" si="16"/>
        <v>0</v>
      </c>
      <c r="AE33" s="17">
        <f t="shared" ca="1" si="16"/>
        <v>0</v>
      </c>
      <c r="AF33" s="17">
        <f t="shared" ca="1" si="16"/>
        <v>0</v>
      </c>
      <c r="AG33" s="17">
        <f t="shared" ca="1" si="16"/>
        <v>0</v>
      </c>
      <c r="AH33" s="17">
        <f t="shared" ca="1" si="16"/>
        <v>0</v>
      </c>
      <c r="AI33" s="17">
        <f t="shared" ca="1" si="16"/>
        <v>0</v>
      </c>
      <c r="AJ33" s="17">
        <f t="shared" ca="1" si="16"/>
        <v>0</v>
      </c>
      <c r="AK33" s="17">
        <f t="shared" ca="1" si="16"/>
        <v>0</v>
      </c>
      <c r="AL33" s="17">
        <f t="shared" ca="1" si="16"/>
        <v>0</v>
      </c>
      <c r="AM33" s="17">
        <f t="shared" ca="1" si="16"/>
        <v>0</v>
      </c>
      <c r="AN33" s="17">
        <f t="shared" ca="1" si="16"/>
        <v>0</v>
      </c>
      <c r="AO33" s="17">
        <f t="shared" ca="1" si="16"/>
        <v>0</v>
      </c>
      <c r="AP33" s="17">
        <f t="shared" ca="1" si="16"/>
        <v>0</v>
      </c>
      <c r="AQ33" s="17">
        <f t="shared" ca="1" si="16"/>
        <v>0</v>
      </c>
      <c r="AR33" s="17">
        <f t="shared" ca="1" si="16"/>
        <v>0</v>
      </c>
      <c r="AS33" s="17">
        <f t="shared" ca="1" si="16"/>
        <v>0</v>
      </c>
    </row>
    <row r="35" spans="2:45" x14ac:dyDescent="0.15">
      <c r="B35" s="1" t="s">
        <v>92</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row>
    <row r="36" spans="2:45" outlineLevel="1" x14ac:dyDescent="0.15"/>
    <row r="37" spans="2:45" outlineLevel="1" x14ac:dyDescent="0.15">
      <c r="B37" s="16" t="s">
        <v>92</v>
      </c>
      <c r="H37" s="155" t="s">
        <v>322</v>
      </c>
    </row>
    <row r="38" spans="2:45" outlineLevel="1" x14ac:dyDescent="0.15">
      <c r="B38" s="107" t="str">
        <f>B48</f>
        <v>Other Current Assets</v>
      </c>
      <c r="H38" s="80" t="s">
        <v>615</v>
      </c>
      <c r="J38" s="176">
        <v>0</v>
      </c>
      <c r="K38" s="176">
        <v>0</v>
      </c>
      <c r="L38" s="176">
        <v>0</v>
      </c>
      <c r="M38" s="176">
        <v>0</v>
      </c>
      <c r="N38" s="176">
        <v>0</v>
      </c>
      <c r="O38" s="176">
        <v>0</v>
      </c>
      <c r="P38" s="176">
        <v>0</v>
      </c>
      <c r="Q38" s="176">
        <v>0</v>
      </c>
      <c r="R38" s="176">
        <v>0</v>
      </c>
      <c r="S38" s="176">
        <v>0</v>
      </c>
      <c r="T38" s="176">
        <v>0</v>
      </c>
      <c r="U38" s="176">
        <v>0</v>
      </c>
      <c r="V38" s="176">
        <v>0</v>
      </c>
      <c r="W38" s="176">
        <v>0</v>
      </c>
      <c r="X38" s="176">
        <v>0</v>
      </c>
      <c r="Y38" s="176">
        <v>0</v>
      </c>
      <c r="Z38" s="176">
        <v>0</v>
      </c>
      <c r="AA38" s="176">
        <v>0</v>
      </c>
      <c r="AB38" s="176">
        <v>0</v>
      </c>
      <c r="AC38" s="176">
        <v>0</v>
      </c>
      <c r="AD38" s="176">
        <v>0</v>
      </c>
      <c r="AE38" s="176">
        <v>0</v>
      </c>
      <c r="AF38" s="176">
        <v>0</v>
      </c>
      <c r="AG38" s="176">
        <v>0</v>
      </c>
      <c r="AH38" s="176">
        <v>0</v>
      </c>
      <c r="AI38" s="176">
        <v>0</v>
      </c>
      <c r="AJ38" s="176">
        <v>0</v>
      </c>
      <c r="AK38" s="176">
        <v>0</v>
      </c>
      <c r="AL38" s="176">
        <v>0</v>
      </c>
      <c r="AM38" s="176">
        <v>0</v>
      </c>
      <c r="AN38" s="176">
        <v>0</v>
      </c>
      <c r="AO38" s="176">
        <v>0</v>
      </c>
      <c r="AP38" s="176">
        <v>0</v>
      </c>
      <c r="AQ38" s="176">
        <v>0</v>
      </c>
      <c r="AR38" s="176">
        <v>0</v>
      </c>
      <c r="AS38" s="176">
        <v>0</v>
      </c>
    </row>
    <row r="39" spans="2:45" ht="3" customHeight="1" outlineLevel="1" x14ac:dyDescent="0.15"/>
    <row r="40" spans="2:45" ht="3" customHeight="1" outlineLevel="1" x14ac:dyDescent="0.15"/>
    <row r="41" spans="2:45" hidden="1" outlineLevel="2" x14ac:dyDescent="0.15">
      <c r="B41" s="107" t="str">
        <f>B54</f>
        <v>Other Current Assets</v>
      </c>
      <c r="J41" s="158">
        <f t="shared" ref="J41:AS41" si="17">IF(J$8=1,$I54,I58)</f>
        <v>0</v>
      </c>
      <c r="K41" s="158">
        <f t="shared" si="17"/>
        <v>0</v>
      </c>
      <c r="L41" s="158">
        <f t="shared" si="17"/>
        <v>0</v>
      </c>
      <c r="M41" s="158">
        <f t="shared" si="17"/>
        <v>0</v>
      </c>
      <c r="N41" s="158">
        <f t="shared" si="17"/>
        <v>0</v>
      </c>
      <c r="O41" s="158">
        <f t="shared" si="17"/>
        <v>0</v>
      </c>
      <c r="P41" s="158">
        <f t="shared" si="17"/>
        <v>0</v>
      </c>
      <c r="Q41" s="158">
        <f t="shared" si="17"/>
        <v>0</v>
      </c>
      <c r="R41" s="158">
        <f t="shared" si="17"/>
        <v>0</v>
      </c>
      <c r="S41" s="158">
        <f t="shared" si="17"/>
        <v>0</v>
      </c>
      <c r="T41" s="158">
        <f t="shared" si="17"/>
        <v>0</v>
      </c>
      <c r="U41" s="158">
        <f t="shared" si="17"/>
        <v>0</v>
      </c>
      <c r="V41" s="158">
        <f t="shared" si="17"/>
        <v>0</v>
      </c>
      <c r="W41" s="158">
        <f t="shared" si="17"/>
        <v>0</v>
      </c>
      <c r="X41" s="158">
        <f t="shared" si="17"/>
        <v>0</v>
      </c>
      <c r="Y41" s="158">
        <f t="shared" si="17"/>
        <v>0</v>
      </c>
      <c r="Z41" s="158">
        <f t="shared" si="17"/>
        <v>0</v>
      </c>
      <c r="AA41" s="158">
        <f t="shared" si="17"/>
        <v>0</v>
      </c>
      <c r="AB41" s="158">
        <f t="shared" si="17"/>
        <v>0</v>
      </c>
      <c r="AC41" s="158">
        <f t="shared" si="17"/>
        <v>0</v>
      </c>
      <c r="AD41" s="158">
        <f t="shared" si="17"/>
        <v>0</v>
      </c>
      <c r="AE41" s="158">
        <f t="shared" si="17"/>
        <v>0</v>
      </c>
      <c r="AF41" s="158">
        <f t="shared" si="17"/>
        <v>0</v>
      </c>
      <c r="AG41" s="158">
        <f t="shared" si="17"/>
        <v>0</v>
      </c>
      <c r="AH41" s="158">
        <f t="shared" si="17"/>
        <v>0</v>
      </c>
      <c r="AI41" s="158">
        <f t="shared" si="17"/>
        <v>0</v>
      </c>
      <c r="AJ41" s="158">
        <f t="shared" si="17"/>
        <v>0</v>
      </c>
      <c r="AK41" s="158">
        <f t="shared" si="17"/>
        <v>0</v>
      </c>
      <c r="AL41" s="158">
        <f t="shared" si="17"/>
        <v>0</v>
      </c>
      <c r="AM41" s="158">
        <f t="shared" si="17"/>
        <v>0</v>
      </c>
      <c r="AN41" s="158">
        <f t="shared" si="17"/>
        <v>0</v>
      </c>
      <c r="AO41" s="158">
        <f t="shared" si="17"/>
        <v>0</v>
      </c>
      <c r="AP41" s="158">
        <f t="shared" si="17"/>
        <v>0</v>
      </c>
      <c r="AQ41" s="158">
        <f t="shared" si="17"/>
        <v>0</v>
      </c>
      <c r="AR41" s="158">
        <f t="shared" si="17"/>
        <v>0</v>
      </c>
      <c r="AS41" s="158">
        <f t="shared" si="17"/>
        <v>0</v>
      </c>
    </row>
    <row r="42" spans="2:45" hidden="1" outlineLevel="2" x14ac:dyDescent="0.15">
      <c r="B42" s="107" t="s">
        <v>375</v>
      </c>
      <c r="J42" s="81">
        <f t="shared" ref="J42:AS42" si="18">SUM(J41:J41)</f>
        <v>0</v>
      </c>
      <c r="K42" s="81">
        <f t="shared" si="18"/>
        <v>0</v>
      </c>
      <c r="L42" s="81">
        <f t="shared" si="18"/>
        <v>0</v>
      </c>
      <c r="M42" s="81">
        <f t="shared" si="18"/>
        <v>0</v>
      </c>
      <c r="N42" s="81">
        <f t="shared" si="18"/>
        <v>0</v>
      </c>
      <c r="O42" s="81">
        <f t="shared" si="18"/>
        <v>0</v>
      </c>
      <c r="P42" s="81">
        <f t="shared" si="18"/>
        <v>0</v>
      </c>
      <c r="Q42" s="81">
        <f t="shared" si="18"/>
        <v>0</v>
      </c>
      <c r="R42" s="81">
        <f t="shared" si="18"/>
        <v>0</v>
      </c>
      <c r="S42" s="81">
        <f t="shared" si="18"/>
        <v>0</v>
      </c>
      <c r="T42" s="81">
        <f t="shared" si="18"/>
        <v>0</v>
      </c>
      <c r="U42" s="81">
        <f t="shared" si="18"/>
        <v>0</v>
      </c>
      <c r="V42" s="81">
        <f t="shared" si="18"/>
        <v>0</v>
      </c>
      <c r="W42" s="81">
        <f t="shared" si="18"/>
        <v>0</v>
      </c>
      <c r="X42" s="81">
        <f t="shared" si="18"/>
        <v>0</v>
      </c>
      <c r="Y42" s="81">
        <f t="shared" si="18"/>
        <v>0</v>
      </c>
      <c r="Z42" s="81">
        <f t="shared" si="18"/>
        <v>0</v>
      </c>
      <c r="AA42" s="81">
        <f t="shared" si="18"/>
        <v>0</v>
      </c>
      <c r="AB42" s="81">
        <f t="shared" si="18"/>
        <v>0</v>
      </c>
      <c r="AC42" s="81">
        <f t="shared" si="18"/>
        <v>0</v>
      </c>
      <c r="AD42" s="81">
        <f t="shared" si="18"/>
        <v>0</v>
      </c>
      <c r="AE42" s="81">
        <f t="shared" si="18"/>
        <v>0</v>
      </c>
      <c r="AF42" s="81">
        <f t="shared" si="18"/>
        <v>0</v>
      </c>
      <c r="AG42" s="81">
        <f t="shared" si="18"/>
        <v>0</v>
      </c>
      <c r="AH42" s="81">
        <f t="shared" si="18"/>
        <v>0</v>
      </c>
      <c r="AI42" s="81">
        <f t="shared" si="18"/>
        <v>0</v>
      </c>
      <c r="AJ42" s="81">
        <f t="shared" si="18"/>
        <v>0</v>
      </c>
      <c r="AK42" s="81">
        <f t="shared" si="18"/>
        <v>0</v>
      </c>
      <c r="AL42" s="81">
        <f t="shared" si="18"/>
        <v>0</v>
      </c>
      <c r="AM42" s="81">
        <f t="shared" si="18"/>
        <v>0</v>
      </c>
      <c r="AN42" s="81">
        <f t="shared" si="18"/>
        <v>0</v>
      </c>
      <c r="AO42" s="81">
        <f t="shared" si="18"/>
        <v>0</v>
      </c>
      <c r="AP42" s="81">
        <f t="shared" si="18"/>
        <v>0</v>
      </c>
      <c r="AQ42" s="81">
        <f t="shared" si="18"/>
        <v>0</v>
      </c>
      <c r="AR42" s="81">
        <f t="shared" si="18"/>
        <v>0</v>
      </c>
      <c r="AS42" s="81">
        <f t="shared" si="18"/>
        <v>0</v>
      </c>
    </row>
    <row r="43" spans="2:45" ht="6" hidden="1" customHeight="1" outlineLevel="2" x14ac:dyDescent="0.15"/>
    <row r="44" spans="2:45" hidden="1" outlineLevel="2" x14ac:dyDescent="0.15">
      <c r="B44" s="107" t="str">
        <f>B54</f>
        <v>Other Current Assets</v>
      </c>
      <c r="J44" s="158">
        <f t="shared" ref="J44:AS44" si="19">J58-J41</f>
        <v>0</v>
      </c>
      <c r="K44" s="158">
        <f t="shared" si="19"/>
        <v>0</v>
      </c>
      <c r="L44" s="158">
        <f t="shared" si="19"/>
        <v>0</v>
      </c>
      <c r="M44" s="158">
        <f t="shared" si="19"/>
        <v>0</v>
      </c>
      <c r="N44" s="158">
        <f t="shared" si="19"/>
        <v>0</v>
      </c>
      <c r="O44" s="158">
        <f t="shared" si="19"/>
        <v>0</v>
      </c>
      <c r="P44" s="158">
        <f t="shared" si="19"/>
        <v>0</v>
      </c>
      <c r="Q44" s="158">
        <f t="shared" si="19"/>
        <v>0</v>
      </c>
      <c r="R44" s="158">
        <f t="shared" si="19"/>
        <v>0</v>
      </c>
      <c r="S44" s="158">
        <f t="shared" si="19"/>
        <v>0</v>
      </c>
      <c r="T44" s="158">
        <f t="shared" si="19"/>
        <v>0</v>
      </c>
      <c r="U44" s="158">
        <f t="shared" si="19"/>
        <v>0</v>
      </c>
      <c r="V44" s="158">
        <f t="shared" si="19"/>
        <v>0</v>
      </c>
      <c r="W44" s="158">
        <f t="shared" si="19"/>
        <v>0</v>
      </c>
      <c r="X44" s="158">
        <f t="shared" si="19"/>
        <v>0</v>
      </c>
      <c r="Y44" s="158">
        <f t="shared" si="19"/>
        <v>0</v>
      </c>
      <c r="Z44" s="158">
        <f t="shared" si="19"/>
        <v>0</v>
      </c>
      <c r="AA44" s="158">
        <f t="shared" si="19"/>
        <v>0</v>
      </c>
      <c r="AB44" s="158">
        <f t="shared" si="19"/>
        <v>0</v>
      </c>
      <c r="AC44" s="158">
        <f t="shared" si="19"/>
        <v>0</v>
      </c>
      <c r="AD44" s="158">
        <f t="shared" si="19"/>
        <v>0</v>
      </c>
      <c r="AE44" s="158">
        <f t="shared" si="19"/>
        <v>0</v>
      </c>
      <c r="AF44" s="158">
        <f t="shared" si="19"/>
        <v>0</v>
      </c>
      <c r="AG44" s="158">
        <f t="shared" si="19"/>
        <v>0</v>
      </c>
      <c r="AH44" s="158">
        <f t="shared" si="19"/>
        <v>0</v>
      </c>
      <c r="AI44" s="158">
        <f t="shared" si="19"/>
        <v>0</v>
      </c>
      <c r="AJ44" s="158">
        <f t="shared" si="19"/>
        <v>0</v>
      </c>
      <c r="AK44" s="158">
        <f t="shared" si="19"/>
        <v>0</v>
      </c>
      <c r="AL44" s="158">
        <f t="shared" si="19"/>
        <v>0</v>
      </c>
      <c r="AM44" s="158">
        <f t="shared" si="19"/>
        <v>0</v>
      </c>
      <c r="AN44" s="158">
        <f t="shared" si="19"/>
        <v>0</v>
      </c>
      <c r="AO44" s="158">
        <f t="shared" si="19"/>
        <v>0</v>
      </c>
      <c r="AP44" s="158">
        <f t="shared" si="19"/>
        <v>0</v>
      </c>
      <c r="AQ44" s="158">
        <f t="shared" si="19"/>
        <v>0</v>
      </c>
      <c r="AR44" s="158">
        <f t="shared" si="19"/>
        <v>0</v>
      </c>
      <c r="AS44" s="158">
        <f t="shared" si="19"/>
        <v>0</v>
      </c>
    </row>
    <row r="45" spans="2:45" hidden="1" outlineLevel="2" x14ac:dyDescent="0.15">
      <c r="B45" s="107" t="s">
        <v>616</v>
      </c>
      <c r="J45" s="81">
        <f t="shared" ref="J45:AS45" si="20">SUM(J44:J44)</f>
        <v>0</v>
      </c>
      <c r="K45" s="81">
        <f t="shared" si="20"/>
        <v>0</v>
      </c>
      <c r="L45" s="81">
        <f t="shared" si="20"/>
        <v>0</v>
      </c>
      <c r="M45" s="81">
        <f t="shared" si="20"/>
        <v>0</v>
      </c>
      <c r="N45" s="81">
        <f t="shared" si="20"/>
        <v>0</v>
      </c>
      <c r="O45" s="81">
        <f t="shared" si="20"/>
        <v>0</v>
      </c>
      <c r="P45" s="81">
        <f t="shared" si="20"/>
        <v>0</v>
      </c>
      <c r="Q45" s="81">
        <f t="shared" si="20"/>
        <v>0</v>
      </c>
      <c r="R45" s="81">
        <f t="shared" si="20"/>
        <v>0</v>
      </c>
      <c r="S45" s="81">
        <f t="shared" si="20"/>
        <v>0</v>
      </c>
      <c r="T45" s="81">
        <f t="shared" si="20"/>
        <v>0</v>
      </c>
      <c r="U45" s="81">
        <f t="shared" si="20"/>
        <v>0</v>
      </c>
      <c r="V45" s="81">
        <f t="shared" si="20"/>
        <v>0</v>
      </c>
      <c r="W45" s="81">
        <f t="shared" si="20"/>
        <v>0</v>
      </c>
      <c r="X45" s="81">
        <f t="shared" si="20"/>
        <v>0</v>
      </c>
      <c r="Y45" s="81">
        <f t="shared" si="20"/>
        <v>0</v>
      </c>
      <c r="Z45" s="81">
        <f t="shared" si="20"/>
        <v>0</v>
      </c>
      <c r="AA45" s="81">
        <f t="shared" si="20"/>
        <v>0</v>
      </c>
      <c r="AB45" s="81">
        <f t="shared" si="20"/>
        <v>0</v>
      </c>
      <c r="AC45" s="81">
        <f t="shared" si="20"/>
        <v>0</v>
      </c>
      <c r="AD45" s="81">
        <f t="shared" si="20"/>
        <v>0</v>
      </c>
      <c r="AE45" s="81">
        <f t="shared" si="20"/>
        <v>0</v>
      </c>
      <c r="AF45" s="81">
        <f t="shared" si="20"/>
        <v>0</v>
      </c>
      <c r="AG45" s="81">
        <f t="shared" si="20"/>
        <v>0</v>
      </c>
      <c r="AH45" s="81">
        <f t="shared" si="20"/>
        <v>0</v>
      </c>
      <c r="AI45" s="81">
        <f t="shared" si="20"/>
        <v>0</v>
      </c>
      <c r="AJ45" s="81">
        <f t="shared" si="20"/>
        <v>0</v>
      </c>
      <c r="AK45" s="81">
        <f t="shared" si="20"/>
        <v>0</v>
      </c>
      <c r="AL45" s="81">
        <f t="shared" si="20"/>
        <v>0</v>
      </c>
      <c r="AM45" s="81">
        <f t="shared" si="20"/>
        <v>0</v>
      </c>
      <c r="AN45" s="81">
        <f t="shared" si="20"/>
        <v>0</v>
      </c>
      <c r="AO45" s="81">
        <f t="shared" si="20"/>
        <v>0</v>
      </c>
      <c r="AP45" s="81">
        <f t="shared" si="20"/>
        <v>0</v>
      </c>
      <c r="AQ45" s="81">
        <f t="shared" si="20"/>
        <v>0</v>
      </c>
      <c r="AR45" s="81">
        <f t="shared" si="20"/>
        <v>0</v>
      </c>
      <c r="AS45" s="81">
        <f t="shared" si="20"/>
        <v>0</v>
      </c>
    </row>
    <row r="46" spans="2:45" ht="6" hidden="1" customHeight="1" outlineLevel="2" x14ac:dyDescent="0.15"/>
    <row r="47" spans="2:45" outlineLevel="1" collapsed="1" x14ac:dyDescent="0.15">
      <c r="B47" s="16" t="s">
        <v>617</v>
      </c>
      <c r="I47" s="159">
        <f>Ts_Start_Date</f>
        <v>45139</v>
      </c>
    </row>
    <row r="48" spans="2:45" outlineLevel="1" x14ac:dyDescent="0.15">
      <c r="B48" s="107" t="str">
        <f>B54</f>
        <v>Other Current Assets</v>
      </c>
      <c r="I48" s="161">
        <f>I54</f>
        <v>0</v>
      </c>
      <c r="J48" s="14">
        <f t="shared" ref="J48:AS48" si="21">I48+J38</f>
        <v>0</v>
      </c>
      <c r="K48" s="14">
        <f t="shared" si="21"/>
        <v>0</v>
      </c>
      <c r="L48" s="14">
        <f t="shared" si="21"/>
        <v>0</v>
      </c>
      <c r="M48" s="14">
        <f t="shared" si="21"/>
        <v>0</v>
      </c>
      <c r="N48" s="14">
        <f t="shared" si="21"/>
        <v>0</v>
      </c>
      <c r="O48" s="14">
        <f t="shared" si="21"/>
        <v>0</v>
      </c>
      <c r="P48" s="14">
        <f t="shared" si="21"/>
        <v>0</v>
      </c>
      <c r="Q48" s="14">
        <f t="shared" si="21"/>
        <v>0</v>
      </c>
      <c r="R48" s="14">
        <f t="shared" si="21"/>
        <v>0</v>
      </c>
      <c r="S48" s="14">
        <f t="shared" si="21"/>
        <v>0</v>
      </c>
      <c r="T48" s="14">
        <f t="shared" si="21"/>
        <v>0</v>
      </c>
      <c r="U48" s="14">
        <f t="shared" si="21"/>
        <v>0</v>
      </c>
      <c r="V48" s="14">
        <f t="shared" si="21"/>
        <v>0</v>
      </c>
      <c r="W48" s="14">
        <f t="shared" si="21"/>
        <v>0</v>
      </c>
      <c r="X48" s="14">
        <f t="shared" si="21"/>
        <v>0</v>
      </c>
      <c r="Y48" s="14">
        <f t="shared" si="21"/>
        <v>0</v>
      </c>
      <c r="Z48" s="14">
        <f t="shared" si="21"/>
        <v>0</v>
      </c>
      <c r="AA48" s="14">
        <f t="shared" si="21"/>
        <v>0</v>
      </c>
      <c r="AB48" s="14">
        <f t="shared" si="21"/>
        <v>0</v>
      </c>
      <c r="AC48" s="14">
        <f t="shared" si="21"/>
        <v>0</v>
      </c>
      <c r="AD48" s="14">
        <f t="shared" si="21"/>
        <v>0</v>
      </c>
      <c r="AE48" s="14">
        <f t="shared" si="21"/>
        <v>0</v>
      </c>
      <c r="AF48" s="14">
        <f t="shared" si="21"/>
        <v>0</v>
      </c>
      <c r="AG48" s="14">
        <f t="shared" si="21"/>
        <v>0</v>
      </c>
      <c r="AH48" s="14">
        <f t="shared" si="21"/>
        <v>0</v>
      </c>
      <c r="AI48" s="14">
        <f t="shared" si="21"/>
        <v>0</v>
      </c>
      <c r="AJ48" s="14">
        <f t="shared" si="21"/>
        <v>0</v>
      </c>
      <c r="AK48" s="14">
        <f t="shared" si="21"/>
        <v>0</v>
      </c>
      <c r="AL48" s="14">
        <f t="shared" si="21"/>
        <v>0</v>
      </c>
      <c r="AM48" s="14">
        <f t="shared" si="21"/>
        <v>0</v>
      </c>
      <c r="AN48" s="14">
        <f t="shared" si="21"/>
        <v>0</v>
      </c>
      <c r="AO48" s="14">
        <f t="shared" si="21"/>
        <v>0</v>
      </c>
      <c r="AP48" s="14">
        <f t="shared" si="21"/>
        <v>0</v>
      </c>
      <c r="AQ48" s="14">
        <f t="shared" si="21"/>
        <v>0</v>
      </c>
      <c r="AR48" s="14">
        <f t="shared" si="21"/>
        <v>0</v>
      </c>
      <c r="AS48" s="14">
        <f t="shared" si="21"/>
        <v>0</v>
      </c>
    </row>
    <row r="49" spans="2:45" outlineLevel="1" x14ac:dyDescent="0.15">
      <c r="B49" s="16" t="str">
        <f>"Total "&amp;B37</f>
        <v>Total Other Current Assets</v>
      </c>
      <c r="I49" s="18">
        <f ca="1">IF(ROWS(I$47:I$49)=2,0,SUM(OFFSET(I$47,1,0,ROWS(I$47:I$49)-2)))</f>
        <v>0</v>
      </c>
      <c r="J49" s="18">
        <f t="shared" ref="J49:AS49" ca="1" si="22">IF(ROWS(J$47:J$49)=2,0,SUM(OFFSET(J$47,1,0,ROWS(J$47:J$49)-2)))</f>
        <v>0</v>
      </c>
      <c r="K49" s="18">
        <f t="shared" ca="1" si="22"/>
        <v>0</v>
      </c>
      <c r="L49" s="18">
        <f t="shared" ca="1" si="22"/>
        <v>0</v>
      </c>
      <c r="M49" s="18">
        <f t="shared" ca="1" si="22"/>
        <v>0</v>
      </c>
      <c r="N49" s="18">
        <f t="shared" ca="1" si="22"/>
        <v>0</v>
      </c>
      <c r="O49" s="18">
        <f t="shared" ca="1" si="22"/>
        <v>0</v>
      </c>
      <c r="P49" s="18">
        <f t="shared" ca="1" si="22"/>
        <v>0</v>
      </c>
      <c r="Q49" s="18">
        <f t="shared" ca="1" si="22"/>
        <v>0</v>
      </c>
      <c r="R49" s="18">
        <f t="shared" ca="1" si="22"/>
        <v>0</v>
      </c>
      <c r="S49" s="18">
        <f t="shared" ca="1" si="22"/>
        <v>0</v>
      </c>
      <c r="T49" s="18">
        <f t="shared" ca="1" si="22"/>
        <v>0</v>
      </c>
      <c r="U49" s="18">
        <f t="shared" ca="1" si="22"/>
        <v>0</v>
      </c>
      <c r="V49" s="18">
        <f t="shared" ca="1" si="22"/>
        <v>0</v>
      </c>
      <c r="W49" s="18">
        <f t="shared" ca="1" si="22"/>
        <v>0</v>
      </c>
      <c r="X49" s="18">
        <f t="shared" ca="1" si="22"/>
        <v>0</v>
      </c>
      <c r="Y49" s="18">
        <f t="shared" ca="1" si="22"/>
        <v>0</v>
      </c>
      <c r="Z49" s="18">
        <f t="shared" ca="1" si="22"/>
        <v>0</v>
      </c>
      <c r="AA49" s="18">
        <f t="shared" ca="1" si="22"/>
        <v>0</v>
      </c>
      <c r="AB49" s="18">
        <f t="shared" ca="1" si="22"/>
        <v>0</v>
      </c>
      <c r="AC49" s="18">
        <f t="shared" ca="1" si="22"/>
        <v>0</v>
      </c>
      <c r="AD49" s="18">
        <f t="shared" ca="1" si="22"/>
        <v>0</v>
      </c>
      <c r="AE49" s="18">
        <f t="shared" ca="1" si="22"/>
        <v>0</v>
      </c>
      <c r="AF49" s="18">
        <f t="shared" ca="1" si="22"/>
        <v>0</v>
      </c>
      <c r="AG49" s="18">
        <f t="shared" ca="1" si="22"/>
        <v>0</v>
      </c>
      <c r="AH49" s="18">
        <f t="shared" ca="1" si="22"/>
        <v>0</v>
      </c>
      <c r="AI49" s="18">
        <f t="shared" ca="1" si="22"/>
        <v>0</v>
      </c>
      <c r="AJ49" s="18">
        <f t="shared" ca="1" si="22"/>
        <v>0</v>
      </c>
      <c r="AK49" s="18">
        <f t="shared" ca="1" si="22"/>
        <v>0</v>
      </c>
      <c r="AL49" s="18">
        <f t="shared" ca="1" si="22"/>
        <v>0</v>
      </c>
      <c r="AM49" s="18">
        <f t="shared" ca="1" si="22"/>
        <v>0</v>
      </c>
      <c r="AN49" s="18">
        <f t="shared" ca="1" si="22"/>
        <v>0</v>
      </c>
      <c r="AO49" s="18">
        <f t="shared" ca="1" si="22"/>
        <v>0</v>
      </c>
      <c r="AP49" s="18">
        <f t="shared" ca="1" si="22"/>
        <v>0</v>
      </c>
      <c r="AQ49" s="18">
        <f t="shared" ca="1" si="22"/>
        <v>0</v>
      </c>
      <c r="AR49" s="18">
        <f t="shared" ca="1" si="22"/>
        <v>0</v>
      </c>
      <c r="AS49" s="18">
        <f t="shared" ca="1" si="22"/>
        <v>0</v>
      </c>
    </row>
    <row r="50" spans="2:45" ht="6" customHeight="1" outlineLevel="1" x14ac:dyDescent="0.15"/>
    <row r="51" spans="2:45" outlineLevel="1" x14ac:dyDescent="0.15">
      <c r="B51" s="107" t="s">
        <v>618</v>
      </c>
      <c r="J51" s="81">
        <f t="shared" ref="J51:AS51" si="23">-J45</f>
        <v>0</v>
      </c>
      <c r="K51" s="81">
        <f t="shared" si="23"/>
        <v>0</v>
      </c>
      <c r="L51" s="81">
        <f t="shared" si="23"/>
        <v>0</v>
      </c>
      <c r="M51" s="81">
        <f t="shared" si="23"/>
        <v>0</v>
      </c>
      <c r="N51" s="81">
        <f t="shared" si="23"/>
        <v>0</v>
      </c>
      <c r="O51" s="81">
        <f t="shared" si="23"/>
        <v>0</v>
      </c>
      <c r="P51" s="81">
        <f t="shared" si="23"/>
        <v>0</v>
      </c>
      <c r="Q51" s="81">
        <f t="shared" si="23"/>
        <v>0</v>
      </c>
      <c r="R51" s="81">
        <f t="shared" si="23"/>
        <v>0</v>
      </c>
      <c r="S51" s="81">
        <f t="shared" si="23"/>
        <v>0</v>
      </c>
      <c r="T51" s="81">
        <f t="shared" si="23"/>
        <v>0</v>
      </c>
      <c r="U51" s="81">
        <f t="shared" si="23"/>
        <v>0</v>
      </c>
      <c r="V51" s="81">
        <f t="shared" si="23"/>
        <v>0</v>
      </c>
      <c r="W51" s="81">
        <f t="shared" si="23"/>
        <v>0</v>
      </c>
      <c r="X51" s="81">
        <f t="shared" si="23"/>
        <v>0</v>
      </c>
      <c r="Y51" s="81">
        <f t="shared" si="23"/>
        <v>0</v>
      </c>
      <c r="Z51" s="81">
        <f t="shared" si="23"/>
        <v>0</v>
      </c>
      <c r="AA51" s="81">
        <f t="shared" si="23"/>
        <v>0</v>
      </c>
      <c r="AB51" s="81">
        <f t="shared" si="23"/>
        <v>0</v>
      </c>
      <c r="AC51" s="81">
        <f t="shared" si="23"/>
        <v>0</v>
      </c>
      <c r="AD51" s="81">
        <f t="shared" si="23"/>
        <v>0</v>
      </c>
      <c r="AE51" s="81">
        <f t="shared" si="23"/>
        <v>0</v>
      </c>
      <c r="AF51" s="81">
        <f t="shared" si="23"/>
        <v>0</v>
      </c>
      <c r="AG51" s="81">
        <f t="shared" si="23"/>
        <v>0</v>
      </c>
      <c r="AH51" s="81">
        <f t="shared" si="23"/>
        <v>0</v>
      </c>
      <c r="AI51" s="81">
        <f t="shared" si="23"/>
        <v>0</v>
      </c>
      <c r="AJ51" s="81">
        <f t="shared" si="23"/>
        <v>0</v>
      </c>
      <c r="AK51" s="81">
        <f t="shared" si="23"/>
        <v>0</v>
      </c>
      <c r="AL51" s="81">
        <f t="shared" si="23"/>
        <v>0</v>
      </c>
      <c r="AM51" s="81">
        <f t="shared" si="23"/>
        <v>0</v>
      </c>
      <c r="AN51" s="81">
        <f t="shared" si="23"/>
        <v>0</v>
      </c>
      <c r="AO51" s="81">
        <f t="shared" si="23"/>
        <v>0</v>
      </c>
      <c r="AP51" s="81">
        <f t="shared" si="23"/>
        <v>0</v>
      </c>
      <c r="AQ51" s="81">
        <f t="shared" si="23"/>
        <v>0</v>
      </c>
      <c r="AR51" s="81">
        <f t="shared" si="23"/>
        <v>0</v>
      </c>
      <c r="AS51" s="81">
        <f t="shared" si="23"/>
        <v>0</v>
      </c>
    </row>
    <row r="52" spans="2:45" ht="6" customHeight="1" outlineLevel="1" x14ac:dyDescent="0.15"/>
    <row r="53" spans="2:45" hidden="1" outlineLevel="2" x14ac:dyDescent="0.15">
      <c r="B53" s="16" t="s">
        <v>619</v>
      </c>
      <c r="I53" s="159">
        <f>Ts_Start_Date</f>
        <v>45139</v>
      </c>
    </row>
    <row r="54" spans="2:45" ht="12" hidden="1" customHeight="1" outlineLevel="2" x14ac:dyDescent="0.15">
      <c r="B54" s="339" t="str">
        <f>OBS!B14</f>
        <v>Other Current Assets</v>
      </c>
      <c r="C54" s="339"/>
      <c r="D54" s="339"/>
      <c r="E54" s="339"/>
      <c r="F54" s="339"/>
      <c r="G54" s="339"/>
      <c r="I54" s="161">
        <f>OBS!J14</f>
        <v>0</v>
      </c>
    </row>
    <row r="55" spans="2:45" ht="12" hidden="1" customHeight="1" outlineLevel="2" x14ac:dyDescent="0.15">
      <c r="B55" s="341" t="str">
        <f>"Total "&amp;B53</f>
        <v>Total Opening Other Current Assets</v>
      </c>
      <c r="C55" s="341"/>
      <c r="D55" s="341"/>
      <c r="E55" s="341"/>
      <c r="F55" s="341"/>
      <c r="G55" s="341"/>
      <c r="I55" s="160">
        <f>SUM(I54:I54)</f>
        <v>0</v>
      </c>
    </row>
    <row r="56" spans="2:45" ht="6" hidden="1" customHeight="1" outlineLevel="2" x14ac:dyDescent="0.15"/>
    <row r="57" spans="2:45" hidden="1" outlineLevel="2" x14ac:dyDescent="0.15">
      <c r="B57" s="16" t="str">
        <f>B37</f>
        <v>Other Current Assets</v>
      </c>
    </row>
    <row r="58" spans="2:45" hidden="1" outlineLevel="2" x14ac:dyDescent="0.15">
      <c r="B58" s="107" t="str">
        <f>B54</f>
        <v>Other Current Assets</v>
      </c>
      <c r="J58" s="14">
        <f t="shared" ref="J58:AS58" si="24">J48</f>
        <v>0</v>
      </c>
      <c r="K58" s="14">
        <f t="shared" si="24"/>
        <v>0</v>
      </c>
      <c r="L58" s="14">
        <f t="shared" si="24"/>
        <v>0</v>
      </c>
      <c r="M58" s="14">
        <f t="shared" si="24"/>
        <v>0</v>
      </c>
      <c r="N58" s="14">
        <f t="shared" si="24"/>
        <v>0</v>
      </c>
      <c r="O58" s="14">
        <f t="shared" si="24"/>
        <v>0</v>
      </c>
      <c r="P58" s="14">
        <f t="shared" si="24"/>
        <v>0</v>
      </c>
      <c r="Q58" s="14">
        <f t="shared" si="24"/>
        <v>0</v>
      </c>
      <c r="R58" s="14">
        <f t="shared" si="24"/>
        <v>0</v>
      </c>
      <c r="S58" s="14">
        <f t="shared" si="24"/>
        <v>0</v>
      </c>
      <c r="T58" s="14">
        <f t="shared" si="24"/>
        <v>0</v>
      </c>
      <c r="U58" s="14">
        <f t="shared" si="24"/>
        <v>0</v>
      </c>
      <c r="V58" s="14">
        <f t="shared" si="24"/>
        <v>0</v>
      </c>
      <c r="W58" s="14">
        <f t="shared" si="24"/>
        <v>0</v>
      </c>
      <c r="X58" s="14">
        <f t="shared" si="24"/>
        <v>0</v>
      </c>
      <c r="Y58" s="14">
        <f t="shared" si="24"/>
        <v>0</v>
      </c>
      <c r="Z58" s="14">
        <f t="shared" si="24"/>
        <v>0</v>
      </c>
      <c r="AA58" s="14">
        <f t="shared" si="24"/>
        <v>0</v>
      </c>
      <c r="AB58" s="14">
        <f t="shared" si="24"/>
        <v>0</v>
      </c>
      <c r="AC58" s="14">
        <f t="shared" si="24"/>
        <v>0</v>
      </c>
      <c r="AD58" s="14">
        <f t="shared" si="24"/>
        <v>0</v>
      </c>
      <c r="AE58" s="14">
        <f t="shared" si="24"/>
        <v>0</v>
      </c>
      <c r="AF58" s="14">
        <f t="shared" si="24"/>
        <v>0</v>
      </c>
      <c r="AG58" s="14">
        <f t="shared" si="24"/>
        <v>0</v>
      </c>
      <c r="AH58" s="14">
        <f t="shared" si="24"/>
        <v>0</v>
      </c>
      <c r="AI58" s="14">
        <f t="shared" si="24"/>
        <v>0</v>
      </c>
      <c r="AJ58" s="14">
        <f t="shared" si="24"/>
        <v>0</v>
      </c>
      <c r="AK58" s="14">
        <f t="shared" si="24"/>
        <v>0</v>
      </c>
      <c r="AL58" s="14">
        <f t="shared" si="24"/>
        <v>0</v>
      </c>
      <c r="AM58" s="14">
        <f t="shared" si="24"/>
        <v>0</v>
      </c>
      <c r="AN58" s="14">
        <f t="shared" si="24"/>
        <v>0</v>
      </c>
      <c r="AO58" s="14">
        <f t="shared" si="24"/>
        <v>0</v>
      </c>
      <c r="AP58" s="14">
        <f t="shared" si="24"/>
        <v>0</v>
      </c>
      <c r="AQ58" s="14">
        <f t="shared" si="24"/>
        <v>0</v>
      </c>
      <c r="AR58" s="14">
        <f t="shared" si="24"/>
        <v>0</v>
      </c>
      <c r="AS58" s="14">
        <f t="shared" si="24"/>
        <v>0</v>
      </c>
    </row>
    <row r="59" spans="2:45" hidden="1" outlineLevel="2" x14ac:dyDescent="0.15">
      <c r="B59" s="16" t="str">
        <f>B49</f>
        <v>Total Other Current Assets</v>
      </c>
      <c r="J59" s="18">
        <f t="shared" ref="J59:AS59" si="25">SUM(J58:J58)</f>
        <v>0</v>
      </c>
      <c r="K59" s="18">
        <f t="shared" si="25"/>
        <v>0</v>
      </c>
      <c r="L59" s="18">
        <f t="shared" si="25"/>
        <v>0</v>
      </c>
      <c r="M59" s="18">
        <f t="shared" si="25"/>
        <v>0</v>
      </c>
      <c r="N59" s="18">
        <f t="shared" si="25"/>
        <v>0</v>
      </c>
      <c r="O59" s="18">
        <f t="shared" si="25"/>
        <v>0</v>
      </c>
      <c r="P59" s="18">
        <f t="shared" si="25"/>
        <v>0</v>
      </c>
      <c r="Q59" s="18">
        <f t="shared" si="25"/>
        <v>0</v>
      </c>
      <c r="R59" s="18">
        <f t="shared" si="25"/>
        <v>0</v>
      </c>
      <c r="S59" s="18">
        <f t="shared" si="25"/>
        <v>0</v>
      </c>
      <c r="T59" s="18">
        <f t="shared" si="25"/>
        <v>0</v>
      </c>
      <c r="U59" s="18">
        <f t="shared" si="25"/>
        <v>0</v>
      </c>
      <c r="V59" s="18">
        <f t="shared" si="25"/>
        <v>0</v>
      </c>
      <c r="W59" s="18">
        <f t="shared" si="25"/>
        <v>0</v>
      </c>
      <c r="X59" s="18">
        <f t="shared" si="25"/>
        <v>0</v>
      </c>
      <c r="Y59" s="18">
        <f t="shared" si="25"/>
        <v>0</v>
      </c>
      <c r="Z59" s="18">
        <f t="shared" si="25"/>
        <v>0</v>
      </c>
      <c r="AA59" s="18">
        <f t="shared" si="25"/>
        <v>0</v>
      </c>
      <c r="AB59" s="18">
        <f t="shared" si="25"/>
        <v>0</v>
      </c>
      <c r="AC59" s="18">
        <f t="shared" si="25"/>
        <v>0</v>
      </c>
      <c r="AD59" s="18">
        <f t="shared" si="25"/>
        <v>0</v>
      </c>
      <c r="AE59" s="18">
        <f t="shared" si="25"/>
        <v>0</v>
      </c>
      <c r="AF59" s="18">
        <f t="shared" si="25"/>
        <v>0</v>
      </c>
      <c r="AG59" s="18">
        <f t="shared" si="25"/>
        <v>0</v>
      </c>
      <c r="AH59" s="18">
        <f t="shared" si="25"/>
        <v>0</v>
      </c>
      <c r="AI59" s="18">
        <f t="shared" si="25"/>
        <v>0</v>
      </c>
      <c r="AJ59" s="18">
        <f t="shared" si="25"/>
        <v>0</v>
      </c>
      <c r="AK59" s="18">
        <f t="shared" si="25"/>
        <v>0</v>
      </c>
      <c r="AL59" s="18">
        <f t="shared" si="25"/>
        <v>0</v>
      </c>
      <c r="AM59" s="18">
        <f t="shared" si="25"/>
        <v>0</v>
      </c>
      <c r="AN59" s="18">
        <f t="shared" si="25"/>
        <v>0</v>
      </c>
      <c r="AO59" s="18">
        <f t="shared" si="25"/>
        <v>0</v>
      </c>
      <c r="AP59" s="18">
        <f t="shared" si="25"/>
        <v>0</v>
      </c>
      <c r="AQ59" s="18">
        <f t="shared" si="25"/>
        <v>0</v>
      </c>
      <c r="AR59" s="18">
        <f t="shared" si="25"/>
        <v>0</v>
      </c>
      <c r="AS59" s="18">
        <f t="shared" si="25"/>
        <v>0</v>
      </c>
    </row>
    <row r="60" spans="2:45" ht="6" hidden="1" customHeight="1" outlineLevel="2" x14ac:dyDescent="0.15"/>
    <row r="61" spans="2:45" hidden="1" outlineLevel="2" x14ac:dyDescent="0.15">
      <c r="C61" s="107" t="s">
        <v>192</v>
      </c>
      <c r="J61" s="17">
        <f t="shared" ref="J61:AS61" ca="1" si="26">IF(ISERROR(J49-J59),1,0)</f>
        <v>0</v>
      </c>
      <c r="K61" s="17">
        <f t="shared" ca="1" si="26"/>
        <v>0</v>
      </c>
      <c r="L61" s="17">
        <f t="shared" ca="1" si="26"/>
        <v>0</v>
      </c>
      <c r="M61" s="17">
        <f t="shared" ca="1" si="26"/>
        <v>0</v>
      </c>
      <c r="N61" s="17">
        <f t="shared" ca="1" si="26"/>
        <v>0</v>
      </c>
      <c r="O61" s="17">
        <f t="shared" ca="1" si="26"/>
        <v>0</v>
      </c>
      <c r="P61" s="17">
        <f t="shared" ca="1" si="26"/>
        <v>0</v>
      </c>
      <c r="Q61" s="17">
        <f t="shared" ca="1" si="26"/>
        <v>0</v>
      </c>
      <c r="R61" s="17">
        <f t="shared" ca="1" si="26"/>
        <v>0</v>
      </c>
      <c r="S61" s="17">
        <f t="shared" ca="1" si="26"/>
        <v>0</v>
      </c>
      <c r="T61" s="17">
        <f t="shared" ca="1" si="26"/>
        <v>0</v>
      </c>
      <c r="U61" s="17">
        <f t="shared" ca="1" si="26"/>
        <v>0</v>
      </c>
      <c r="V61" s="17">
        <f t="shared" ca="1" si="26"/>
        <v>0</v>
      </c>
      <c r="W61" s="17">
        <f t="shared" ca="1" si="26"/>
        <v>0</v>
      </c>
      <c r="X61" s="17">
        <f t="shared" ca="1" si="26"/>
        <v>0</v>
      </c>
      <c r="Y61" s="17">
        <f t="shared" ca="1" si="26"/>
        <v>0</v>
      </c>
      <c r="Z61" s="17">
        <f t="shared" ca="1" si="26"/>
        <v>0</v>
      </c>
      <c r="AA61" s="17">
        <f t="shared" ca="1" si="26"/>
        <v>0</v>
      </c>
      <c r="AB61" s="17">
        <f t="shared" ca="1" si="26"/>
        <v>0</v>
      </c>
      <c r="AC61" s="17">
        <f t="shared" ca="1" si="26"/>
        <v>0</v>
      </c>
      <c r="AD61" s="17">
        <f t="shared" ca="1" si="26"/>
        <v>0</v>
      </c>
      <c r="AE61" s="17">
        <f t="shared" ca="1" si="26"/>
        <v>0</v>
      </c>
      <c r="AF61" s="17">
        <f t="shared" ca="1" si="26"/>
        <v>0</v>
      </c>
      <c r="AG61" s="17">
        <f t="shared" ca="1" si="26"/>
        <v>0</v>
      </c>
      <c r="AH61" s="17">
        <f t="shared" ca="1" si="26"/>
        <v>0</v>
      </c>
      <c r="AI61" s="17">
        <f t="shared" ca="1" si="26"/>
        <v>0</v>
      </c>
      <c r="AJ61" s="17">
        <f t="shared" ca="1" si="26"/>
        <v>0</v>
      </c>
      <c r="AK61" s="17">
        <f t="shared" ca="1" si="26"/>
        <v>0</v>
      </c>
      <c r="AL61" s="17">
        <f t="shared" ca="1" si="26"/>
        <v>0</v>
      </c>
      <c r="AM61" s="17">
        <f t="shared" ca="1" si="26"/>
        <v>0</v>
      </c>
      <c r="AN61" s="17">
        <f t="shared" ca="1" si="26"/>
        <v>0</v>
      </c>
      <c r="AO61" s="17">
        <f t="shared" ca="1" si="26"/>
        <v>0</v>
      </c>
      <c r="AP61" s="17">
        <f t="shared" ca="1" si="26"/>
        <v>0</v>
      </c>
      <c r="AQ61" s="17">
        <f t="shared" ca="1" si="26"/>
        <v>0</v>
      </c>
      <c r="AR61" s="17">
        <f t="shared" ca="1" si="26"/>
        <v>0</v>
      </c>
      <c r="AS61" s="17">
        <f t="shared" ca="1" si="26"/>
        <v>0</v>
      </c>
    </row>
    <row r="62" spans="2:45" hidden="1" outlineLevel="2" x14ac:dyDescent="0.15">
      <c r="C62" s="107" t="s">
        <v>334</v>
      </c>
      <c r="J62" s="42">
        <f t="shared" ref="J62:AS62" ca="1" si="27">IF(J61&lt;&gt;0,0,IF(ROUND(J49-J59,5)&lt;&gt;0,1,0))</f>
        <v>0</v>
      </c>
      <c r="K62" s="42">
        <f t="shared" ca="1" si="27"/>
        <v>0</v>
      </c>
      <c r="L62" s="42">
        <f t="shared" ca="1" si="27"/>
        <v>0</v>
      </c>
      <c r="M62" s="42">
        <f t="shared" ca="1" si="27"/>
        <v>0</v>
      </c>
      <c r="N62" s="42">
        <f t="shared" ca="1" si="27"/>
        <v>0</v>
      </c>
      <c r="O62" s="42">
        <f t="shared" ca="1" si="27"/>
        <v>0</v>
      </c>
      <c r="P62" s="42">
        <f t="shared" ca="1" si="27"/>
        <v>0</v>
      </c>
      <c r="Q62" s="42">
        <f t="shared" ca="1" si="27"/>
        <v>0</v>
      </c>
      <c r="R62" s="42">
        <f t="shared" ca="1" si="27"/>
        <v>0</v>
      </c>
      <c r="S62" s="42">
        <f t="shared" ca="1" si="27"/>
        <v>0</v>
      </c>
      <c r="T62" s="42">
        <f t="shared" ca="1" si="27"/>
        <v>0</v>
      </c>
      <c r="U62" s="42">
        <f t="shared" ca="1" si="27"/>
        <v>0</v>
      </c>
      <c r="V62" s="42">
        <f t="shared" ca="1" si="27"/>
        <v>0</v>
      </c>
      <c r="W62" s="42">
        <f t="shared" ca="1" si="27"/>
        <v>0</v>
      </c>
      <c r="X62" s="42">
        <f t="shared" ca="1" si="27"/>
        <v>0</v>
      </c>
      <c r="Y62" s="42">
        <f t="shared" ca="1" si="27"/>
        <v>0</v>
      </c>
      <c r="Z62" s="42">
        <f t="shared" ca="1" si="27"/>
        <v>0</v>
      </c>
      <c r="AA62" s="42">
        <f t="shared" ca="1" si="27"/>
        <v>0</v>
      </c>
      <c r="AB62" s="42">
        <f t="shared" ca="1" si="27"/>
        <v>0</v>
      </c>
      <c r="AC62" s="42">
        <f t="shared" ca="1" si="27"/>
        <v>0</v>
      </c>
      <c r="AD62" s="42">
        <f t="shared" ca="1" si="27"/>
        <v>0</v>
      </c>
      <c r="AE62" s="42">
        <f t="shared" ca="1" si="27"/>
        <v>0</v>
      </c>
      <c r="AF62" s="42">
        <f t="shared" ca="1" si="27"/>
        <v>0</v>
      </c>
      <c r="AG62" s="42">
        <f t="shared" ca="1" si="27"/>
        <v>0</v>
      </c>
      <c r="AH62" s="42">
        <f t="shared" ca="1" si="27"/>
        <v>0</v>
      </c>
      <c r="AI62" s="42">
        <f t="shared" ca="1" si="27"/>
        <v>0</v>
      </c>
      <c r="AJ62" s="42">
        <f t="shared" ca="1" si="27"/>
        <v>0</v>
      </c>
      <c r="AK62" s="42">
        <f t="shared" ca="1" si="27"/>
        <v>0</v>
      </c>
      <c r="AL62" s="42">
        <f t="shared" ca="1" si="27"/>
        <v>0</v>
      </c>
      <c r="AM62" s="42">
        <f t="shared" ca="1" si="27"/>
        <v>0</v>
      </c>
      <c r="AN62" s="42">
        <f t="shared" ca="1" si="27"/>
        <v>0</v>
      </c>
      <c r="AO62" s="42">
        <f t="shared" ca="1" si="27"/>
        <v>0</v>
      </c>
      <c r="AP62" s="42">
        <f t="shared" ca="1" si="27"/>
        <v>0</v>
      </c>
      <c r="AQ62" s="42">
        <f t="shared" ca="1" si="27"/>
        <v>0</v>
      </c>
      <c r="AR62" s="42">
        <f t="shared" ca="1" si="27"/>
        <v>0</v>
      </c>
      <c r="AS62" s="42">
        <f t="shared" ca="1" si="27"/>
        <v>0</v>
      </c>
    </row>
    <row r="63" spans="2:45" outlineLevel="1" collapsed="1" x14ac:dyDescent="0.15">
      <c r="B63" s="107" t="s">
        <v>335</v>
      </c>
      <c r="I63" s="22">
        <f ca="1">IF(ISERROR(SUM(J63:AS63)),1,MIN(SUM(J63:AS63),1))</f>
        <v>0</v>
      </c>
      <c r="J63" s="17">
        <f t="shared" ref="J63:AS63" ca="1" si="28">MIN(SUM(J61:J62),1)</f>
        <v>0</v>
      </c>
      <c r="K63" s="17">
        <f t="shared" ca="1" si="28"/>
        <v>0</v>
      </c>
      <c r="L63" s="17">
        <f t="shared" ca="1" si="28"/>
        <v>0</v>
      </c>
      <c r="M63" s="17">
        <f t="shared" ca="1" si="28"/>
        <v>0</v>
      </c>
      <c r="N63" s="17">
        <f t="shared" ca="1" si="28"/>
        <v>0</v>
      </c>
      <c r="O63" s="17">
        <f t="shared" ca="1" si="28"/>
        <v>0</v>
      </c>
      <c r="P63" s="17">
        <f t="shared" ca="1" si="28"/>
        <v>0</v>
      </c>
      <c r="Q63" s="17">
        <f t="shared" ca="1" si="28"/>
        <v>0</v>
      </c>
      <c r="R63" s="17">
        <f t="shared" ca="1" si="28"/>
        <v>0</v>
      </c>
      <c r="S63" s="17">
        <f t="shared" ca="1" si="28"/>
        <v>0</v>
      </c>
      <c r="T63" s="17">
        <f t="shared" ca="1" si="28"/>
        <v>0</v>
      </c>
      <c r="U63" s="17">
        <f t="shared" ca="1" si="28"/>
        <v>0</v>
      </c>
      <c r="V63" s="17">
        <f t="shared" ca="1" si="28"/>
        <v>0</v>
      </c>
      <c r="W63" s="17">
        <f t="shared" ca="1" si="28"/>
        <v>0</v>
      </c>
      <c r="X63" s="17">
        <f t="shared" ca="1" si="28"/>
        <v>0</v>
      </c>
      <c r="Y63" s="17">
        <f t="shared" ca="1" si="28"/>
        <v>0</v>
      </c>
      <c r="Z63" s="17">
        <f t="shared" ca="1" si="28"/>
        <v>0</v>
      </c>
      <c r="AA63" s="17">
        <f t="shared" ca="1" si="28"/>
        <v>0</v>
      </c>
      <c r="AB63" s="17">
        <f t="shared" ca="1" si="28"/>
        <v>0</v>
      </c>
      <c r="AC63" s="17">
        <f t="shared" ca="1" si="28"/>
        <v>0</v>
      </c>
      <c r="AD63" s="17">
        <f t="shared" ca="1" si="28"/>
        <v>0</v>
      </c>
      <c r="AE63" s="17">
        <f t="shared" ca="1" si="28"/>
        <v>0</v>
      </c>
      <c r="AF63" s="17">
        <f t="shared" ca="1" si="28"/>
        <v>0</v>
      </c>
      <c r="AG63" s="17">
        <f t="shared" ca="1" si="28"/>
        <v>0</v>
      </c>
      <c r="AH63" s="17">
        <f t="shared" ca="1" si="28"/>
        <v>0</v>
      </c>
      <c r="AI63" s="17">
        <f t="shared" ca="1" si="28"/>
        <v>0</v>
      </c>
      <c r="AJ63" s="17">
        <f t="shared" ca="1" si="28"/>
        <v>0</v>
      </c>
      <c r="AK63" s="17">
        <f t="shared" ca="1" si="28"/>
        <v>0</v>
      </c>
      <c r="AL63" s="17">
        <f t="shared" ca="1" si="28"/>
        <v>0</v>
      </c>
      <c r="AM63" s="17">
        <f t="shared" ca="1" si="28"/>
        <v>0</v>
      </c>
      <c r="AN63" s="17">
        <f t="shared" ca="1" si="28"/>
        <v>0</v>
      </c>
      <c r="AO63" s="17">
        <f t="shared" ca="1" si="28"/>
        <v>0</v>
      </c>
      <c r="AP63" s="17">
        <f t="shared" ca="1" si="28"/>
        <v>0</v>
      </c>
      <c r="AQ63" s="17">
        <f t="shared" ca="1" si="28"/>
        <v>0</v>
      </c>
      <c r="AR63" s="17">
        <f t="shared" ca="1" si="28"/>
        <v>0</v>
      </c>
      <c r="AS63" s="17">
        <f t="shared" ca="1" si="28"/>
        <v>0</v>
      </c>
    </row>
    <row r="65" spans="2:45" x14ac:dyDescent="0.15">
      <c r="B65" s="1" t="s">
        <v>95</v>
      </c>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row>
    <row r="66" spans="2:45" outlineLevel="1" x14ac:dyDescent="0.15"/>
    <row r="67" spans="2:45" outlineLevel="1" x14ac:dyDescent="0.15">
      <c r="B67" s="16" t="s">
        <v>95</v>
      </c>
      <c r="H67" s="155" t="s">
        <v>322</v>
      </c>
    </row>
    <row r="68" spans="2:45" outlineLevel="1" x14ac:dyDescent="0.15">
      <c r="B68" s="107" t="str">
        <f>B78</f>
        <v>Other Non-Current Assets</v>
      </c>
      <c r="H68" s="80" t="s">
        <v>615</v>
      </c>
      <c r="J68" s="176">
        <v>0</v>
      </c>
      <c r="K68" s="176">
        <v>0</v>
      </c>
      <c r="L68" s="176">
        <v>0</v>
      </c>
      <c r="M68" s="176">
        <v>0</v>
      </c>
      <c r="N68" s="176">
        <v>0</v>
      </c>
      <c r="O68" s="176">
        <v>0</v>
      </c>
      <c r="P68" s="176">
        <v>0</v>
      </c>
      <c r="Q68" s="176">
        <v>0</v>
      </c>
      <c r="R68" s="176">
        <v>0</v>
      </c>
      <c r="S68" s="176">
        <v>0</v>
      </c>
      <c r="T68" s="176">
        <v>0</v>
      </c>
      <c r="U68" s="176">
        <v>0</v>
      </c>
      <c r="V68" s="176">
        <v>0</v>
      </c>
      <c r="W68" s="176">
        <v>0</v>
      </c>
      <c r="X68" s="176">
        <v>0</v>
      </c>
      <c r="Y68" s="176">
        <v>0</v>
      </c>
      <c r="Z68" s="176">
        <v>0</v>
      </c>
      <c r="AA68" s="176">
        <v>0</v>
      </c>
      <c r="AB68" s="176">
        <v>0</v>
      </c>
      <c r="AC68" s="176">
        <v>0</v>
      </c>
      <c r="AD68" s="176">
        <v>0</v>
      </c>
      <c r="AE68" s="176">
        <v>0</v>
      </c>
      <c r="AF68" s="176">
        <v>0</v>
      </c>
      <c r="AG68" s="176">
        <v>0</v>
      </c>
      <c r="AH68" s="176">
        <v>0</v>
      </c>
      <c r="AI68" s="176">
        <v>0</v>
      </c>
      <c r="AJ68" s="176">
        <v>0</v>
      </c>
      <c r="AK68" s="176">
        <v>0</v>
      </c>
      <c r="AL68" s="176">
        <v>0</v>
      </c>
      <c r="AM68" s="176">
        <v>0</v>
      </c>
      <c r="AN68" s="176">
        <v>0</v>
      </c>
      <c r="AO68" s="176">
        <v>0</v>
      </c>
      <c r="AP68" s="176">
        <v>0</v>
      </c>
      <c r="AQ68" s="176">
        <v>0</v>
      </c>
      <c r="AR68" s="176">
        <v>0</v>
      </c>
      <c r="AS68" s="176">
        <v>0</v>
      </c>
    </row>
    <row r="69" spans="2:45" ht="3" customHeight="1" outlineLevel="1" x14ac:dyDescent="0.15"/>
    <row r="70" spans="2:45" ht="3" customHeight="1" outlineLevel="1" x14ac:dyDescent="0.15"/>
    <row r="71" spans="2:45" hidden="1" outlineLevel="2" x14ac:dyDescent="0.15">
      <c r="B71" s="107" t="str">
        <f>B84</f>
        <v>Other Non-Current Assets</v>
      </c>
      <c r="J71" s="158">
        <f t="shared" ref="J71:AS71" si="29">IF(J$8=1,$I84,I88)</f>
        <v>0</v>
      </c>
      <c r="K71" s="158">
        <f t="shared" si="29"/>
        <v>0</v>
      </c>
      <c r="L71" s="158">
        <f t="shared" si="29"/>
        <v>0</v>
      </c>
      <c r="M71" s="158">
        <f t="shared" si="29"/>
        <v>0</v>
      </c>
      <c r="N71" s="158">
        <f t="shared" si="29"/>
        <v>0</v>
      </c>
      <c r="O71" s="158">
        <f t="shared" si="29"/>
        <v>0</v>
      </c>
      <c r="P71" s="158">
        <f t="shared" si="29"/>
        <v>0</v>
      </c>
      <c r="Q71" s="158">
        <f t="shared" si="29"/>
        <v>0</v>
      </c>
      <c r="R71" s="158">
        <f t="shared" si="29"/>
        <v>0</v>
      </c>
      <c r="S71" s="158">
        <f t="shared" si="29"/>
        <v>0</v>
      </c>
      <c r="T71" s="158">
        <f t="shared" si="29"/>
        <v>0</v>
      </c>
      <c r="U71" s="158">
        <f t="shared" si="29"/>
        <v>0</v>
      </c>
      <c r="V71" s="158">
        <f t="shared" si="29"/>
        <v>0</v>
      </c>
      <c r="W71" s="158">
        <f t="shared" si="29"/>
        <v>0</v>
      </c>
      <c r="X71" s="158">
        <f t="shared" si="29"/>
        <v>0</v>
      </c>
      <c r="Y71" s="158">
        <f t="shared" si="29"/>
        <v>0</v>
      </c>
      <c r="Z71" s="158">
        <f t="shared" si="29"/>
        <v>0</v>
      </c>
      <c r="AA71" s="158">
        <f t="shared" si="29"/>
        <v>0</v>
      </c>
      <c r="AB71" s="158">
        <f t="shared" si="29"/>
        <v>0</v>
      </c>
      <c r="AC71" s="158">
        <f t="shared" si="29"/>
        <v>0</v>
      </c>
      <c r="AD71" s="158">
        <f t="shared" si="29"/>
        <v>0</v>
      </c>
      <c r="AE71" s="158">
        <f t="shared" si="29"/>
        <v>0</v>
      </c>
      <c r="AF71" s="158">
        <f t="shared" si="29"/>
        <v>0</v>
      </c>
      <c r="AG71" s="158">
        <f t="shared" si="29"/>
        <v>0</v>
      </c>
      <c r="AH71" s="158">
        <f t="shared" si="29"/>
        <v>0</v>
      </c>
      <c r="AI71" s="158">
        <f t="shared" si="29"/>
        <v>0</v>
      </c>
      <c r="AJ71" s="158">
        <f t="shared" si="29"/>
        <v>0</v>
      </c>
      <c r="AK71" s="158">
        <f t="shared" si="29"/>
        <v>0</v>
      </c>
      <c r="AL71" s="158">
        <f t="shared" si="29"/>
        <v>0</v>
      </c>
      <c r="AM71" s="158">
        <f t="shared" si="29"/>
        <v>0</v>
      </c>
      <c r="AN71" s="158">
        <f t="shared" si="29"/>
        <v>0</v>
      </c>
      <c r="AO71" s="158">
        <f t="shared" si="29"/>
        <v>0</v>
      </c>
      <c r="AP71" s="158">
        <f t="shared" si="29"/>
        <v>0</v>
      </c>
      <c r="AQ71" s="158">
        <f t="shared" si="29"/>
        <v>0</v>
      </c>
      <c r="AR71" s="158">
        <f t="shared" si="29"/>
        <v>0</v>
      </c>
      <c r="AS71" s="158">
        <f t="shared" si="29"/>
        <v>0</v>
      </c>
    </row>
    <row r="72" spans="2:45" hidden="1" outlineLevel="2" x14ac:dyDescent="0.15">
      <c r="B72" s="107" t="s">
        <v>375</v>
      </c>
      <c r="J72" s="81">
        <f t="shared" ref="J72:AS72" si="30">SUM(J71:J71)</f>
        <v>0</v>
      </c>
      <c r="K72" s="81">
        <f t="shared" si="30"/>
        <v>0</v>
      </c>
      <c r="L72" s="81">
        <f t="shared" si="30"/>
        <v>0</v>
      </c>
      <c r="M72" s="81">
        <f t="shared" si="30"/>
        <v>0</v>
      </c>
      <c r="N72" s="81">
        <f t="shared" si="30"/>
        <v>0</v>
      </c>
      <c r="O72" s="81">
        <f t="shared" si="30"/>
        <v>0</v>
      </c>
      <c r="P72" s="81">
        <f t="shared" si="30"/>
        <v>0</v>
      </c>
      <c r="Q72" s="81">
        <f t="shared" si="30"/>
        <v>0</v>
      </c>
      <c r="R72" s="81">
        <f t="shared" si="30"/>
        <v>0</v>
      </c>
      <c r="S72" s="81">
        <f t="shared" si="30"/>
        <v>0</v>
      </c>
      <c r="T72" s="81">
        <f t="shared" si="30"/>
        <v>0</v>
      </c>
      <c r="U72" s="81">
        <f t="shared" si="30"/>
        <v>0</v>
      </c>
      <c r="V72" s="81">
        <f t="shared" si="30"/>
        <v>0</v>
      </c>
      <c r="W72" s="81">
        <f t="shared" si="30"/>
        <v>0</v>
      </c>
      <c r="X72" s="81">
        <f t="shared" si="30"/>
        <v>0</v>
      </c>
      <c r="Y72" s="81">
        <f t="shared" si="30"/>
        <v>0</v>
      </c>
      <c r="Z72" s="81">
        <f t="shared" si="30"/>
        <v>0</v>
      </c>
      <c r="AA72" s="81">
        <f t="shared" si="30"/>
        <v>0</v>
      </c>
      <c r="AB72" s="81">
        <f t="shared" si="30"/>
        <v>0</v>
      </c>
      <c r="AC72" s="81">
        <f t="shared" si="30"/>
        <v>0</v>
      </c>
      <c r="AD72" s="81">
        <f t="shared" si="30"/>
        <v>0</v>
      </c>
      <c r="AE72" s="81">
        <f t="shared" si="30"/>
        <v>0</v>
      </c>
      <c r="AF72" s="81">
        <f t="shared" si="30"/>
        <v>0</v>
      </c>
      <c r="AG72" s="81">
        <f t="shared" si="30"/>
        <v>0</v>
      </c>
      <c r="AH72" s="81">
        <f t="shared" si="30"/>
        <v>0</v>
      </c>
      <c r="AI72" s="81">
        <f t="shared" si="30"/>
        <v>0</v>
      </c>
      <c r="AJ72" s="81">
        <f t="shared" si="30"/>
        <v>0</v>
      </c>
      <c r="AK72" s="81">
        <f t="shared" si="30"/>
        <v>0</v>
      </c>
      <c r="AL72" s="81">
        <f t="shared" si="30"/>
        <v>0</v>
      </c>
      <c r="AM72" s="81">
        <f t="shared" si="30"/>
        <v>0</v>
      </c>
      <c r="AN72" s="81">
        <f t="shared" si="30"/>
        <v>0</v>
      </c>
      <c r="AO72" s="81">
        <f t="shared" si="30"/>
        <v>0</v>
      </c>
      <c r="AP72" s="81">
        <f t="shared" si="30"/>
        <v>0</v>
      </c>
      <c r="AQ72" s="81">
        <f t="shared" si="30"/>
        <v>0</v>
      </c>
      <c r="AR72" s="81">
        <f t="shared" si="30"/>
        <v>0</v>
      </c>
      <c r="AS72" s="81">
        <f t="shared" si="30"/>
        <v>0</v>
      </c>
    </row>
    <row r="73" spans="2:45" ht="6" hidden="1" customHeight="1" outlineLevel="2" x14ac:dyDescent="0.15"/>
    <row r="74" spans="2:45" hidden="1" outlineLevel="2" x14ac:dyDescent="0.15">
      <c r="B74" s="107" t="str">
        <f>B84</f>
        <v>Other Non-Current Assets</v>
      </c>
      <c r="J74" s="158">
        <f t="shared" ref="J74:AS74" si="31">J88-J71</f>
        <v>0</v>
      </c>
      <c r="K74" s="158">
        <f t="shared" si="31"/>
        <v>0</v>
      </c>
      <c r="L74" s="158">
        <f t="shared" si="31"/>
        <v>0</v>
      </c>
      <c r="M74" s="158">
        <f t="shared" si="31"/>
        <v>0</v>
      </c>
      <c r="N74" s="158">
        <f t="shared" si="31"/>
        <v>0</v>
      </c>
      <c r="O74" s="158">
        <f t="shared" si="31"/>
        <v>0</v>
      </c>
      <c r="P74" s="158">
        <f t="shared" si="31"/>
        <v>0</v>
      </c>
      <c r="Q74" s="158">
        <f t="shared" si="31"/>
        <v>0</v>
      </c>
      <c r="R74" s="158">
        <f t="shared" si="31"/>
        <v>0</v>
      </c>
      <c r="S74" s="158">
        <f t="shared" si="31"/>
        <v>0</v>
      </c>
      <c r="T74" s="158">
        <f t="shared" si="31"/>
        <v>0</v>
      </c>
      <c r="U74" s="158">
        <f t="shared" si="31"/>
        <v>0</v>
      </c>
      <c r="V74" s="158">
        <f t="shared" si="31"/>
        <v>0</v>
      </c>
      <c r="W74" s="158">
        <f t="shared" si="31"/>
        <v>0</v>
      </c>
      <c r="X74" s="158">
        <f t="shared" si="31"/>
        <v>0</v>
      </c>
      <c r="Y74" s="158">
        <f t="shared" si="31"/>
        <v>0</v>
      </c>
      <c r="Z74" s="158">
        <f t="shared" si="31"/>
        <v>0</v>
      </c>
      <c r="AA74" s="158">
        <f t="shared" si="31"/>
        <v>0</v>
      </c>
      <c r="AB74" s="158">
        <f t="shared" si="31"/>
        <v>0</v>
      </c>
      <c r="AC74" s="158">
        <f t="shared" si="31"/>
        <v>0</v>
      </c>
      <c r="AD74" s="158">
        <f t="shared" si="31"/>
        <v>0</v>
      </c>
      <c r="AE74" s="158">
        <f t="shared" si="31"/>
        <v>0</v>
      </c>
      <c r="AF74" s="158">
        <f t="shared" si="31"/>
        <v>0</v>
      </c>
      <c r="AG74" s="158">
        <f t="shared" si="31"/>
        <v>0</v>
      </c>
      <c r="AH74" s="158">
        <f t="shared" si="31"/>
        <v>0</v>
      </c>
      <c r="AI74" s="158">
        <f t="shared" si="31"/>
        <v>0</v>
      </c>
      <c r="AJ74" s="158">
        <f t="shared" si="31"/>
        <v>0</v>
      </c>
      <c r="AK74" s="158">
        <f t="shared" si="31"/>
        <v>0</v>
      </c>
      <c r="AL74" s="158">
        <f t="shared" si="31"/>
        <v>0</v>
      </c>
      <c r="AM74" s="158">
        <f t="shared" si="31"/>
        <v>0</v>
      </c>
      <c r="AN74" s="158">
        <f t="shared" si="31"/>
        <v>0</v>
      </c>
      <c r="AO74" s="158">
        <f t="shared" si="31"/>
        <v>0</v>
      </c>
      <c r="AP74" s="158">
        <f t="shared" si="31"/>
        <v>0</v>
      </c>
      <c r="AQ74" s="158">
        <f t="shared" si="31"/>
        <v>0</v>
      </c>
      <c r="AR74" s="158">
        <f t="shared" si="31"/>
        <v>0</v>
      </c>
      <c r="AS74" s="158">
        <f t="shared" si="31"/>
        <v>0</v>
      </c>
    </row>
    <row r="75" spans="2:45" hidden="1" outlineLevel="2" x14ac:dyDescent="0.15">
      <c r="B75" s="107" t="s">
        <v>620</v>
      </c>
      <c r="J75" s="81">
        <f t="shared" ref="J75:AS75" si="32">SUM(J74:J74)</f>
        <v>0</v>
      </c>
      <c r="K75" s="81">
        <f t="shared" si="32"/>
        <v>0</v>
      </c>
      <c r="L75" s="81">
        <f t="shared" si="32"/>
        <v>0</v>
      </c>
      <c r="M75" s="81">
        <f t="shared" si="32"/>
        <v>0</v>
      </c>
      <c r="N75" s="81">
        <f t="shared" si="32"/>
        <v>0</v>
      </c>
      <c r="O75" s="81">
        <f t="shared" si="32"/>
        <v>0</v>
      </c>
      <c r="P75" s="81">
        <f t="shared" si="32"/>
        <v>0</v>
      </c>
      <c r="Q75" s="81">
        <f t="shared" si="32"/>
        <v>0</v>
      </c>
      <c r="R75" s="81">
        <f t="shared" si="32"/>
        <v>0</v>
      </c>
      <c r="S75" s="81">
        <f t="shared" si="32"/>
        <v>0</v>
      </c>
      <c r="T75" s="81">
        <f t="shared" si="32"/>
        <v>0</v>
      </c>
      <c r="U75" s="81">
        <f t="shared" si="32"/>
        <v>0</v>
      </c>
      <c r="V75" s="81">
        <f t="shared" si="32"/>
        <v>0</v>
      </c>
      <c r="W75" s="81">
        <f t="shared" si="32"/>
        <v>0</v>
      </c>
      <c r="X75" s="81">
        <f t="shared" si="32"/>
        <v>0</v>
      </c>
      <c r="Y75" s="81">
        <f t="shared" si="32"/>
        <v>0</v>
      </c>
      <c r="Z75" s="81">
        <f t="shared" si="32"/>
        <v>0</v>
      </c>
      <c r="AA75" s="81">
        <f t="shared" si="32"/>
        <v>0</v>
      </c>
      <c r="AB75" s="81">
        <f t="shared" si="32"/>
        <v>0</v>
      </c>
      <c r="AC75" s="81">
        <f t="shared" si="32"/>
        <v>0</v>
      </c>
      <c r="AD75" s="81">
        <f t="shared" si="32"/>
        <v>0</v>
      </c>
      <c r="AE75" s="81">
        <f t="shared" si="32"/>
        <v>0</v>
      </c>
      <c r="AF75" s="81">
        <f t="shared" si="32"/>
        <v>0</v>
      </c>
      <c r="AG75" s="81">
        <f t="shared" si="32"/>
        <v>0</v>
      </c>
      <c r="AH75" s="81">
        <f t="shared" si="32"/>
        <v>0</v>
      </c>
      <c r="AI75" s="81">
        <f t="shared" si="32"/>
        <v>0</v>
      </c>
      <c r="AJ75" s="81">
        <f t="shared" si="32"/>
        <v>0</v>
      </c>
      <c r="AK75" s="81">
        <f t="shared" si="32"/>
        <v>0</v>
      </c>
      <c r="AL75" s="81">
        <f t="shared" si="32"/>
        <v>0</v>
      </c>
      <c r="AM75" s="81">
        <f t="shared" si="32"/>
        <v>0</v>
      </c>
      <c r="AN75" s="81">
        <f t="shared" si="32"/>
        <v>0</v>
      </c>
      <c r="AO75" s="81">
        <f t="shared" si="32"/>
        <v>0</v>
      </c>
      <c r="AP75" s="81">
        <f t="shared" si="32"/>
        <v>0</v>
      </c>
      <c r="AQ75" s="81">
        <f t="shared" si="32"/>
        <v>0</v>
      </c>
      <c r="AR75" s="81">
        <f t="shared" si="32"/>
        <v>0</v>
      </c>
      <c r="AS75" s="81">
        <f t="shared" si="32"/>
        <v>0</v>
      </c>
    </row>
    <row r="76" spans="2:45" ht="6" hidden="1" customHeight="1" outlineLevel="2" x14ac:dyDescent="0.15"/>
    <row r="77" spans="2:45" outlineLevel="1" collapsed="1" x14ac:dyDescent="0.15">
      <c r="B77" s="16" t="s">
        <v>617</v>
      </c>
      <c r="I77" s="159">
        <f>Ts_Start_Date</f>
        <v>45139</v>
      </c>
    </row>
    <row r="78" spans="2:45" outlineLevel="1" x14ac:dyDescent="0.15">
      <c r="B78" s="107" t="str">
        <f>B84</f>
        <v>Other Non-Current Assets</v>
      </c>
      <c r="I78" s="161">
        <f>I84</f>
        <v>0</v>
      </c>
      <c r="J78" s="14">
        <f t="shared" ref="J78:AS78" si="33">I78+J68</f>
        <v>0</v>
      </c>
      <c r="K78" s="14">
        <f t="shared" si="33"/>
        <v>0</v>
      </c>
      <c r="L78" s="14">
        <f t="shared" si="33"/>
        <v>0</v>
      </c>
      <c r="M78" s="14">
        <f t="shared" si="33"/>
        <v>0</v>
      </c>
      <c r="N78" s="14">
        <f t="shared" si="33"/>
        <v>0</v>
      </c>
      <c r="O78" s="14">
        <f t="shared" si="33"/>
        <v>0</v>
      </c>
      <c r="P78" s="14">
        <f t="shared" si="33"/>
        <v>0</v>
      </c>
      <c r="Q78" s="14">
        <f t="shared" si="33"/>
        <v>0</v>
      </c>
      <c r="R78" s="14">
        <f t="shared" si="33"/>
        <v>0</v>
      </c>
      <c r="S78" s="14">
        <f t="shared" si="33"/>
        <v>0</v>
      </c>
      <c r="T78" s="14">
        <f t="shared" si="33"/>
        <v>0</v>
      </c>
      <c r="U78" s="14">
        <f t="shared" si="33"/>
        <v>0</v>
      </c>
      <c r="V78" s="14">
        <f t="shared" si="33"/>
        <v>0</v>
      </c>
      <c r="W78" s="14">
        <f t="shared" si="33"/>
        <v>0</v>
      </c>
      <c r="X78" s="14">
        <f t="shared" si="33"/>
        <v>0</v>
      </c>
      <c r="Y78" s="14">
        <f t="shared" si="33"/>
        <v>0</v>
      </c>
      <c r="Z78" s="14">
        <f t="shared" si="33"/>
        <v>0</v>
      </c>
      <c r="AA78" s="14">
        <f t="shared" si="33"/>
        <v>0</v>
      </c>
      <c r="AB78" s="14">
        <f t="shared" si="33"/>
        <v>0</v>
      </c>
      <c r="AC78" s="14">
        <f t="shared" si="33"/>
        <v>0</v>
      </c>
      <c r="AD78" s="14">
        <f t="shared" si="33"/>
        <v>0</v>
      </c>
      <c r="AE78" s="14">
        <f t="shared" si="33"/>
        <v>0</v>
      </c>
      <c r="AF78" s="14">
        <f t="shared" si="33"/>
        <v>0</v>
      </c>
      <c r="AG78" s="14">
        <f t="shared" si="33"/>
        <v>0</v>
      </c>
      <c r="AH78" s="14">
        <f t="shared" si="33"/>
        <v>0</v>
      </c>
      <c r="AI78" s="14">
        <f t="shared" si="33"/>
        <v>0</v>
      </c>
      <c r="AJ78" s="14">
        <f t="shared" si="33"/>
        <v>0</v>
      </c>
      <c r="AK78" s="14">
        <f t="shared" si="33"/>
        <v>0</v>
      </c>
      <c r="AL78" s="14">
        <f t="shared" si="33"/>
        <v>0</v>
      </c>
      <c r="AM78" s="14">
        <f t="shared" si="33"/>
        <v>0</v>
      </c>
      <c r="AN78" s="14">
        <f t="shared" si="33"/>
        <v>0</v>
      </c>
      <c r="AO78" s="14">
        <f t="shared" si="33"/>
        <v>0</v>
      </c>
      <c r="AP78" s="14">
        <f t="shared" si="33"/>
        <v>0</v>
      </c>
      <c r="AQ78" s="14">
        <f t="shared" si="33"/>
        <v>0</v>
      </c>
      <c r="AR78" s="14">
        <f t="shared" si="33"/>
        <v>0</v>
      </c>
      <c r="AS78" s="14">
        <f t="shared" si="33"/>
        <v>0</v>
      </c>
    </row>
    <row r="79" spans="2:45" outlineLevel="1" x14ac:dyDescent="0.15">
      <c r="B79" s="16" t="str">
        <f>"Total "&amp;B67</f>
        <v>Total Other Non-Current Assets</v>
      </c>
      <c r="I79" s="18">
        <f ca="1">IF(ROWS(I$77:I$79)=2,0,SUM(OFFSET(I$77,1,0,ROWS(I$77:I$79)-2)))</f>
        <v>0</v>
      </c>
      <c r="J79" s="18">
        <f t="shared" ref="J79:AS79" ca="1" si="34">IF(ROWS(J$77:J$79)=2,0,SUM(OFFSET(J$77,1,0,ROWS(J$77:J$79)-2)))</f>
        <v>0</v>
      </c>
      <c r="K79" s="18">
        <f t="shared" ca="1" si="34"/>
        <v>0</v>
      </c>
      <c r="L79" s="18">
        <f t="shared" ca="1" si="34"/>
        <v>0</v>
      </c>
      <c r="M79" s="18">
        <f t="shared" ca="1" si="34"/>
        <v>0</v>
      </c>
      <c r="N79" s="18">
        <f t="shared" ca="1" si="34"/>
        <v>0</v>
      </c>
      <c r="O79" s="18">
        <f t="shared" ca="1" si="34"/>
        <v>0</v>
      </c>
      <c r="P79" s="18">
        <f t="shared" ca="1" si="34"/>
        <v>0</v>
      </c>
      <c r="Q79" s="18">
        <f t="shared" ca="1" si="34"/>
        <v>0</v>
      </c>
      <c r="R79" s="18">
        <f t="shared" ca="1" si="34"/>
        <v>0</v>
      </c>
      <c r="S79" s="18">
        <f t="shared" ca="1" si="34"/>
        <v>0</v>
      </c>
      <c r="T79" s="18">
        <f t="shared" ca="1" si="34"/>
        <v>0</v>
      </c>
      <c r="U79" s="18">
        <f t="shared" ca="1" si="34"/>
        <v>0</v>
      </c>
      <c r="V79" s="18">
        <f t="shared" ca="1" si="34"/>
        <v>0</v>
      </c>
      <c r="W79" s="18">
        <f t="shared" ca="1" si="34"/>
        <v>0</v>
      </c>
      <c r="X79" s="18">
        <f t="shared" ca="1" si="34"/>
        <v>0</v>
      </c>
      <c r="Y79" s="18">
        <f t="shared" ca="1" si="34"/>
        <v>0</v>
      </c>
      <c r="Z79" s="18">
        <f t="shared" ca="1" si="34"/>
        <v>0</v>
      </c>
      <c r="AA79" s="18">
        <f t="shared" ca="1" si="34"/>
        <v>0</v>
      </c>
      <c r="AB79" s="18">
        <f t="shared" ca="1" si="34"/>
        <v>0</v>
      </c>
      <c r="AC79" s="18">
        <f t="shared" ca="1" si="34"/>
        <v>0</v>
      </c>
      <c r="AD79" s="18">
        <f t="shared" ca="1" si="34"/>
        <v>0</v>
      </c>
      <c r="AE79" s="18">
        <f t="shared" ca="1" si="34"/>
        <v>0</v>
      </c>
      <c r="AF79" s="18">
        <f t="shared" ca="1" si="34"/>
        <v>0</v>
      </c>
      <c r="AG79" s="18">
        <f t="shared" ca="1" si="34"/>
        <v>0</v>
      </c>
      <c r="AH79" s="18">
        <f t="shared" ca="1" si="34"/>
        <v>0</v>
      </c>
      <c r="AI79" s="18">
        <f t="shared" ca="1" si="34"/>
        <v>0</v>
      </c>
      <c r="AJ79" s="18">
        <f t="shared" ca="1" si="34"/>
        <v>0</v>
      </c>
      <c r="AK79" s="18">
        <f t="shared" ca="1" si="34"/>
        <v>0</v>
      </c>
      <c r="AL79" s="18">
        <f t="shared" ca="1" si="34"/>
        <v>0</v>
      </c>
      <c r="AM79" s="18">
        <f t="shared" ca="1" si="34"/>
        <v>0</v>
      </c>
      <c r="AN79" s="18">
        <f t="shared" ca="1" si="34"/>
        <v>0</v>
      </c>
      <c r="AO79" s="18">
        <f t="shared" ca="1" si="34"/>
        <v>0</v>
      </c>
      <c r="AP79" s="18">
        <f t="shared" ca="1" si="34"/>
        <v>0</v>
      </c>
      <c r="AQ79" s="18">
        <f t="shared" ca="1" si="34"/>
        <v>0</v>
      </c>
      <c r="AR79" s="18">
        <f t="shared" ca="1" si="34"/>
        <v>0</v>
      </c>
      <c r="AS79" s="18">
        <f t="shared" ca="1" si="34"/>
        <v>0</v>
      </c>
    </row>
    <row r="80" spans="2:45" ht="6" customHeight="1" outlineLevel="1" x14ac:dyDescent="0.15"/>
    <row r="81" spans="2:45" outlineLevel="1" x14ac:dyDescent="0.15">
      <c r="B81" s="107" t="s">
        <v>621</v>
      </c>
      <c r="J81" s="81">
        <f t="shared" ref="J81:AS81" si="35">-J75</f>
        <v>0</v>
      </c>
      <c r="K81" s="81">
        <f t="shared" si="35"/>
        <v>0</v>
      </c>
      <c r="L81" s="81">
        <f t="shared" si="35"/>
        <v>0</v>
      </c>
      <c r="M81" s="81">
        <f t="shared" si="35"/>
        <v>0</v>
      </c>
      <c r="N81" s="81">
        <f t="shared" si="35"/>
        <v>0</v>
      </c>
      <c r="O81" s="81">
        <f t="shared" si="35"/>
        <v>0</v>
      </c>
      <c r="P81" s="81">
        <f t="shared" si="35"/>
        <v>0</v>
      </c>
      <c r="Q81" s="81">
        <f t="shared" si="35"/>
        <v>0</v>
      </c>
      <c r="R81" s="81">
        <f t="shared" si="35"/>
        <v>0</v>
      </c>
      <c r="S81" s="81">
        <f t="shared" si="35"/>
        <v>0</v>
      </c>
      <c r="T81" s="81">
        <f t="shared" si="35"/>
        <v>0</v>
      </c>
      <c r="U81" s="81">
        <f t="shared" si="35"/>
        <v>0</v>
      </c>
      <c r="V81" s="81">
        <f t="shared" si="35"/>
        <v>0</v>
      </c>
      <c r="W81" s="81">
        <f t="shared" si="35"/>
        <v>0</v>
      </c>
      <c r="X81" s="81">
        <f t="shared" si="35"/>
        <v>0</v>
      </c>
      <c r="Y81" s="81">
        <f t="shared" si="35"/>
        <v>0</v>
      </c>
      <c r="Z81" s="81">
        <f t="shared" si="35"/>
        <v>0</v>
      </c>
      <c r="AA81" s="81">
        <f t="shared" si="35"/>
        <v>0</v>
      </c>
      <c r="AB81" s="81">
        <f t="shared" si="35"/>
        <v>0</v>
      </c>
      <c r="AC81" s="81">
        <f t="shared" si="35"/>
        <v>0</v>
      </c>
      <c r="AD81" s="81">
        <f t="shared" si="35"/>
        <v>0</v>
      </c>
      <c r="AE81" s="81">
        <f t="shared" si="35"/>
        <v>0</v>
      </c>
      <c r="AF81" s="81">
        <f t="shared" si="35"/>
        <v>0</v>
      </c>
      <c r="AG81" s="81">
        <f t="shared" si="35"/>
        <v>0</v>
      </c>
      <c r="AH81" s="81">
        <f t="shared" si="35"/>
        <v>0</v>
      </c>
      <c r="AI81" s="81">
        <f t="shared" si="35"/>
        <v>0</v>
      </c>
      <c r="AJ81" s="81">
        <f t="shared" si="35"/>
        <v>0</v>
      </c>
      <c r="AK81" s="81">
        <f t="shared" si="35"/>
        <v>0</v>
      </c>
      <c r="AL81" s="81">
        <f t="shared" si="35"/>
        <v>0</v>
      </c>
      <c r="AM81" s="81">
        <f t="shared" si="35"/>
        <v>0</v>
      </c>
      <c r="AN81" s="81">
        <f t="shared" si="35"/>
        <v>0</v>
      </c>
      <c r="AO81" s="81">
        <f t="shared" si="35"/>
        <v>0</v>
      </c>
      <c r="AP81" s="81">
        <f t="shared" si="35"/>
        <v>0</v>
      </c>
      <c r="AQ81" s="81">
        <f t="shared" si="35"/>
        <v>0</v>
      </c>
      <c r="AR81" s="81">
        <f t="shared" si="35"/>
        <v>0</v>
      </c>
      <c r="AS81" s="81">
        <f t="shared" si="35"/>
        <v>0</v>
      </c>
    </row>
    <row r="82" spans="2:45" ht="6" customHeight="1" outlineLevel="1" x14ac:dyDescent="0.15"/>
    <row r="83" spans="2:45" hidden="1" outlineLevel="2" x14ac:dyDescent="0.15">
      <c r="B83" s="16" t="s">
        <v>622</v>
      </c>
      <c r="I83" s="159">
        <f>Ts_Start_Date</f>
        <v>45139</v>
      </c>
    </row>
    <row r="84" spans="2:45" ht="12" hidden="1" customHeight="1" outlineLevel="2" x14ac:dyDescent="0.15">
      <c r="B84" s="339" t="str">
        <f>OBS!B23</f>
        <v>Other Non-Current Assets</v>
      </c>
      <c r="C84" s="339"/>
      <c r="D84" s="339"/>
      <c r="E84" s="339"/>
      <c r="F84" s="339"/>
      <c r="G84" s="339"/>
      <c r="I84" s="161">
        <f>OBS!J23</f>
        <v>0</v>
      </c>
    </row>
    <row r="85" spans="2:45" ht="12" hidden="1" customHeight="1" outlineLevel="2" x14ac:dyDescent="0.15">
      <c r="B85" s="341" t="str">
        <f>"Total "&amp;B83</f>
        <v>Total Opening Other Non-Current Assets</v>
      </c>
      <c r="C85" s="341"/>
      <c r="D85" s="341"/>
      <c r="E85" s="341"/>
      <c r="F85" s="341"/>
      <c r="G85" s="341"/>
      <c r="I85" s="18">
        <f>SUM(I84:I84)</f>
        <v>0</v>
      </c>
    </row>
    <row r="86" spans="2:45" ht="6" hidden="1" customHeight="1" outlineLevel="2" x14ac:dyDescent="0.15"/>
    <row r="87" spans="2:45" hidden="1" outlineLevel="2" x14ac:dyDescent="0.15">
      <c r="B87" s="16" t="str">
        <f>B67</f>
        <v>Other Non-Current Assets</v>
      </c>
    </row>
    <row r="88" spans="2:45" hidden="1" outlineLevel="2" x14ac:dyDescent="0.15">
      <c r="B88" s="107" t="str">
        <f>B84</f>
        <v>Other Non-Current Assets</v>
      </c>
      <c r="J88" s="14">
        <f t="shared" ref="J88:AS88" si="36">J78</f>
        <v>0</v>
      </c>
      <c r="K88" s="14">
        <f t="shared" si="36"/>
        <v>0</v>
      </c>
      <c r="L88" s="14">
        <f t="shared" si="36"/>
        <v>0</v>
      </c>
      <c r="M88" s="14">
        <f t="shared" si="36"/>
        <v>0</v>
      </c>
      <c r="N88" s="14">
        <f t="shared" si="36"/>
        <v>0</v>
      </c>
      <c r="O88" s="14">
        <f t="shared" si="36"/>
        <v>0</v>
      </c>
      <c r="P88" s="14">
        <f t="shared" si="36"/>
        <v>0</v>
      </c>
      <c r="Q88" s="14">
        <f t="shared" si="36"/>
        <v>0</v>
      </c>
      <c r="R88" s="14">
        <f t="shared" si="36"/>
        <v>0</v>
      </c>
      <c r="S88" s="14">
        <f t="shared" si="36"/>
        <v>0</v>
      </c>
      <c r="T88" s="14">
        <f t="shared" si="36"/>
        <v>0</v>
      </c>
      <c r="U88" s="14">
        <f t="shared" si="36"/>
        <v>0</v>
      </c>
      <c r="V88" s="14">
        <f t="shared" si="36"/>
        <v>0</v>
      </c>
      <c r="W88" s="14">
        <f t="shared" si="36"/>
        <v>0</v>
      </c>
      <c r="X88" s="14">
        <f t="shared" si="36"/>
        <v>0</v>
      </c>
      <c r="Y88" s="14">
        <f t="shared" si="36"/>
        <v>0</v>
      </c>
      <c r="Z88" s="14">
        <f t="shared" si="36"/>
        <v>0</v>
      </c>
      <c r="AA88" s="14">
        <f t="shared" si="36"/>
        <v>0</v>
      </c>
      <c r="AB88" s="14">
        <f t="shared" si="36"/>
        <v>0</v>
      </c>
      <c r="AC88" s="14">
        <f t="shared" si="36"/>
        <v>0</v>
      </c>
      <c r="AD88" s="14">
        <f t="shared" si="36"/>
        <v>0</v>
      </c>
      <c r="AE88" s="14">
        <f t="shared" si="36"/>
        <v>0</v>
      </c>
      <c r="AF88" s="14">
        <f t="shared" si="36"/>
        <v>0</v>
      </c>
      <c r="AG88" s="14">
        <f t="shared" si="36"/>
        <v>0</v>
      </c>
      <c r="AH88" s="14">
        <f t="shared" si="36"/>
        <v>0</v>
      </c>
      <c r="AI88" s="14">
        <f t="shared" si="36"/>
        <v>0</v>
      </c>
      <c r="AJ88" s="14">
        <f t="shared" si="36"/>
        <v>0</v>
      </c>
      <c r="AK88" s="14">
        <f t="shared" si="36"/>
        <v>0</v>
      </c>
      <c r="AL88" s="14">
        <f t="shared" si="36"/>
        <v>0</v>
      </c>
      <c r="AM88" s="14">
        <f t="shared" si="36"/>
        <v>0</v>
      </c>
      <c r="AN88" s="14">
        <f t="shared" si="36"/>
        <v>0</v>
      </c>
      <c r="AO88" s="14">
        <f t="shared" si="36"/>
        <v>0</v>
      </c>
      <c r="AP88" s="14">
        <f t="shared" si="36"/>
        <v>0</v>
      </c>
      <c r="AQ88" s="14">
        <f t="shared" si="36"/>
        <v>0</v>
      </c>
      <c r="AR88" s="14">
        <f t="shared" si="36"/>
        <v>0</v>
      </c>
      <c r="AS88" s="14">
        <f t="shared" si="36"/>
        <v>0</v>
      </c>
    </row>
    <row r="89" spans="2:45" hidden="1" outlineLevel="2" x14ac:dyDescent="0.15">
      <c r="B89" s="16" t="str">
        <f>B79</f>
        <v>Total Other Non-Current Assets</v>
      </c>
      <c r="J89" s="18">
        <f t="shared" ref="J89:AS89" si="37">SUM(J88:J88)</f>
        <v>0</v>
      </c>
      <c r="K89" s="18">
        <f t="shared" si="37"/>
        <v>0</v>
      </c>
      <c r="L89" s="18">
        <f t="shared" si="37"/>
        <v>0</v>
      </c>
      <c r="M89" s="18">
        <f t="shared" si="37"/>
        <v>0</v>
      </c>
      <c r="N89" s="18">
        <f t="shared" si="37"/>
        <v>0</v>
      </c>
      <c r="O89" s="18">
        <f t="shared" si="37"/>
        <v>0</v>
      </c>
      <c r="P89" s="18">
        <f t="shared" si="37"/>
        <v>0</v>
      </c>
      <c r="Q89" s="18">
        <f t="shared" si="37"/>
        <v>0</v>
      </c>
      <c r="R89" s="18">
        <f t="shared" si="37"/>
        <v>0</v>
      </c>
      <c r="S89" s="18">
        <f t="shared" si="37"/>
        <v>0</v>
      </c>
      <c r="T89" s="18">
        <f t="shared" si="37"/>
        <v>0</v>
      </c>
      <c r="U89" s="18">
        <f t="shared" si="37"/>
        <v>0</v>
      </c>
      <c r="V89" s="18">
        <f t="shared" si="37"/>
        <v>0</v>
      </c>
      <c r="W89" s="18">
        <f t="shared" si="37"/>
        <v>0</v>
      </c>
      <c r="X89" s="18">
        <f t="shared" si="37"/>
        <v>0</v>
      </c>
      <c r="Y89" s="18">
        <f t="shared" si="37"/>
        <v>0</v>
      </c>
      <c r="Z89" s="18">
        <f t="shared" si="37"/>
        <v>0</v>
      </c>
      <c r="AA89" s="18">
        <f t="shared" si="37"/>
        <v>0</v>
      </c>
      <c r="AB89" s="18">
        <f t="shared" si="37"/>
        <v>0</v>
      </c>
      <c r="AC89" s="18">
        <f t="shared" si="37"/>
        <v>0</v>
      </c>
      <c r="AD89" s="18">
        <f t="shared" si="37"/>
        <v>0</v>
      </c>
      <c r="AE89" s="18">
        <f t="shared" si="37"/>
        <v>0</v>
      </c>
      <c r="AF89" s="18">
        <f t="shared" si="37"/>
        <v>0</v>
      </c>
      <c r="AG89" s="18">
        <f t="shared" si="37"/>
        <v>0</v>
      </c>
      <c r="AH89" s="18">
        <f t="shared" si="37"/>
        <v>0</v>
      </c>
      <c r="AI89" s="18">
        <f t="shared" si="37"/>
        <v>0</v>
      </c>
      <c r="AJ89" s="18">
        <f t="shared" si="37"/>
        <v>0</v>
      </c>
      <c r="AK89" s="18">
        <f t="shared" si="37"/>
        <v>0</v>
      </c>
      <c r="AL89" s="18">
        <f t="shared" si="37"/>
        <v>0</v>
      </c>
      <c r="AM89" s="18">
        <f t="shared" si="37"/>
        <v>0</v>
      </c>
      <c r="AN89" s="18">
        <f t="shared" si="37"/>
        <v>0</v>
      </c>
      <c r="AO89" s="18">
        <f t="shared" si="37"/>
        <v>0</v>
      </c>
      <c r="AP89" s="18">
        <f t="shared" si="37"/>
        <v>0</v>
      </c>
      <c r="AQ89" s="18">
        <f t="shared" si="37"/>
        <v>0</v>
      </c>
      <c r="AR89" s="18">
        <f t="shared" si="37"/>
        <v>0</v>
      </c>
      <c r="AS89" s="18">
        <f t="shared" si="37"/>
        <v>0</v>
      </c>
    </row>
    <row r="90" spans="2:45" ht="6" hidden="1" customHeight="1" outlineLevel="2" x14ac:dyDescent="0.15"/>
    <row r="91" spans="2:45" hidden="1" outlineLevel="2" x14ac:dyDescent="0.15">
      <c r="C91" s="107" t="s">
        <v>192</v>
      </c>
      <c r="J91" s="17">
        <f t="shared" ref="J91:AS91" ca="1" si="38">IF(ISERROR(J79-J89),1,0)</f>
        <v>0</v>
      </c>
      <c r="K91" s="17">
        <f t="shared" ca="1" si="38"/>
        <v>0</v>
      </c>
      <c r="L91" s="17">
        <f t="shared" ca="1" si="38"/>
        <v>0</v>
      </c>
      <c r="M91" s="17">
        <f t="shared" ca="1" si="38"/>
        <v>0</v>
      </c>
      <c r="N91" s="17">
        <f t="shared" ca="1" si="38"/>
        <v>0</v>
      </c>
      <c r="O91" s="17">
        <f t="shared" ca="1" si="38"/>
        <v>0</v>
      </c>
      <c r="P91" s="17">
        <f t="shared" ca="1" si="38"/>
        <v>0</v>
      </c>
      <c r="Q91" s="17">
        <f t="shared" ca="1" si="38"/>
        <v>0</v>
      </c>
      <c r="R91" s="17">
        <f t="shared" ca="1" si="38"/>
        <v>0</v>
      </c>
      <c r="S91" s="17">
        <f t="shared" ca="1" si="38"/>
        <v>0</v>
      </c>
      <c r="T91" s="17">
        <f t="shared" ca="1" si="38"/>
        <v>0</v>
      </c>
      <c r="U91" s="17">
        <f t="shared" ca="1" si="38"/>
        <v>0</v>
      </c>
      <c r="V91" s="17">
        <f t="shared" ca="1" si="38"/>
        <v>0</v>
      </c>
      <c r="W91" s="17">
        <f t="shared" ca="1" si="38"/>
        <v>0</v>
      </c>
      <c r="X91" s="17">
        <f t="shared" ca="1" si="38"/>
        <v>0</v>
      </c>
      <c r="Y91" s="17">
        <f t="shared" ca="1" si="38"/>
        <v>0</v>
      </c>
      <c r="Z91" s="17">
        <f t="shared" ca="1" si="38"/>
        <v>0</v>
      </c>
      <c r="AA91" s="17">
        <f t="shared" ca="1" si="38"/>
        <v>0</v>
      </c>
      <c r="AB91" s="17">
        <f t="shared" ca="1" si="38"/>
        <v>0</v>
      </c>
      <c r="AC91" s="17">
        <f t="shared" ca="1" si="38"/>
        <v>0</v>
      </c>
      <c r="AD91" s="17">
        <f t="shared" ca="1" si="38"/>
        <v>0</v>
      </c>
      <c r="AE91" s="17">
        <f t="shared" ca="1" si="38"/>
        <v>0</v>
      </c>
      <c r="AF91" s="17">
        <f t="shared" ca="1" si="38"/>
        <v>0</v>
      </c>
      <c r="AG91" s="17">
        <f t="shared" ca="1" si="38"/>
        <v>0</v>
      </c>
      <c r="AH91" s="17">
        <f t="shared" ca="1" si="38"/>
        <v>0</v>
      </c>
      <c r="AI91" s="17">
        <f t="shared" ca="1" si="38"/>
        <v>0</v>
      </c>
      <c r="AJ91" s="17">
        <f t="shared" ca="1" si="38"/>
        <v>0</v>
      </c>
      <c r="AK91" s="17">
        <f t="shared" ca="1" si="38"/>
        <v>0</v>
      </c>
      <c r="AL91" s="17">
        <f t="shared" ca="1" si="38"/>
        <v>0</v>
      </c>
      <c r="AM91" s="17">
        <f t="shared" ca="1" si="38"/>
        <v>0</v>
      </c>
      <c r="AN91" s="17">
        <f t="shared" ca="1" si="38"/>
        <v>0</v>
      </c>
      <c r="AO91" s="17">
        <f t="shared" ca="1" si="38"/>
        <v>0</v>
      </c>
      <c r="AP91" s="17">
        <f t="shared" ca="1" si="38"/>
        <v>0</v>
      </c>
      <c r="AQ91" s="17">
        <f t="shared" ca="1" si="38"/>
        <v>0</v>
      </c>
      <c r="AR91" s="17">
        <f t="shared" ca="1" si="38"/>
        <v>0</v>
      </c>
      <c r="AS91" s="17">
        <f t="shared" ca="1" si="38"/>
        <v>0</v>
      </c>
    </row>
    <row r="92" spans="2:45" hidden="1" outlineLevel="2" x14ac:dyDescent="0.15">
      <c r="C92" s="107" t="s">
        <v>334</v>
      </c>
      <c r="J92" s="42">
        <f t="shared" ref="J92:AS92" ca="1" si="39">IF(J91&lt;&gt;0,0,IF(ROUND(J79-J89,5)&lt;&gt;0,1,0))</f>
        <v>0</v>
      </c>
      <c r="K92" s="42">
        <f t="shared" ca="1" si="39"/>
        <v>0</v>
      </c>
      <c r="L92" s="42">
        <f t="shared" ca="1" si="39"/>
        <v>0</v>
      </c>
      <c r="M92" s="42">
        <f t="shared" ca="1" si="39"/>
        <v>0</v>
      </c>
      <c r="N92" s="42">
        <f t="shared" ca="1" si="39"/>
        <v>0</v>
      </c>
      <c r="O92" s="42">
        <f t="shared" ca="1" si="39"/>
        <v>0</v>
      </c>
      <c r="P92" s="42">
        <f t="shared" ca="1" si="39"/>
        <v>0</v>
      </c>
      <c r="Q92" s="42">
        <f t="shared" ca="1" si="39"/>
        <v>0</v>
      </c>
      <c r="R92" s="42">
        <f t="shared" ca="1" si="39"/>
        <v>0</v>
      </c>
      <c r="S92" s="42">
        <f t="shared" ca="1" si="39"/>
        <v>0</v>
      </c>
      <c r="T92" s="42">
        <f t="shared" ca="1" si="39"/>
        <v>0</v>
      </c>
      <c r="U92" s="42">
        <f t="shared" ca="1" si="39"/>
        <v>0</v>
      </c>
      <c r="V92" s="42">
        <f t="shared" ca="1" si="39"/>
        <v>0</v>
      </c>
      <c r="W92" s="42">
        <f t="shared" ca="1" si="39"/>
        <v>0</v>
      </c>
      <c r="X92" s="42">
        <f t="shared" ca="1" si="39"/>
        <v>0</v>
      </c>
      <c r="Y92" s="42">
        <f t="shared" ca="1" si="39"/>
        <v>0</v>
      </c>
      <c r="Z92" s="42">
        <f t="shared" ca="1" si="39"/>
        <v>0</v>
      </c>
      <c r="AA92" s="42">
        <f t="shared" ca="1" si="39"/>
        <v>0</v>
      </c>
      <c r="AB92" s="42">
        <f t="shared" ca="1" si="39"/>
        <v>0</v>
      </c>
      <c r="AC92" s="42">
        <f t="shared" ca="1" si="39"/>
        <v>0</v>
      </c>
      <c r="AD92" s="42">
        <f t="shared" ca="1" si="39"/>
        <v>0</v>
      </c>
      <c r="AE92" s="42">
        <f t="shared" ca="1" si="39"/>
        <v>0</v>
      </c>
      <c r="AF92" s="42">
        <f t="shared" ca="1" si="39"/>
        <v>0</v>
      </c>
      <c r="AG92" s="42">
        <f t="shared" ca="1" si="39"/>
        <v>0</v>
      </c>
      <c r="AH92" s="42">
        <f t="shared" ca="1" si="39"/>
        <v>0</v>
      </c>
      <c r="AI92" s="42">
        <f t="shared" ca="1" si="39"/>
        <v>0</v>
      </c>
      <c r="AJ92" s="42">
        <f t="shared" ca="1" si="39"/>
        <v>0</v>
      </c>
      <c r="AK92" s="42">
        <f t="shared" ca="1" si="39"/>
        <v>0</v>
      </c>
      <c r="AL92" s="42">
        <f t="shared" ca="1" si="39"/>
        <v>0</v>
      </c>
      <c r="AM92" s="42">
        <f t="shared" ca="1" si="39"/>
        <v>0</v>
      </c>
      <c r="AN92" s="42">
        <f t="shared" ca="1" si="39"/>
        <v>0</v>
      </c>
      <c r="AO92" s="42">
        <f t="shared" ca="1" si="39"/>
        <v>0</v>
      </c>
      <c r="AP92" s="42">
        <f t="shared" ca="1" si="39"/>
        <v>0</v>
      </c>
      <c r="AQ92" s="42">
        <f t="shared" ca="1" si="39"/>
        <v>0</v>
      </c>
      <c r="AR92" s="42">
        <f t="shared" ca="1" si="39"/>
        <v>0</v>
      </c>
      <c r="AS92" s="42">
        <f t="shared" ca="1" si="39"/>
        <v>0</v>
      </c>
    </row>
    <row r="93" spans="2:45" outlineLevel="1" collapsed="1" x14ac:dyDescent="0.15">
      <c r="B93" s="107" t="s">
        <v>335</v>
      </c>
      <c r="I93" s="22">
        <f ca="1">IF(ISERROR(SUM(J93:AS93)),1,MIN(SUM(J93:AS93),1))</f>
        <v>0</v>
      </c>
      <c r="J93" s="17">
        <f t="shared" ref="J93:AS93" ca="1" si="40">MIN(SUM(J91:J92),1)</f>
        <v>0</v>
      </c>
      <c r="K93" s="17">
        <f t="shared" ca="1" si="40"/>
        <v>0</v>
      </c>
      <c r="L93" s="17">
        <f t="shared" ca="1" si="40"/>
        <v>0</v>
      </c>
      <c r="M93" s="17">
        <f t="shared" ca="1" si="40"/>
        <v>0</v>
      </c>
      <c r="N93" s="17">
        <f t="shared" ca="1" si="40"/>
        <v>0</v>
      </c>
      <c r="O93" s="17">
        <f t="shared" ca="1" si="40"/>
        <v>0</v>
      </c>
      <c r="P93" s="17">
        <f t="shared" ca="1" si="40"/>
        <v>0</v>
      </c>
      <c r="Q93" s="17">
        <f t="shared" ca="1" si="40"/>
        <v>0</v>
      </c>
      <c r="R93" s="17">
        <f t="shared" ca="1" si="40"/>
        <v>0</v>
      </c>
      <c r="S93" s="17">
        <f t="shared" ca="1" si="40"/>
        <v>0</v>
      </c>
      <c r="T93" s="17">
        <f t="shared" ca="1" si="40"/>
        <v>0</v>
      </c>
      <c r="U93" s="17">
        <f t="shared" ca="1" si="40"/>
        <v>0</v>
      </c>
      <c r="V93" s="17">
        <f t="shared" ca="1" si="40"/>
        <v>0</v>
      </c>
      <c r="W93" s="17">
        <f t="shared" ca="1" si="40"/>
        <v>0</v>
      </c>
      <c r="X93" s="17">
        <f t="shared" ca="1" si="40"/>
        <v>0</v>
      </c>
      <c r="Y93" s="17">
        <f t="shared" ca="1" si="40"/>
        <v>0</v>
      </c>
      <c r="Z93" s="17">
        <f t="shared" ca="1" si="40"/>
        <v>0</v>
      </c>
      <c r="AA93" s="17">
        <f t="shared" ca="1" si="40"/>
        <v>0</v>
      </c>
      <c r="AB93" s="17">
        <f t="shared" ca="1" si="40"/>
        <v>0</v>
      </c>
      <c r="AC93" s="17">
        <f t="shared" ca="1" si="40"/>
        <v>0</v>
      </c>
      <c r="AD93" s="17">
        <f t="shared" ca="1" si="40"/>
        <v>0</v>
      </c>
      <c r="AE93" s="17">
        <f t="shared" ca="1" si="40"/>
        <v>0</v>
      </c>
      <c r="AF93" s="17">
        <f t="shared" ca="1" si="40"/>
        <v>0</v>
      </c>
      <c r="AG93" s="17">
        <f t="shared" ca="1" si="40"/>
        <v>0</v>
      </c>
      <c r="AH93" s="17">
        <f t="shared" ca="1" si="40"/>
        <v>0</v>
      </c>
      <c r="AI93" s="17">
        <f t="shared" ca="1" si="40"/>
        <v>0</v>
      </c>
      <c r="AJ93" s="17">
        <f t="shared" ca="1" si="40"/>
        <v>0</v>
      </c>
      <c r="AK93" s="17">
        <f t="shared" ca="1" si="40"/>
        <v>0</v>
      </c>
      <c r="AL93" s="17">
        <f t="shared" ca="1" si="40"/>
        <v>0</v>
      </c>
      <c r="AM93" s="17">
        <f t="shared" ca="1" si="40"/>
        <v>0</v>
      </c>
      <c r="AN93" s="17">
        <f t="shared" ca="1" si="40"/>
        <v>0</v>
      </c>
      <c r="AO93" s="17">
        <f t="shared" ca="1" si="40"/>
        <v>0</v>
      </c>
      <c r="AP93" s="17">
        <f t="shared" ca="1" si="40"/>
        <v>0</v>
      </c>
      <c r="AQ93" s="17">
        <f t="shared" ca="1" si="40"/>
        <v>0</v>
      </c>
      <c r="AR93" s="17">
        <f t="shared" ca="1" si="40"/>
        <v>0</v>
      </c>
      <c r="AS93" s="17">
        <f t="shared" ca="1" si="40"/>
        <v>0</v>
      </c>
    </row>
    <row r="95" spans="2:45" x14ac:dyDescent="0.15">
      <c r="B95" s="1" t="s">
        <v>105</v>
      </c>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row>
    <row r="96" spans="2:45" outlineLevel="1" x14ac:dyDescent="0.15"/>
    <row r="97" spans="2:45" outlineLevel="1" x14ac:dyDescent="0.15">
      <c r="B97" s="16" t="s">
        <v>105</v>
      </c>
      <c r="H97" s="155" t="s">
        <v>322</v>
      </c>
    </row>
    <row r="98" spans="2:45" outlineLevel="1" x14ac:dyDescent="0.15">
      <c r="B98" s="107" t="str">
        <f>B108</f>
        <v>Other Current Liabilities Category 1</v>
      </c>
      <c r="H98" s="80" t="s">
        <v>615</v>
      </c>
      <c r="J98" s="176">
        <v>0</v>
      </c>
      <c r="K98" s="176">
        <v>0</v>
      </c>
      <c r="L98" s="176">
        <v>0</v>
      </c>
      <c r="M98" s="176">
        <v>0</v>
      </c>
      <c r="N98" s="176">
        <v>0</v>
      </c>
      <c r="O98" s="176">
        <v>0</v>
      </c>
      <c r="P98" s="176">
        <v>0</v>
      </c>
      <c r="Q98" s="176">
        <v>0</v>
      </c>
      <c r="R98" s="176">
        <v>0</v>
      </c>
      <c r="S98" s="176">
        <v>0</v>
      </c>
      <c r="T98" s="176">
        <v>0</v>
      </c>
      <c r="U98" s="176">
        <v>0</v>
      </c>
      <c r="V98" s="176">
        <v>0</v>
      </c>
      <c r="W98" s="176">
        <v>0</v>
      </c>
      <c r="X98" s="176">
        <v>0</v>
      </c>
      <c r="Y98" s="176">
        <v>0</v>
      </c>
      <c r="Z98" s="176">
        <v>0</v>
      </c>
      <c r="AA98" s="176">
        <v>0</v>
      </c>
      <c r="AB98" s="176">
        <v>0</v>
      </c>
      <c r="AC98" s="176">
        <v>0</v>
      </c>
      <c r="AD98" s="176">
        <v>0</v>
      </c>
      <c r="AE98" s="176">
        <v>0</v>
      </c>
      <c r="AF98" s="176">
        <v>0</v>
      </c>
      <c r="AG98" s="176">
        <v>0</v>
      </c>
      <c r="AH98" s="176">
        <v>0</v>
      </c>
      <c r="AI98" s="176">
        <v>0</v>
      </c>
      <c r="AJ98" s="176">
        <v>0</v>
      </c>
      <c r="AK98" s="176">
        <v>0</v>
      </c>
      <c r="AL98" s="176">
        <v>0</v>
      </c>
      <c r="AM98" s="176">
        <v>0</v>
      </c>
      <c r="AN98" s="176">
        <v>0</v>
      </c>
      <c r="AO98" s="176">
        <v>0</v>
      </c>
      <c r="AP98" s="176">
        <v>0</v>
      </c>
      <c r="AQ98" s="176">
        <v>0</v>
      </c>
      <c r="AR98" s="176">
        <v>0</v>
      </c>
      <c r="AS98" s="176">
        <v>0</v>
      </c>
    </row>
    <row r="99" spans="2:45" ht="3" customHeight="1" outlineLevel="1" x14ac:dyDescent="0.15"/>
    <row r="100" spans="2:45" ht="3" customHeight="1" outlineLevel="1" x14ac:dyDescent="0.15"/>
    <row r="101" spans="2:45" hidden="1" outlineLevel="2" x14ac:dyDescent="0.15">
      <c r="B101" s="107" t="str">
        <f>B114</f>
        <v>Other Current Liabilities Category 1</v>
      </c>
      <c r="J101" s="158">
        <f t="shared" ref="J101:AS101" si="41">IF(J$8=1,$I114,I118)</f>
        <v>0</v>
      </c>
      <c r="K101" s="158">
        <f t="shared" si="41"/>
        <v>0</v>
      </c>
      <c r="L101" s="158">
        <f t="shared" si="41"/>
        <v>0</v>
      </c>
      <c r="M101" s="158">
        <f t="shared" si="41"/>
        <v>0</v>
      </c>
      <c r="N101" s="158">
        <f t="shared" si="41"/>
        <v>0</v>
      </c>
      <c r="O101" s="158">
        <f t="shared" si="41"/>
        <v>0</v>
      </c>
      <c r="P101" s="158">
        <f t="shared" si="41"/>
        <v>0</v>
      </c>
      <c r="Q101" s="158">
        <f t="shared" si="41"/>
        <v>0</v>
      </c>
      <c r="R101" s="158">
        <f t="shared" si="41"/>
        <v>0</v>
      </c>
      <c r="S101" s="158">
        <f t="shared" si="41"/>
        <v>0</v>
      </c>
      <c r="T101" s="158">
        <f t="shared" si="41"/>
        <v>0</v>
      </c>
      <c r="U101" s="158">
        <f t="shared" si="41"/>
        <v>0</v>
      </c>
      <c r="V101" s="158">
        <f t="shared" si="41"/>
        <v>0</v>
      </c>
      <c r="W101" s="158">
        <f t="shared" si="41"/>
        <v>0</v>
      </c>
      <c r="X101" s="158">
        <f t="shared" si="41"/>
        <v>0</v>
      </c>
      <c r="Y101" s="158">
        <f t="shared" si="41"/>
        <v>0</v>
      </c>
      <c r="Z101" s="158">
        <f t="shared" si="41"/>
        <v>0</v>
      </c>
      <c r="AA101" s="158">
        <f t="shared" si="41"/>
        <v>0</v>
      </c>
      <c r="AB101" s="158">
        <f t="shared" si="41"/>
        <v>0</v>
      </c>
      <c r="AC101" s="158">
        <f t="shared" si="41"/>
        <v>0</v>
      </c>
      <c r="AD101" s="158">
        <f t="shared" si="41"/>
        <v>0</v>
      </c>
      <c r="AE101" s="158">
        <f t="shared" si="41"/>
        <v>0</v>
      </c>
      <c r="AF101" s="158">
        <f t="shared" si="41"/>
        <v>0</v>
      </c>
      <c r="AG101" s="158">
        <f t="shared" si="41"/>
        <v>0</v>
      </c>
      <c r="AH101" s="158">
        <f t="shared" si="41"/>
        <v>0</v>
      </c>
      <c r="AI101" s="158">
        <f t="shared" si="41"/>
        <v>0</v>
      </c>
      <c r="AJ101" s="158">
        <f t="shared" si="41"/>
        <v>0</v>
      </c>
      <c r="AK101" s="158">
        <f t="shared" si="41"/>
        <v>0</v>
      </c>
      <c r="AL101" s="158">
        <f t="shared" si="41"/>
        <v>0</v>
      </c>
      <c r="AM101" s="158">
        <f t="shared" si="41"/>
        <v>0</v>
      </c>
      <c r="AN101" s="158">
        <f t="shared" si="41"/>
        <v>0</v>
      </c>
      <c r="AO101" s="158">
        <f t="shared" si="41"/>
        <v>0</v>
      </c>
      <c r="AP101" s="158">
        <f t="shared" si="41"/>
        <v>0</v>
      </c>
      <c r="AQ101" s="158">
        <f t="shared" si="41"/>
        <v>0</v>
      </c>
      <c r="AR101" s="158">
        <f t="shared" si="41"/>
        <v>0</v>
      </c>
      <c r="AS101" s="158">
        <f t="shared" si="41"/>
        <v>0</v>
      </c>
    </row>
    <row r="102" spans="2:45" hidden="1" outlineLevel="2" x14ac:dyDescent="0.15">
      <c r="B102" s="107" t="s">
        <v>375</v>
      </c>
      <c r="J102" s="81">
        <f t="shared" ref="J102:AS102" si="42">SUM(J101:J101)</f>
        <v>0</v>
      </c>
      <c r="K102" s="81">
        <f t="shared" si="42"/>
        <v>0</v>
      </c>
      <c r="L102" s="81">
        <f t="shared" si="42"/>
        <v>0</v>
      </c>
      <c r="M102" s="81">
        <f t="shared" si="42"/>
        <v>0</v>
      </c>
      <c r="N102" s="81">
        <f t="shared" si="42"/>
        <v>0</v>
      </c>
      <c r="O102" s="81">
        <f t="shared" si="42"/>
        <v>0</v>
      </c>
      <c r="P102" s="81">
        <f t="shared" si="42"/>
        <v>0</v>
      </c>
      <c r="Q102" s="81">
        <f t="shared" si="42"/>
        <v>0</v>
      </c>
      <c r="R102" s="81">
        <f t="shared" si="42"/>
        <v>0</v>
      </c>
      <c r="S102" s="81">
        <f t="shared" si="42"/>
        <v>0</v>
      </c>
      <c r="T102" s="81">
        <f t="shared" si="42"/>
        <v>0</v>
      </c>
      <c r="U102" s="81">
        <f t="shared" si="42"/>
        <v>0</v>
      </c>
      <c r="V102" s="81">
        <f t="shared" si="42"/>
        <v>0</v>
      </c>
      <c r="W102" s="81">
        <f t="shared" si="42"/>
        <v>0</v>
      </c>
      <c r="X102" s="81">
        <f t="shared" si="42"/>
        <v>0</v>
      </c>
      <c r="Y102" s="81">
        <f t="shared" si="42"/>
        <v>0</v>
      </c>
      <c r="Z102" s="81">
        <f t="shared" si="42"/>
        <v>0</v>
      </c>
      <c r="AA102" s="81">
        <f t="shared" si="42"/>
        <v>0</v>
      </c>
      <c r="AB102" s="81">
        <f t="shared" si="42"/>
        <v>0</v>
      </c>
      <c r="AC102" s="81">
        <f t="shared" si="42"/>
        <v>0</v>
      </c>
      <c r="AD102" s="81">
        <f t="shared" si="42"/>
        <v>0</v>
      </c>
      <c r="AE102" s="81">
        <f t="shared" si="42"/>
        <v>0</v>
      </c>
      <c r="AF102" s="81">
        <f t="shared" si="42"/>
        <v>0</v>
      </c>
      <c r="AG102" s="81">
        <f t="shared" si="42"/>
        <v>0</v>
      </c>
      <c r="AH102" s="81">
        <f t="shared" si="42"/>
        <v>0</v>
      </c>
      <c r="AI102" s="81">
        <f t="shared" si="42"/>
        <v>0</v>
      </c>
      <c r="AJ102" s="81">
        <f t="shared" si="42"/>
        <v>0</v>
      </c>
      <c r="AK102" s="81">
        <f t="shared" si="42"/>
        <v>0</v>
      </c>
      <c r="AL102" s="81">
        <f t="shared" si="42"/>
        <v>0</v>
      </c>
      <c r="AM102" s="81">
        <f t="shared" si="42"/>
        <v>0</v>
      </c>
      <c r="AN102" s="81">
        <f t="shared" si="42"/>
        <v>0</v>
      </c>
      <c r="AO102" s="81">
        <f t="shared" si="42"/>
        <v>0</v>
      </c>
      <c r="AP102" s="81">
        <f t="shared" si="42"/>
        <v>0</v>
      </c>
      <c r="AQ102" s="81">
        <f t="shared" si="42"/>
        <v>0</v>
      </c>
      <c r="AR102" s="81">
        <f t="shared" si="42"/>
        <v>0</v>
      </c>
      <c r="AS102" s="81">
        <f t="shared" si="42"/>
        <v>0</v>
      </c>
    </row>
    <row r="103" spans="2:45" ht="6" hidden="1" customHeight="1" outlineLevel="2" x14ac:dyDescent="0.15"/>
    <row r="104" spans="2:45" hidden="1" outlineLevel="2" x14ac:dyDescent="0.15">
      <c r="B104" s="107" t="str">
        <f>B114</f>
        <v>Other Current Liabilities Category 1</v>
      </c>
      <c r="J104" s="158">
        <f t="shared" ref="J104:AS104" si="43">J118-J101</f>
        <v>0</v>
      </c>
      <c r="K104" s="158">
        <f t="shared" si="43"/>
        <v>0</v>
      </c>
      <c r="L104" s="158">
        <f t="shared" si="43"/>
        <v>0</v>
      </c>
      <c r="M104" s="158">
        <f t="shared" si="43"/>
        <v>0</v>
      </c>
      <c r="N104" s="158">
        <f t="shared" si="43"/>
        <v>0</v>
      </c>
      <c r="O104" s="158">
        <f t="shared" si="43"/>
        <v>0</v>
      </c>
      <c r="P104" s="158">
        <f t="shared" si="43"/>
        <v>0</v>
      </c>
      <c r="Q104" s="158">
        <f t="shared" si="43"/>
        <v>0</v>
      </c>
      <c r="R104" s="158">
        <f t="shared" si="43"/>
        <v>0</v>
      </c>
      <c r="S104" s="158">
        <f t="shared" si="43"/>
        <v>0</v>
      </c>
      <c r="T104" s="158">
        <f t="shared" si="43"/>
        <v>0</v>
      </c>
      <c r="U104" s="158">
        <f t="shared" si="43"/>
        <v>0</v>
      </c>
      <c r="V104" s="158">
        <f t="shared" si="43"/>
        <v>0</v>
      </c>
      <c r="W104" s="158">
        <f t="shared" si="43"/>
        <v>0</v>
      </c>
      <c r="X104" s="158">
        <f t="shared" si="43"/>
        <v>0</v>
      </c>
      <c r="Y104" s="158">
        <f t="shared" si="43"/>
        <v>0</v>
      </c>
      <c r="Z104" s="158">
        <f t="shared" si="43"/>
        <v>0</v>
      </c>
      <c r="AA104" s="158">
        <f t="shared" si="43"/>
        <v>0</v>
      </c>
      <c r="AB104" s="158">
        <f t="shared" si="43"/>
        <v>0</v>
      </c>
      <c r="AC104" s="158">
        <f t="shared" si="43"/>
        <v>0</v>
      </c>
      <c r="AD104" s="158">
        <f t="shared" si="43"/>
        <v>0</v>
      </c>
      <c r="AE104" s="158">
        <f t="shared" si="43"/>
        <v>0</v>
      </c>
      <c r="AF104" s="158">
        <f t="shared" si="43"/>
        <v>0</v>
      </c>
      <c r="AG104" s="158">
        <f t="shared" si="43"/>
        <v>0</v>
      </c>
      <c r="AH104" s="158">
        <f t="shared" si="43"/>
        <v>0</v>
      </c>
      <c r="AI104" s="158">
        <f t="shared" si="43"/>
        <v>0</v>
      </c>
      <c r="AJ104" s="158">
        <f t="shared" si="43"/>
        <v>0</v>
      </c>
      <c r="AK104" s="158">
        <f t="shared" si="43"/>
        <v>0</v>
      </c>
      <c r="AL104" s="158">
        <f t="shared" si="43"/>
        <v>0</v>
      </c>
      <c r="AM104" s="158">
        <f t="shared" si="43"/>
        <v>0</v>
      </c>
      <c r="AN104" s="158">
        <f t="shared" si="43"/>
        <v>0</v>
      </c>
      <c r="AO104" s="158">
        <f t="shared" si="43"/>
        <v>0</v>
      </c>
      <c r="AP104" s="158">
        <f t="shared" si="43"/>
        <v>0</v>
      </c>
      <c r="AQ104" s="158">
        <f t="shared" si="43"/>
        <v>0</v>
      </c>
      <c r="AR104" s="158">
        <f t="shared" si="43"/>
        <v>0</v>
      </c>
      <c r="AS104" s="158">
        <f t="shared" si="43"/>
        <v>0</v>
      </c>
    </row>
    <row r="105" spans="2:45" hidden="1" outlineLevel="2" x14ac:dyDescent="0.15">
      <c r="B105" s="107" t="s">
        <v>623</v>
      </c>
      <c r="J105" s="81">
        <f t="shared" ref="J105:AS105" si="44">SUM(J104:J104)</f>
        <v>0</v>
      </c>
      <c r="K105" s="81">
        <f t="shared" si="44"/>
        <v>0</v>
      </c>
      <c r="L105" s="81">
        <f t="shared" si="44"/>
        <v>0</v>
      </c>
      <c r="M105" s="81">
        <f t="shared" si="44"/>
        <v>0</v>
      </c>
      <c r="N105" s="81">
        <f t="shared" si="44"/>
        <v>0</v>
      </c>
      <c r="O105" s="81">
        <f t="shared" si="44"/>
        <v>0</v>
      </c>
      <c r="P105" s="81">
        <f t="shared" si="44"/>
        <v>0</v>
      </c>
      <c r="Q105" s="81">
        <f t="shared" si="44"/>
        <v>0</v>
      </c>
      <c r="R105" s="81">
        <f t="shared" si="44"/>
        <v>0</v>
      </c>
      <c r="S105" s="81">
        <f t="shared" si="44"/>
        <v>0</v>
      </c>
      <c r="T105" s="81">
        <f t="shared" si="44"/>
        <v>0</v>
      </c>
      <c r="U105" s="81">
        <f t="shared" si="44"/>
        <v>0</v>
      </c>
      <c r="V105" s="81">
        <f t="shared" si="44"/>
        <v>0</v>
      </c>
      <c r="W105" s="81">
        <f t="shared" si="44"/>
        <v>0</v>
      </c>
      <c r="X105" s="81">
        <f t="shared" si="44"/>
        <v>0</v>
      </c>
      <c r="Y105" s="81">
        <f t="shared" si="44"/>
        <v>0</v>
      </c>
      <c r="Z105" s="81">
        <f t="shared" si="44"/>
        <v>0</v>
      </c>
      <c r="AA105" s="81">
        <f t="shared" si="44"/>
        <v>0</v>
      </c>
      <c r="AB105" s="81">
        <f t="shared" si="44"/>
        <v>0</v>
      </c>
      <c r="AC105" s="81">
        <f t="shared" si="44"/>
        <v>0</v>
      </c>
      <c r="AD105" s="81">
        <f t="shared" si="44"/>
        <v>0</v>
      </c>
      <c r="AE105" s="81">
        <f t="shared" si="44"/>
        <v>0</v>
      </c>
      <c r="AF105" s="81">
        <f t="shared" si="44"/>
        <v>0</v>
      </c>
      <c r="AG105" s="81">
        <f t="shared" si="44"/>
        <v>0</v>
      </c>
      <c r="AH105" s="81">
        <f t="shared" si="44"/>
        <v>0</v>
      </c>
      <c r="AI105" s="81">
        <f t="shared" si="44"/>
        <v>0</v>
      </c>
      <c r="AJ105" s="81">
        <f t="shared" si="44"/>
        <v>0</v>
      </c>
      <c r="AK105" s="81">
        <f t="shared" si="44"/>
        <v>0</v>
      </c>
      <c r="AL105" s="81">
        <f t="shared" si="44"/>
        <v>0</v>
      </c>
      <c r="AM105" s="81">
        <f t="shared" si="44"/>
        <v>0</v>
      </c>
      <c r="AN105" s="81">
        <f t="shared" si="44"/>
        <v>0</v>
      </c>
      <c r="AO105" s="81">
        <f t="shared" si="44"/>
        <v>0</v>
      </c>
      <c r="AP105" s="81">
        <f t="shared" si="44"/>
        <v>0</v>
      </c>
      <c r="AQ105" s="81">
        <f t="shared" si="44"/>
        <v>0</v>
      </c>
      <c r="AR105" s="81">
        <f t="shared" si="44"/>
        <v>0</v>
      </c>
      <c r="AS105" s="81">
        <f t="shared" si="44"/>
        <v>0</v>
      </c>
    </row>
    <row r="106" spans="2:45" ht="6" hidden="1" customHeight="1" outlineLevel="2" x14ac:dyDescent="0.15"/>
    <row r="107" spans="2:45" outlineLevel="1" collapsed="1" x14ac:dyDescent="0.15">
      <c r="B107" s="16" t="s">
        <v>617</v>
      </c>
      <c r="I107" s="159">
        <f>Ts_Start_Date</f>
        <v>45139</v>
      </c>
    </row>
    <row r="108" spans="2:45" outlineLevel="1" x14ac:dyDescent="0.15">
      <c r="B108" s="107" t="str">
        <f>B114</f>
        <v>Other Current Liabilities Category 1</v>
      </c>
      <c r="I108" s="161">
        <f>I114</f>
        <v>0</v>
      </c>
      <c r="J108" s="14">
        <f t="shared" ref="J108:AS108" si="45">I108+J98</f>
        <v>0</v>
      </c>
      <c r="K108" s="14">
        <f t="shared" si="45"/>
        <v>0</v>
      </c>
      <c r="L108" s="14">
        <f t="shared" si="45"/>
        <v>0</v>
      </c>
      <c r="M108" s="14">
        <f t="shared" si="45"/>
        <v>0</v>
      </c>
      <c r="N108" s="14">
        <f t="shared" si="45"/>
        <v>0</v>
      </c>
      <c r="O108" s="14">
        <f t="shared" si="45"/>
        <v>0</v>
      </c>
      <c r="P108" s="14">
        <f t="shared" si="45"/>
        <v>0</v>
      </c>
      <c r="Q108" s="14">
        <f t="shared" si="45"/>
        <v>0</v>
      </c>
      <c r="R108" s="14">
        <f t="shared" si="45"/>
        <v>0</v>
      </c>
      <c r="S108" s="14">
        <f t="shared" si="45"/>
        <v>0</v>
      </c>
      <c r="T108" s="14">
        <f t="shared" si="45"/>
        <v>0</v>
      </c>
      <c r="U108" s="14">
        <f t="shared" si="45"/>
        <v>0</v>
      </c>
      <c r="V108" s="14">
        <f t="shared" si="45"/>
        <v>0</v>
      </c>
      <c r="W108" s="14">
        <f t="shared" si="45"/>
        <v>0</v>
      </c>
      <c r="X108" s="14">
        <f t="shared" si="45"/>
        <v>0</v>
      </c>
      <c r="Y108" s="14">
        <f t="shared" si="45"/>
        <v>0</v>
      </c>
      <c r="Z108" s="14">
        <f t="shared" si="45"/>
        <v>0</v>
      </c>
      <c r="AA108" s="14">
        <f t="shared" si="45"/>
        <v>0</v>
      </c>
      <c r="AB108" s="14">
        <f t="shared" si="45"/>
        <v>0</v>
      </c>
      <c r="AC108" s="14">
        <f t="shared" si="45"/>
        <v>0</v>
      </c>
      <c r="AD108" s="14">
        <f t="shared" si="45"/>
        <v>0</v>
      </c>
      <c r="AE108" s="14">
        <f t="shared" si="45"/>
        <v>0</v>
      </c>
      <c r="AF108" s="14">
        <f t="shared" si="45"/>
        <v>0</v>
      </c>
      <c r="AG108" s="14">
        <f t="shared" si="45"/>
        <v>0</v>
      </c>
      <c r="AH108" s="14">
        <f t="shared" si="45"/>
        <v>0</v>
      </c>
      <c r="AI108" s="14">
        <f t="shared" si="45"/>
        <v>0</v>
      </c>
      <c r="AJ108" s="14">
        <f t="shared" si="45"/>
        <v>0</v>
      </c>
      <c r="AK108" s="14">
        <f t="shared" si="45"/>
        <v>0</v>
      </c>
      <c r="AL108" s="14">
        <f t="shared" si="45"/>
        <v>0</v>
      </c>
      <c r="AM108" s="14">
        <f t="shared" si="45"/>
        <v>0</v>
      </c>
      <c r="AN108" s="14">
        <f t="shared" si="45"/>
        <v>0</v>
      </c>
      <c r="AO108" s="14">
        <f t="shared" si="45"/>
        <v>0</v>
      </c>
      <c r="AP108" s="14">
        <f t="shared" si="45"/>
        <v>0</v>
      </c>
      <c r="AQ108" s="14">
        <f t="shared" si="45"/>
        <v>0</v>
      </c>
      <c r="AR108" s="14">
        <f t="shared" si="45"/>
        <v>0</v>
      </c>
      <c r="AS108" s="14">
        <f t="shared" si="45"/>
        <v>0</v>
      </c>
    </row>
    <row r="109" spans="2:45" outlineLevel="1" x14ac:dyDescent="0.15">
      <c r="B109" s="16" t="str">
        <f>"Total "&amp;B97</f>
        <v>Total Other Current Liabilities</v>
      </c>
      <c r="I109" s="18">
        <f ca="1">IF(ROWS(I$107:I$109)=2,0,SUM(OFFSET(I$107,1,0,ROWS(I$107:I$109)-2)))</f>
        <v>0</v>
      </c>
      <c r="J109" s="18">
        <f t="shared" ref="J109:AS109" ca="1" si="46">IF(ROWS(J$107:J$109)=2,0,SUM(OFFSET(J$107,1,0,ROWS(J$107:J$109)-2)))</f>
        <v>0</v>
      </c>
      <c r="K109" s="18">
        <f t="shared" ca="1" si="46"/>
        <v>0</v>
      </c>
      <c r="L109" s="18">
        <f t="shared" ca="1" si="46"/>
        <v>0</v>
      </c>
      <c r="M109" s="18">
        <f t="shared" ca="1" si="46"/>
        <v>0</v>
      </c>
      <c r="N109" s="18">
        <f t="shared" ca="1" si="46"/>
        <v>0</v>
      </c>
      <c r="O109" s="18">
        <f t="shared" ca="1" si="46"/>
        <v>0</v>
      </c>
      <c r="P109" s="18">
        <f t="shared" ca="1" si="46"/>
        <v>0</v>
      </c>
      <c r="Q109" s="18">
        <f t="shared" ca="1" si="46"/>
        <v>0</v>
      </c>
      <c r="R109" s="18">
        <f t="shared" ca="1" si="46"/>
        <v>0</v>
      </c>
      <c r="S109" s="18">
        <f t="shared" ca="1" si="46"/>
        <v>0</v>
      </c>
      <c r="T109" s="18">
        <f t="shared" ca="1" si="46"/>
        <v>0</v>
      </c>
      <c r="U109" s="18">
        <f t="shared" ca="1" si="46"/>
        <v>0</v>
      </c>
      <c r="V109" s="18">
        <f t="shared" ca="1" si="46"/>
        <v>0</v>
      </c>
      <c r="W109" s="18">
        <f t="shared" ca="1" si="46"/>
        <v>0</v>
      </c>
      <c r="X109" s="18">
        <f t="shared" ca="1" si="46"/>
        <v>0</v>
      </c>
      <c r="Y109" s="18">
        <f t="shared" ca="1" si="46"/>
        <v>0</v>
      </c>
      <c r="Z109" s="18">
        <f t="shared" ca="1" si="46"/>
        <v>0</v>
      </c>
      <c r="AA109" s="18">
        <f t="shared" ca="1" si="46"/>
        <v>0</v>
      </c>
      <c r="AB109" s="18">
        <f t="shared" ca="1" si="46"/>
        <v>0</v>
      </c>
      <c r="AC109" s="18">
        <f t="shared" ca="1" si="46"/>
        <v>0</v>
      </c>
      <c r="AD109" s="18">
        <f t="shared" ca="1" si="46"/>
        <v>0</v>
      </c>
      <c r="AE109" s="18">
        <f t="shared" ca="1" si="46"/>
        <v>0</v>
      </c>
      <c r="AF109" s="18">
        <f t="shared" ca="1" si="46"/>
        <v>0</v>
      </c>
      <c r="AG109" s="18">
        <f t="shared" ca="1" si="46"/>
        <v>0</v>
      </c>
      <c r="AH109" s="18">
        <f t="shared" ca="1" si="46"/>
        <v>0</v>
      </c>
      <c r="AI109" s="18">
        <f t="shared" ca="1" si="46"/>
        <v>0</v>
      </c>
      <c r="AJ109" s="18">
        <f t="shared" ca="1" si="46"/>
        <v>0</v>
      </c>
      <c r="AK109" s="18">
        <f t="shared" ca="1" si="46"/>
        <v>0</v>
      </c>
      <c r="AL109" s="18">
        <f t="shared" ca="1" si="46"/>
        <v>0</v>
      </c>
      <c r="AM109" s="18">
        <f t="shared" ca="1" si="46"/>
        <v>0</v>
      </c>
      <c r="AN109" s="18">
        <f t="shared" ca="1" si="46"/>
        <v>0</v>
      </c>
      <c r="AO109" s="18">
        <f t="shared" ca="1" si="46"/>
        <v>0</v>
      </c>
      <c r="AP109" s="18">
        <f t="shared" ca="1" si="46"/>
        <v>0</v>
      </c>
      <c r="AQ109" s="18">
        <f t="shared" ca="1" si="46"/>
        <v>0</v>
      </c>
      <c r="AR109" s="18">
        <f t="shared" ca="1" si="46"/>
        <v>0</v>
      </c>
      <c r="AS109" s="18">
        <f t="shared" ca="1" si="46"/>
        <v>0</v>
      </c>
    </row>
    <row r="110" spans="2:45" ht="6" customHeight="1" outlineLevel="1" x14ac:dyDescent="0.15"/>
    <row r="111" spans="2:45" outlineLevel="1" x14ac:dyDescent="0.15">
      <c r="B111" s="107" t="s">
        <v>624</v>
      </c>
      <c r="J111" s="81">
        <f t="shared" ref="J111:AS111" si="47">J105</f>
        <v>0</v>
      </c>
      <c r="K111" s="81">
        <f t="shared" si="47"/>
        <v>0</v>
      </c>
      <c r="L111" s="81">
        <f t="shared" si="47"/>
        <v>0</v>
      </c>
      <c r="M111" s="81">
        <f t="shared" si="47"/>
        <v>0</v>
      </c>
      <c r="N111" s="81">
        <f t="shared" si="47"/>
        <v>0</v>
      </c>
      <c r="O111" s="81">
        <f t="shared" si="47"/>
        <v>0</v>
      </c>
      <c r="P111" s="81">
        <f t="shared" si="47"/>
        <v>0</v>
      </c>
      <c r="Q111" s="81">
        <f t="shared" si="47"/>
        <v>0</v>
      </c>
      <c r="R111" s="81">
        <f t="shared" si="47"/>
        <v>0</v>
      </c>
      <c r="S111" s="81">
        <f t="shared" si="47"/>
        <v>0</v>
      </c>
      <c r="T111" s="81">
        <f t="shared" si="47"/>
        <v>0</v>
      </c>
      <c r="U111" s="81">
        <f t="shared" si="47"/>
        <v>0</v>
      </c>
      <c r="V111" s="81">
        <f t="shared" si="47"/>
        <v>0</v>
      </c>
      <c r="W111" s="81">
        <f t="shared" si="47"/>
        <v>0</v>
      </c>
      <c r="X111" s="81">
        <f t="shared" si="47"/>
        <v>0</v>
      </c>
      <c r="Y111" s="81">
        <f t="shared" si="47"/>
        <v>0</v>
      </c>
      <c r="Z111" s="81">
        <f t="shared" si="47"/>
        <v>0</v>
      </c>
      <c r="AA111" s="81">
        <f t="shared" si="47"/>
        <v>0</v>
      </c>
      <c r="AB111" s="81">
        <f t="shared" si="47"/>
        <v>0</v>
      </c>
      <c r="AC111" s="81">
        <f t="shared" si="47"/>
        <v>0</v>
      </c>
      <c r="AD111" s="81">
        <f t="shared" si="47"/>
        <v>0</v>
      </c>
      <c r="AE111" s="81">
        <f t="shared" si="47"/>
        <v>0</v>
      </c>
      <c r="AF111" s="81">
        <f t="shared" si="47"/>
        <v>0</v>
      </c>
      <c r="AG111" s="81">
        <f t="shared" si="47"/>
        <v>0</v>
      </c>
      <c r="AH111" s="81">
        <f t="shared" si="47"/>
        <v>0</v>
      </c>
      <c r="AI111" s="81">
        <f t="shared" si="47"/>
        <v>0</v>
      </c>
      <c r="AJ111" s="81">
        <f t="shared" si="47"/>
        <v>0</v>
      </c>
      <c r="AK111" s="81">
        <f t="shared" si="47"/>
        <v>0</v>
      </c>
      <c r="AL111" s="81">
        <f t="shared" si="47"/>
        <v>0</v>
      </c>
      <c r="AM111" s="81">
        <f t="shared" si="47"/>
        <v>0</v>
      </c>
      <c r="AN111" s="81">
        <f t="shared" si="47"/>
        <v>0</v>
      </c>
      <c r="AO111" s="81">
        <f t="shared" si="47"/>
        <v>0</v>
      </c>
      <c r="AP111" s="81">
        <f t="shared" si="47"/>
        <v>0</v>
      </c>
      <c r="AQ111" s="81">
        <f t="shared" si="47"/>
        <v>0</v>
      </c>
      <c r="AR111" s="81">
        <f t="shared" si="47"/>
        <v>0</v>
      </c>
      <c r="AS111" s="81">
        <f t="shared" si="47"/>
        <v>0</v>
      </c>
    </row>
    <row r="112" spans="2:45" ht="6" customHeight="1" outlineLevel="1" x14ac:dyDescent="0.15"/>
    <row r="113" spans="2:45" hidden="1" outlineLevel="2" x14ac:dyDescent="0.15">
      <c r="B113" s="16" t="s">
        <v>625</v>
      </c>
      <c r="I113" s="159">
        <f>Ts_Start_Date</f>
        <v>45139</v>
      </c>
    </row>
    <row r="114" spans="2:45" ht="12" hidden="1" customHeight="1" outlineLevel="2" x14ac:dyDescent="0.15">
      <c r="B114" s="339" t="str">
        <f>OBS!B48</f>
        <v>Other Current Liabilities Category 1</v>
      </c>
      <c r="C114" s="339"/>
      <c r="D114" s="339"/>
      <c r="E114" s="339"/>
      <c r="F114" s="339"/>
      <c r="G114" s="339"/>
      <c r="I114" s="161">
        <f>OBS!J48</f>
        <v>0</v>
      </c>
    </row>
    <row r="115" spans="2:45" ht="12" hidden="1" customHeight="1" outlineLevel="2" x14ac:dyDescent="0.15">
      <c r="B115" s="341" t="str">
        <f>"Total "&amp;B113</f>
        <v>Total Opening Other Current Liabilities</v>
      </c>
      <c r="C115" s="341"/>
      <c r="D115" s="341"/>
      <c r="E115" s="341"/>
      <c r="F115" s="341"/>
      <c r="G115" s="341"/>
      <c r="I115" s="160">
        <f>SUM(I114:I114)</f>
        <v>0</v>
      </c>
    </row>
    <row r="116" spans="2:45" ht="6" hidden="1" customHeight="1" outlineLevel="2" x14ac:dyDescent="0.15"/>
    <row r="117" spans="2:45" hidden="1" outlineLevel="2" x14ac:dyDescent="0.15">
      <c r="B117" s="16" t="str">
        <f>B97</f>
        <v>Other Current Liabilities</v>
      </c>
    </row>
    <row r="118" spans="2:45" hidden="1" outlineLevel="2" x14ac:dyDescent="0.15">
      <c r="B118" s="107" t="str">
        <f>B114</f>
        <v>Other Current Liabilities Category 1</v>
      </c>
      <c r="J118" s="14">
        <f t="shared" ref="J118:AS118" si="48">J108</f>
        <v>0</v>
      </c>
      <c r="K118" s="14">
        <f t="shared" si="48"/>
        <v>0</v>
      </c>
      <c r="L118" s="14">
        <f t="shared" si="48"/>
        <v>0</v>
      </c>
      <c r="M118" s="14">
        <f t="shared" si="48"/>
        <v>0</v>
      </c>
      <c r="N118" s="14">
        <f t="shared" si="48"/>
        <v>0</v>
      </c>
      <c r="O118" s="14">
        <f t="shared" si="48"/>
        <v>0</v>
      </c>
      <c r="P118" s="14">
        <f t="shared" si="48"/>
        <v>0</v>
      </c>
      <c r="Q118" s="14">
        <f t="shared" si="48"/>
        <v>0</v>
      </c>
      <c r="R118" s="14">
        <f t="shared" si="48"/>
        <v>0</v>
      </c>
      <c r="S118" s="14">
        <f t="shared" si="48"/>
        <v>0</v>
      </c>
      <c r="T118" s="14">
        <f t="shared" si="48"/>
        <v>0</v>
      </c>
      <c r="U118" s="14">
        <f t="shared" si="48"/>
        <v>0</v>
      </c>
      <c r="V118" s="14">
        <f t="shared" si="48"/>
        <v>0</v>
      </c>
      <c r="W118" s="14">
        <f t="shared" si="48"/>
        <v>0</v>
      </c>
      <c r="X118" s="14">
        <f t="shared" si="48"/>
        <v>0</v>
      </c>
      <c r="Y118" s="14">
        <f t="shared" si="48"/>
        <v>0</v>
      </c>
      <c r="Z118" s="14">
        <f t="shared" si="48"/>
        <v>0</v>
      </c>
      <c r="AA118" s="14">
        <f t="shared" si="48"/>
        <v>0</v>
      </c>
      <c r="AB118" s="14">
        <f t="shared" si="48"/>
        <v>0</v>
      </c>
      <c r="AC118" s="14">
        <f t="shared" si="48"/>
        <v>0</v>
      </c>
      <c r="AD118" s="14">
        <f t="shared" si="48"/>
        <v>0</v>
      </c>
      <c r="AE118" s="14">
        <f t="shared" si="48"/>
        <v>0</v>
      </c>
      <c r="AF118" s="14">
        <f t="shared" si="48"/>
        <v>0</v>
      </c>
      <c r="AG118" s="14">
        <f t="shared" si="48"/>
        <v>0</v>
      </c>
      <c r="AH118" s="14">
        <f t="shared" si="48"/>
        <v>0</v>
      </c>
      <c r="AI118" s="14">
        <f t="shared" si="48"/>
        <v>0</v>
      </c>
      <c r="AJ118" s="14">
        <f t="shared" si="48"/>
        <v>0</v>
      </c>
      <c r="AK118" s="14">
        <f t="shared" si="48"/>
        <v>0</v>
      </c>
      <c r="AL118" s="14">
        <f t="shared" si="48"/>
        <v>0</v>
      </c>
      <c r="AM118" s="14">
        <f t="shared" si="48"/>
        <v>0</v>
      </c>
      <c r="AN118" s="14">
        <f t="shared" si="48"/>
        <v>0</v>
      </c>
      <c r="AO118" s="14">
        <f t="shared" si="48"/>
        <v>0</v>
      </c>
      <c r="AP118" s="14">
        <f t="shared" si="48"/>
        <v>0</v>
      </c>
      <c r="AQ118" s="14">
        <f t="shared" si="48"/>
        <v>0</v>
      </c>
      <c r="AR118" s="14">
        <f t="shared" si="48"/>
        <v>0</v>
      </c>
      <c r="AS118" s="14">
        <f t="shared" si="48"/>
        <v>0</v>
      </c>
    </row>
    <row r="119" spans="2:45" hidden="1" outlineLevel="2" x14ac:dyDescent="0.15">
      <c r="B119" s="16" t="str">
        <f>B109</f>
        <v>Total Other Current Liabilities</v>
      </c>
      <c r="J119" s="18">
        <f t="shared" ref="J119:AS119" si="49">SUM(J118:J118)</f>
        <v>0</v>
      </c>
      <c r="K119" s="18">
        <f t="shared" si="49"/>
        <v>0</v>
      </c>
      <c r="L119" s="18">
        <f t="shared" si="49"/>
        <v>0</v>
      </c>
      <c r="M119" s="18">
        <f t="shared" si="49"/>
        <v>0</v>
      </c>
      <c r="N119" s="18">
        <f t="shared" si="49"/>
        <v>0</v>
      </c>
      <c r="O119" s="18">
        <f t="shared" si="49"/>
        <v>0</v>
      </c>
      <c r="P119" s="18">
        <f t="shared" si="49"/>
        <v>0</v>
      </c>
      <c r="Q119" s="18">
        <f t="shared" si="49"/>
        <v>0</v>
      </c>
      <c r="R119" s="18">
        <f t="shared" si="49"/>
        <v>0</v>
      </c>
      <c r="S119" s="18">
        <f t="shared" si="49"/>
        <v>0</v>
      </c>
      <c r="T119" s="18">
        <f t="shared" si="49"/>
        <v>0</v>
      </c>
      <c r="U119" s="18">
        <f t="shared" si="49"/>
        <v>0</v>
      </c>
      <c r="V119" s="18">
        <f t="shared" si="49"/>
        <v>0</v>
      </c>
      <c r="W119" s="18">
        <f t="shared" si="49"/>
        <v>0</v>
      </c>
      <c r="X119" s="18">
        <f t="shared" si="49"/>
        <v>0</v>
      </c>
      <c r="Y119" s="18">
        <f t="shared" si="49"/>
        <v>0</v>
      </c>
      <c r="Z119" s="18">
        <f t="shared" si="49"/>
        <v>0</v>
      </c>
      <c r="AA119" s="18">
        <f t="shared" si="49"/>
        <v>0</v>
      </c>
      <c r="AB119" s="18">
        <f t="shared" si="49"/>
        <v>0</v>
      </c>
      <c r="AC119" s="18">
        <f t="shared" si="49"/>
        <v>0</v>
      </c>
      <c r="AD119" s="18">
        <f t="shared" si="49"/>
        <v>0</v>
      </c>
      <c r="AE119" s="18">
        <f t="shared" si="49"/>
        <v>0</v>
      </c>
      <c r="AF119" s="18">
        <f t="shared" si="49"/>
        <v>0</v>
      </c>
      <c r="AG119" s="18">
        <f t="shared" si="49"/>
        <v>0</v>
      </c>
      <c r="AH119" s="18">
        <f t="shared" si="49"/>
        <v>0</v>
      </c>
      <c r="AI119" s="18">
        <f t="shared" si="49"/>
        <v>0</v>
      </c>
      <c r="AJ119" s="18">
        <f t="shared" si="49"/>
        <v>0</v>
      </c>
      <c r="AK119" s="18">
        <f t="shared" si="49"/>
        <v>0</v>
      </c>
      <c r="AL119" s="18">
        <f t="shared" si="49"/>
        <v>0</v>
      </c>
      <c r="AM119" s="18">
        <f t="shared" si="49"/>
        <v>0</v>
      </c>
      <c r="AN119" s="18">
        <f t="shared" si="49"/>
        <v>0</v>
      </c>
      <c r="AO119" s="18">
        <f t="shared" si="49"/>
        <v>0</v>
      </c>
      <c r="AP119" s="18">
        <f t="shared" si="49"/>
        <v>0</v>
      </c>
      <c r="AQ119" s="18">
        <f t="shared" si="49"/>
        <v>0</v>
      </c>
      <c r="AR119" s="18">
        <f t="shared" si="49"/>
        <v>0</v>
      </c>
      <c r="AS119" s="18">
        <f t="shared" si="49"/>
        <v>0</v>
      </c>
    </row>
    <row r="120" spans="2:45" ht="6" hidden="1" customHeight="1" outlineLevel="2" x14ac:dyDescent="0.15"/>
    <row r="121" spans="2:45" hidden="1" outlineLevel="2" x14ac:dyDescent="0.15">
      <c r="C121" s="107" t="s">
        <v>192</v>
      </c>
      <c r="J121" s="17">
        <f t="shared" ref="J121:AS121" ca="1" si="50">IF(ISERROR(J109-J119),1,0)</f>
        <v>0</v>
      </c>
      <c r="K121" s="17">
        <f t="shared" ca="1" si="50"/>
        <v>0</v>
      </c>
      <c r="L121" s="17">
        <f t="shared" ca="1" si="50"/>
        <v>0</v>
      </c>
      <c r="M121" s="17">
        <f t="shared" ca="1" si="50"/>
        <v>0</v>
      </c>
      <c r="N121" s="17">
        <f t="shared" ca="1" si="50"/>
        <v>0</v>
      </c>
      <c r="O121" s="17">
        <f t="shared" ca="1" si="50"/>
        <v>0</v>
      </c>
      <c r="P121" s="17">
        <f t="shared" ca="1" si="50"/>
        <v>0</v>
      </c>
      <c r="Q121" s="17">
        <f t="shared" ca="1" si="50"/>
        <v>0</v>
      </c>
      <c r="R121" s="17">
        <f t="shared" ca="1" si="50"/>
        <v>0</v>
      </c>
      <c r="S121" s="17">
        <f t="shared" ca="1" si="50"/>
        <v>0</v>
      </c>
      <c r="T121" s="17">
        <f t="shared" ca="1" si="50"/>
        <v>0</v>
      </c>
      <c r="U121" s="17">
        <f t="shared" ca="1" si="50"/>
        <v>0</v>
      </c>
      <c r="V121" s="17">
        <f t="shared" ca="1" si="50"/>
        <v>0</v>
      </c>
      <c r="W121" s="17">
        <f t="shared" ca="1" si="50"/>
        <v>0</v>
      </c>
      <c r="X121" s="17">
        <f t="shared" ca="1" si="50"/>
        <v>0</v>
      </c>
      <c r="Y121" s="17">
        <f t="shared" ca="1" si="50"/>
        <v>0</v>
      </c>
      <c r="Z121" s="17">
        <f t="shared" ca="1" si="50"/>
        <v>0</v>
      </c>
      <c r="AA121" s="17">
        <f t="shared" ca="1" si="50"/>
        <v>0</v>
      </c>
      <c r="AB121" s="17">
        <f t="shared" ca="1" si="50"/>
        <v>0</v>
      </c>
      <c r="AC121" s="17">
        <f t="shared" ca="1" si="50"/>
        <v>0</v>
      </c>
      <c r="AD121" s="17">
        <f t="shared" ca="1" si="50"/>
        <v>0</v>
      </c>
      <c r="AE121" s="17">
        <f t="shared" ca="1" si="50"/>
        <v>0</v>
      </c>
      <c r="AF121" s="17">
        <f t="shared" ca="1" si="50"/>
        <v>0</v>
      </c>
      <c r="AG121" s="17">
        <f t="shared" ca="1" si="50"/>
        <v>0</v>
      </c>
      <c r="AH121" s="17">
        <f t="shared" ca="1" si="50"/>
        <v>0</v>
      </c>
      <c r="AI121" s="17">
        <f t="shared" ca="1" si="50"/>
        <v>0</v>
      </c>
      <c r="AJ121" s="17">
        <f t="shared" ca="1" si="50"/>
        <v>0</v>
      </c>
      <c r="AK121" s="17">
        <f t="shared" ca="1" si="50"/>
        <v>0</v>
      </c>
      <c r="AL121" s="17">
        <f t="shared" ca="1" si="50"/>
        <v>0</v>
      </c>
      <c r="AM121" s="17">
        <f t="shared" ca="1" si="50"/>
        <v>0</v>
      </c>
      <c r="AN121" s="17">
        <f t="shared" ca="1" si="50"/>
        <v>0</v>
      </c>
      <c r="AO121" s="17">
        <f t="shared" ca="1" si="50"/>
        <v>0</v>
      </c>
      <c r="AP121" s="17">
        <f t="shared" ca="1" si="50"/>
        <v>0</v>
      </c>
      <c r="AQ121" s="17">
        <f t="shared" ca="1" si="50"/>
        <v>0</v>
      </c>
      <c r="AR121" s="17">
        <f t="shared" ca="1" si="50"/>
        <v>0</v>
      </c>
      <c r="AS121" s="17">
        <f t="shared" ca="1" si="50"/>
        <v>0</v>
      </c>
    </row>
    <row r="122" spans="2:45" hidden="1" outlineLevel="2" x14ac:dyDescent="0.15">
      <c r="C122" s="107" t="s">
        <v>334</v>
      </c>
      <c r="J122" s="42">
        <f t="shared" ref="J122:AS122" ca="1" si="51">IF(J121&lt;&gt;0,0,IF(ROUND(J109-J119,5)&lt;&gt;0,1,0))</f>
        <v>0</v>
      </c>
      <c r="K122" s="42">
        <f t="shared" ca="1" si="51"/>
        <v>0</v>
      </c>
      <c r="L122" s="42">
        <f t="shared" ca="1" si="51"/>
        <v>0</v>
      </c>
      <c r="M122" s="42">
        <f t="shared" ca="1" si="51"/>
        <v>0</v>
      </c>
      <c r="N122" s="42">
        <f t="shared" ca="1" si="51"/>
        <v>0</v>
      </c>
      <c r="O122" s="42">
        <f t="shared" ca="1" si="51"/>
        <v>0</v>
      </c>
      <c r="P122" s="42">
        <f t="shared" ca="1" si="51"/>
        <v>0</v>
      </c>
      <c r="Q122" s="42">
        <f t="shared" ca="1" si="51"/>
        <v>0</v>
      </c>
      <c r="R122" s="42">
        <f t="shared" ca="1" si="51"/>
        <v>0</v>
      </c>
      <c r="S122" s="42">
        <f t="shared" ca="1" si="51"/>
        <v>0</v>
      </c>
      <c r="T122" s="42">
        <f t="shared" ca="1" si="51"/>
        <v>0</v>
      </c>
      <c r="U122" s="42">
        <f t="shared" ca="1" si="51"/>
        <v>0</v>
      </c>
      <c r="V122" s="42">
        <f t="shared" ca="1" si="51"/>
        <v>0</v>
      </c>
      <c r="W122" s="42">
        <f t="shared" ca="1" si="51"/>
        <v>0</v>
      </c>
      <c r="X122" s="42">
        <f t="shared" ca="1" si="51"/>
        <v>0</v>
      </c>
      <c r="Y122" s="42">
        <f t="shared" ca="1" si="51"/>
        <v>0</v>
      </c>
      <c r="Z122" s="42">
        <f t="shared" ca="1" si="51"/>
        <v>0</v>
      </c>
      <c r="AA122" s="42">
        <f t="shared" ca="1" si="51"/>
        <v>0</v>
      </c>
      <c r="AB122" s="42">
        <f t="shared" ca="1" si="51"/>
        <v>0</v>
      </c>
      <c r="AC122" s="42">
        <f t="shared" ca="1" si="51"/>
        <v>0</v>
      </c>
      <c r="AD122" s="42">
        <f t="shared" ca="1" si="51"/>
        <v>0</v>
      </c>
      <c r="AE122" s="42">
        <f t="shared" ca="1" si="51"/>
        <v>0</v>
      </c>
      <c r="AF122" s="42">
        <f t="shared" ca="1" si="51"/>
        <v>0</v>
      </c>
      <c r="AG122" s="42">
        <f t="shared" ca="1" si="51"/>
        <v>0</v>
      </c>
      <c r="AH122" s="42">
        <f t="shared" ca="1" si="51"/>
        <v>0</v>
      </c>
      <c r="AI122" s="42">
        <f t="shared" ca="1" si="51"/>
        <v>0</v>
      </c>
      <c r="AJ122" s="42">
        <f t="shared" ca="1" si="51"/>
        <v>0</v>
      </c>
      <c r="AK122" s="42">
        <f t="shared" ca="1" si="51"/>
        <v>0</v>
      </c>
      <c r="AL122" s="42">
        <f t="shared" ca="1" si="51"/>
        <v>0</v>
      </c>
      <c r="AM122" s="42">
        <f t="shared" ca="1" si="51"/>
        <v>0</v>
      </c>
      <c r="AN122" s="42">
        <f t="shared" ca="1" si="51"/>
        <v>0</v>
      </c>
      <c r="AO122" s="42">
        <f t="shared" ca="1" si="51"/>
        <v>0</v>
      </c>
      <c r="AP122" s="42">
        <f t="shared" ca="1" si="51"/>
        <v>0</v>
      </c>
      <c r="AQ122" s="42">
        <f t="shared" ca="1" si="51"/>
        <v>0</v>
      </c>
      <c r="AR122" s="42">
        <f t="shared" ca="1" si="51"/>
        <v>0</v>
      </c>
      <c r="AS122" s="42">
        <f t="shared" ca="1" si="51"/>
        <v>0</v>
      </c>
    </row>
    <row r="123" spans="2:45" outlineLevel="1" collapsed="1" x14ac:dyDescent="0.15">
      <c r="B123" s="107" t="s">
        <v>335</v>
      </c>
      <c r="I123" s="22">
        <f ca="1">IF(ISERROR(SUM(J123:AS123)),1,MIN(SUM(J123:AS123),1))</f>
        <v>0</v>
      </c>
      <c r="J123" s="17">
        <f t="shared" ref="J123:AS123" ca="1" si="52">MIN(SUM(J121:J122),1)</f>
        <v>0</v>
      </c>
      <c r="K123" s="17">
        <f t="shared" ca="1" si="52"/>
        <v>0</v>
      </c>
      <c r="L123" s="17">
        <f t="shared" ca="1" si="52"/>
        <v>0</v>
      </c>
      <c r="M123" s="17">
        <f t="shared" ca="1" si="52"/>
        <v>0</v>
      </c>
      <c r="N123" s="17">
        <f t="shared" ca="1" si="52"/>
        <v>0</v>
      </c>
      <c r="O123" s="17">
        <f t="shared" ca="1" si="52"/>
        <v>0</v>
      </c>
      <c r="P123" s="17">
        <f t="shared" ca="1" si="52"/>
        <v>0</v>
      </c>
      <c r="Q123" s="17">
        <f t="shared" ca="1" si="52"/>
        <v>0</v>
      </c>
      <c r="R123" s="17">
        <f t="shared" ca="1" si="52"/>
        <v>0</v>
      </c>
      <c r="S123" s="17">
        <f t="shared" ca="1" si="52"/>
        <v>0</v>
      </c>
      <c r="T123" s="17">
        <f t="shared" ca="1" si="52"/>
        <v>0</v>
      </c>
      <c r="U123" s="17">
        <f t="shared" ca="1" si="52"/>
        <v>0</v>
      </c>
      <c r="V123" s="17">
        <f t="shared" ca="1" si="52"/>
        <v>0</v>
      </c>
      <c r="W123" s="17">
        <f t="shared" ca="1" si="52"/>
        <v>0</v>
      </c>
      <c r="X123" s="17">
        <f t="shared" ca="1" si="52"/>
        <v>0</v>
      </c>
      <c r="Y123" s="17">
        <f t="shared" ca="1" si="52"/>
        <v>0</v>
      </c>
      <c r="Z123" s="17">
        <f t="shared" ca="1" si="52"/>
        <v>0</v>
      </c>
      <c r="AA123" s="17">
        <f t="shared" ca="1" si="52"/>
        <v>0</v>
      </c>
      <c r="AB123" s="17">
        <f t="shared" ca="1" si="52"/>
        <v>0</v>
      </c>
      <c r="AC123" s="17">
        <f t="shared" ca="1" si="52"/>
        <v>0</v>
      </c>
      <c r="AD123" s="17">
        <f t="shared" ca="1" si="52"/>
        <v>0</v>
      </c>
      <c r="AE123" s="17">
        <f t="shared" ca="1" si="52"/>
        <v>0</v>
      </c>
      <c r="AF123" s="17">
        <f t="shared" ca="1" si="52"/>
        <v>0</v>
      </c>
      <c r="AG123" s="17">
        <f t="shared" ca="1" si="52"/>
        <v>0</v>
      </c>
      <c r="AH123" s="17">
        <f t="shared" ca="1" si="52"/>
        <v>0</v>
      </c>
      <c r="AI123" s="17">
        <f t="shared" ca="1" si="52"/>
        <v>0</v>
      </c>
      <c r="AJ123" s="17">
        <f t="shared" ca="1" si="52"/>
        <v>0</v>
      </c>
      <c r="AK123" s="17">
        <f t="shared" ca="1" si="52"/>
        <v>0</v>
      </c>
      <c r="AL123" s="17">
        <f t="shared" ca="1" si="52"/>
        <v>0</v>
      </c>
      <c r="AM123" s="17">
        <f t="shared" ca="1" si="52"/>
        <v>0</v>
      </c>
      <c r="AN123" s="17">
        <f t="shared" ca="1" si="52"/>
        <v>0</v>
      </c>
      <c r="AO123" s="17">
        <f t="shared" ca="1" si="52"/>
        <v>0</v>
      </c>
      <c r="AP123" s="17">
        <f t="shared" ca="1" si="52"/>
        <v>0</v>
      </c>
      <c r="AQ123" s="17">
        <f t="shared" ca="1" si="52"/>
        <v>0</v>
      </c>
      <c r="AR123" s="17">
        <f t="shared" ca="1" si="52"/>
        <v>0</v>
      </c>
      <c r="AS123" s="17">
        <f t="shared" ca="1" si="52"/>
        <v>0</v>
      </c>
    </row>
    <row r="125" spans="2:45" x14ac:dyDescent="0.15">
      <c r="B125" s="1" t="s">
        <v>108</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2:45" outlineLevel="1" x14ac:dyDescent="0.15"/>
    <row r="127" spans="2:45" outlineLevel="1" x14ac:dyDescent="0.15">
      <c r="B127" s="16" t="s">
        <v>108</v>
      </c>
      <c r="H127" s="155" t="s">
        <v>322</v>
      </c>
    </row>
    <row r="128" spans="2:45" outlineLevel="1" x14ac:dyDescent="0.15">
      <c r="B128" s="107" t="str">
        <f>B138</f>
        <v>Other Non-Current Liabilities Category 1</v>
      </c>
      <c r="H128" s="80" t="s">
        <v>615</v>
      </c>
      <c r="J128" s="176">
        <v>0</v>
      </c>
      <c r="K128" s="176">
        <v>0</v>
      </c>
      <c r="L128" s="176">
        <v>0</v>
      </c>
      <c r="M128" s="176">
        <v>0</v>
      </c>
      <c r="N128" s="176">
        <v>0</v>
      </c>
      <c r="O128" s="176">
        <v>0</v>
      </c>
      <c r="P128" s="176">
        <v>0</v>
      </c>
      <c r="Q128" s="176">
        <v>0</v>
      </c>
      <c r="R128" s="176">
        <v>0</v>
      </c>
      <c r="S128" s="176">
        <v>0</v>
      </c>
      <c r="T128" s="176">
        <v>0</v>
      </c>
      <c r="U128" s="176">
        <v>0</v>
      </c>
      <c r="V128" s="176">
        <v>0</v>
      </c>
      <c r="W128" s="176">
        <v>0</v>
      </c>
      <c r="X128" s="176">
        <v>0</v>
      </c>
      <c r="Y128" s="176">
        <v>0</v>
      </c>
      <c r="Z128" s="176">
        <v>0</v>
      </c>
      <c r="AA128" s="176">
        <v>0</v>
      </c>
      <c r="AB128" s="176">
        <v>0</v>
      </c>
      <c r="AC128" s="176">
        <v>0</v>
      </c>
      <c r="AD128" s="176">
        <v>0</v>
      </c>
      <c r="AE128" s="176">
        <v>0</v>
      </c>
      <c r="AF128" s="176">
        <v>0</v>
      </c>
      <c r="AG128" s="176">
        <v>0</v>
      </c>
      <c r="AH128" s="176">
        <v>0</v>
      </c>
      <c r="AI128" s="176">
        <v>0</v>
      </c>
      <c r="AJ128" s="176">
        <v>0</v>
      </c>
      <c r="AK128" s="176">
        <v>0</v>
      </c>
      <c r="AL128" s="176">
        <v>0</v>
      </c>
      <c r="AM128" s="176">
        <v>0</v>
      </c>
      <c r="AN128" s="176">
        <v>0</v>
      </c>
      <c r="AO128" s="176">
        <v>0</v>
      </c>
      <c r="AP128" s="176">
        <v>0</v>
      </c>
      <c r="AQ128" s="176">
        <v>0</v>
      </c>
      <c r="AR128" s="176">
        <v>0</v>
      </c>
      <c r="AS128" s="176">
        <v>0</v>
      </c>
    </row>
    <row r="129" spans="2:45" ht="3" customHeight="1" outlineLevel="1" x14ac:dyDescent="0.15"/>
    <row r="130" spans="2:45" ht="3" customHeight="1" outlineLevel="1" x14ac:dyDescent="0.15"/>
    <row r="131" spans="2:45" hidden="1" outlineLevel="2" x14ac:dyDescent="0.15">
      <c r="B131" s="107" t="str">
        <f>B144</f>
        <v>Other Non-Current Liabilities Category 1</v>
      </c>
      <c r="J131" s="158">
        <f t="shared" ref="J131:AS131" si="53">IF(J$8=1,$I144,I148)</f>
        <v>0</v>
      </c>
      <c r="K131" s="158">
        <f t="shared" si="53"/>
        <v>0</v>
      </c>
      <c r="L131" s="158">
        <f t="shared" si="53"/>
        <v>0</v>
      </c>
      <c r="M131" s="158">
        <f t="shared" si="53"/>
        <v>0</v>
      </c>
      <c r="N131" s="158">
        <f t="shared" si="53"/>
        <v>0</v>
      </c>
      <c r="O131" s="158">
        <f t="shared" si="53"/>
        <v>0</v>
      </c>
      <c r="P131" s="158">
        <f t="shared" si="53"/>
        <v>0</v>
      </c>
      <c r="Q131" s="158">
        <f t="shared" si="53"/>
        <v>0</v>
      </c>
      <c r="R131" s="158">
        <f t="shared" si="53"/>
        <v>0</v>
      </c>
      <c r="S131" s="158">
        <f t="shared" si="53"/>
        <v>0</v>
      </c>
      <c r="T131" s="158">
        <f t="shared" si="53"/>
        <v>0</v>
      </c>
      <c r="U131" s="158">
        <f t="shared" si="53"/>
        <v>0</v>
      </c>
      <c r="V131" s="158">
        <f t="shared" si="53"/>
        <v>0</v>
      </c>
      <c r="W131" s="158">
        <f t="shared" si="53"/>
        <v>0</v>
      </c>
      <c r="X131" s="158">
        <f t="shared" si="53"/>
        <v>0</v>
      </c>
      <c r="Y131" s="158">
        <f t="shared" si="53"/>
        <v>0</v>
      </c>
      <c r="Z131" s="158">
        <f t="shared" si="53"/>
        <v>0</v>
      </c>
      <c r="AA131" s="158">
        <f t="shared" si="53"/>
        <v>0</v>
      </c>
      <c r="AB131" s="158">
        <f t="shared" si="53"/>
        <v>0</v>
      </c>
      <c r="AC131" s="158">
        <f t="shared" si="53"/>
        <v>0</v>
      </c>
      <c r="AD131" s="158">
        <f t="shared" si="53"/>
        <v>0</v>
      </c>
      <c r="AE131" s="158">
        <f t="shared" si="53"/>
        <v>0</v>
      </c>
      <c r="AF131" s="158">
        <f t="shared" si="53"/>
        <v>0</v>
      </c>
      <c r="AG131" s="158">
        <f t="shared" si="53"/>
        <v>0</v>
      </c>
      <c r="AH131" s="158">
        <f t="shared" si="53"/>
        <v>0</v>
      </c>
      <c r="AI131" s="158">
        <f t="shared" si="53"/>
        <v>0</v>
      </c>
      <c r="AJ131" s="158">
        <f t="shared" si="53"/>
        <v>0</v>
      </c>
      <c r="AK131" s="158">
        <f t="shared" si="53"/>
        <v>0</v>
      </c>
      <c r="AL131" s="158">
        <f t="shared" si="53"/>
        <v>0</v>
      </c>
      <c r="AM131" s="158">
        <f t="shared" si="53"/>
        <v>0</v>
      </c>
      <c r="AN131" s="158">
        <f t="shared" si="53"/>
        <v>0</v>
      </c>
      <c r="AO131" s="158">
        <f t="shared" si="53"/>
        <v>0</v>
      </c>
      <c r="AP131" s="158">
        <f t="shared" si="53"/>
        <v>0</v>
      </c>
      <c r="AQ131" s="158">
        <f t="shared" si="53"/>
        <v>0</v>
      </c>
      <c r="AR131" s="158">
        <f t="shared" si="53"/>
        <v>0</v>
      </c>
      <c r="AS131" s="158">
        <f t="shared" si="53"/>
        <v>0</v>
      </c>
    </row>
    <row r="132" spans="2:45" hidden="1" outlineLevel="2" x14ac:dyDescent="0.15">
      <c r="B132" s="107" t="s">
        <v>375</v>
      </c>
      <c r="J132" s="81">
        <f t="shared" ref="J132:AS132" si="54">SUM(J131:J131)</f>
        <v>0</v>
      </c>
      <c r="K132" s="81">
        <f t="shared" si="54"/>
        <v>0</v>
      </c>
      <c r="L132" s="81">
        <f t="shared" si="54"/>
        <v>0</v>
      </c>
      <c r="M132" s="81">
        <f t="shared" si="54"/>
        <v>0</v>
      </c>
      <c r="N132" s="81">
        <f t="shared" si="54"/>
        <v>0</v>
      </c>
      <c r="O132" s="81">
        <f t="shared" si="54"/>
        <v>0</v>
      </c>
      <c r="P132" s="81">
        <f t="shared" si="54"/>
        <v>0</v>
      </c>
      <c r="Q132" s="81">
        <f t="shared" si="54"/>
        <v>0</v>
      </c>
      <c r="R132" s="81">
        <f t="shared" si="54"/>
        <v>0</v>
      </c>
      <c r="S132" s="81">
        <f t="shared" si="54"/>
        <v>0</v>
      </c>
      <c r="T132" s="81">
        <f t="shared" si="54"/>
        <v>0</v>
      </c>
      <c r="U132" s="81">
        <f t="shared" si="54"/>
        <v>0</v>
      </c>
      <c r="V132" s="81">
        <f t="shared" si="54"/>
        <v>0</v>
      </c>
      <c r="W132" s="81">
        <f t="shared" si="54"/>
        <v>0</v>
      </c>
      <c r="X132" s="81">
        <f t="shared" si="54"/>
        <v>0</v>
      </c>
      <c r="Y132" s="81">
        <f t="shared" si="54"/>
        <v>0</v>
      </c>
      <c r="Z132" s="81">
        <f t="shared" si="54"/>
        <v>0</v>
      </c>
      <c r="AA132" s="81">
        <f t="shared" si="54"/>
        <v>0</v>
      </c>
      <c r="AB132" s="81">
        <f t="shared" si="54"/>
        <v>0</v>
      </c>
      <c r="AC132" s="81">
        <f t="shared" si="54"/>
        <v>0</v>
      </c>
      <c r="AD132" s="81">
        <f t="shared" si="54"/>
        <v>0</v>
      </c>
      <c r="AE132" s="81">
        <f t="shared" si="54"/>
        <v>0</v>
      </c>
      <c r="AF132" s="81">
        <f t="shared" si="54"/>
        <v>0</v>
      </c>
      <c r="AG132" s="81">
        <f t="shared" si="54"/>
        <v>0</v>
      </c>
      <c r="AH132" s="81">
        <f t="shared" si="54"/>
        <v>0</v>
      </c>
      <c r="AI132" s="81">
        <f t="shared" si="54"/>
        <v>0</v>
      </c>
      <c r="AJ132" s="81">
        <f t="shared" si="54"/>
        <v>0</v>
      </c>
      <c r="AK132" s="81">
        <f t="shared" si="54"/>
        <v>0</v>
      </c>
      <c r="AL132" s="81">
        <f t="shared" si="54"/>
        <v>0</v>
      </c>
      <c r="AM132" s="81">
        <f t="shared" si="54"/>
        <v>0</v>
      </c>
      <c r="AN132" s="81">
        <f t="shared" si="54"/>
        <v>0</v>
      </c>
      <c r="AO132" s="81">
        <f t="shared" si="54"/>
        <v>0</v>
      </c>
      <c r="AP132" s="81">
        <f t="shared" si="54"/>
        <v>0</v>
      </c>
      <c r="AQ132" s="81">
        <f t="shared" si="54"/>
        <v>0</v>
      </c>
      <c r="AR132" s="81">
        <f t="shared" si="54"/>
        <v>0</v>
      </c>
      <c r="AS132" s="81">
        <f t="shared" si="54"/>
        <v>0</v>
      </c>
    </row>
    <row r="133" spans="2:45" ht="6" hidden="1" customHeight="1" outlineLevel="2" x14ac:dyDescent="0.15"/>
    <row r="134" spans="2:45" hidden="1" outlineLevel="2" x14ac:dyDescent="0.15">
      <c r="B134" s="107" t="str">
        <f>B144</f>
        <v>Other Non-Current Liabilities Category 1</v>
      </c>
      <c r="J134" s="158">
        <f t="shared" ref="J134:AS134" si="55">J148-J131</f>
        <v>0</v>
      </c>
      <c r="K134" s="158">
        <f t="shared" si="55"/>
        <v>0</v>
      </c>
      <c r="L134" s="158">
        <f t="shared" si="55"/>
        <v>0</v>
      </c>
      <c r="M134" s="158">
        <f t="shared" si="55"/>
        <v>0</v>
      </c>
      <c r="N134" s="158">
        <f t="shared" si="55"/>
        <v>0</v>
      </c>
      <c r="O134" s="158">
        <f t="shared" si="55"/>
        <v>0</v>
      </c>
      <c r="P134" s="158">
        <f t="shared" si="55"/>
        <v>0</v>
      </c>
      <c r="Q134" s="158">
        <f t="shared" si="55"/>
        <v>0</v>
      </c>
      <c r="R134" s="158">
        <f t="shared" si="55"/>
        <v>0</v>
      </c>
      <c r="S134" s="158">
        <f t="shared" si="55"/>
        <v>0</v>
      </c>
      <c r="T134" s="158">
        <f t="shared" si="55"/>
        <v>0</v>
      </c>
      <c r="U134" s="158">
        <f t="shared" si="55"/>
        <v>0</v>
      </c>
      <c r="V134" s="158">
        <f t="shared" si="55"/>
        <v>0</v>
      </c>
      <c r="W134" s="158">
        <f t="shared" si="55"/>
        <v>0</v>
      </c>
      <c r="X134" s="158">
        <f t="shared" si="55"/>
        <v>0</v>
      </c>
      <c r="Y134" s="158">
        <f t="shared" si="55"/>
        <v>0</v>
      </c>
      <c r="Z134" s="158">
        <f t="shared" si="55"/>
        <v>0</v>
      </c>
      <c r="AA134" s="158">
        <f t="shared" si="55"/>
        <v>0</v>
      </c>
      <c r="AB134" s="158">
        <f t="shared" si="55"/>
        <v>0</v>
      </c>
      <c r="AC134" s="158">
        <f t="shared" si="55"/>
        <v>0</v>
      </c>
      <c r="AD134" s="158">
        <f t="shared" si="55"/>
        <v>0</v>
      </c>
      <c r="AE134" s="158">
        <f t="shared" si="55"/>
        <v>0</v>
      </c>
      <c r="AF134" s="158">
        <f t="shared" si="55"/>
        <v>0</v>
      </c>
      <c r="AG134" s="158">
        <f t="shared" si="55"/>
        <v>0</v>
      </c>
      <c r="AH134" s="158">
        <f t="shared" si="55"/>
        <v>0</v>
      </c>
      <c r="AI134" s="158">
        <f t="shared" si="55"/>
        <v>0</v>
      </c>
      <c r="AJ134" s="158">
        <f t="shared" si="55"/>
        <v>0</v>
      </c>
      <c r="AK134" s="158">
        <f t="shared" si="55"/>
        <v>0</v>
      </c>
      <c r="AL134" s="158">
        <f t="shared" si="55"/>
        <v>0</v>
      </c>
      <c r="AM134" s="158">
        <f t="shared" si="55"/>
        <v>0</v>
      </c>
      <c r="AN134" s="158">
        <f t="shared" si="55"/>
        <v>0</v>
      </c>
      <c r="AO134" s="158">
        <f t="shared" si="55"/>
        <v>0</v>
      </c>
      <c r="AP134" s="158">
        <f t="shared" si="55"/>
        <v>0</v>
      </c>
      <c r="AQ134" s="158">
        <f t="shared" si="55"/>
        <v>0</v>
      </c>
      <c r="AR134" s="158">
        <f t="shared" si="55"/>
        <v>0</v>
      </c>
      <c r="AS134" s="158">
        <f t="shared" si="55"/>
        <v>0</v>
      </c>
    </row>
    <row r="135" spans="2:45" hidden="1" outlineLevel="2" x14ac:dyDescent="0.15">
      <c r="B135" s="107" t="s">
        <v>626</v>
      </c>
      <c r="J135" s="81">
        <f t="shared" ref="J135:AS135" si="56">SUM(J134:J134)</f>
        <v>0</v>
      </c>
      <c r="K135" s="81">
        <f t="shared" si="56"/>
        <v>0</v>
      </c>
      <c r="L135" s="81">
        <f t="shared" si="56"/>
        <v>0</v>
      </c>
      <c r="M135" s="81">
        <f t="shared" si="56"/>
        <v>0</v>
      </c>
      <c r="N135" s="81">
        <f t="shared" si="56"/>
        <v>0</v>
      </c>
      <c r="O135" s="81">
        <f t="shared" si="56"/>
        <v>0</v>
      </c>
      <c r="P135" s="81">
        <f t="shared" si="56"/>
        <v>0</v>
      </c>
      <c r="Q135" s="81">
        <f t="shared" si="56"/>
        <v>0</v>
      </c>
      <c r="R135" s="81">
        <f t="shared" si="56"/>
        <v>0</v>
      </c>
      <c r="S135" s="81">
        <f t="shared" si="56"/>
        <v>0</v>
      </c>
      <c r="T135" s="81">
        <f t="shared" si="56"/>
        <v>0</v>
      </c>
      <c r="U135" s="81">
        <f t="shared" si="56"/>
        <v>0</v>
      </c>
      <c r="V135" s="81">
        <f t="shared" si="56"/>
        <v>0</v>
      </c>
      <c r="W135" s="81">
        <f t="shared" si="56"/>
        <v>0</v>
      </c>
      <c r="X135" s="81">
        <f t="shared" si="56"/>
        <v>0</v>
      </c>
      <c r="Y135" s="81">
        <f t="shared" si="56"/>
        <v>0</v>
      </c>
      <c r="Z135" s="81">
        <f t="shared" si="56"/>
        <v>0</v>
      </c>
      <c r="AA135" s="81">
        <f t="shared" si="56"/>
        <v>0</v>
      </c>
      <c r="AB135" s="81">
        <f t="shared" si="56"/>
        <v>0</v>
      </c>
      <c r="AC135" s="81">
        <f t="shared" si="56"/>
        <v>0</v>
      </c>
      <c r="AD135" s="81">
        <f t="shared" si="56"/>
        <v>0</v>
      </c>
      <c r="AE135" s="81">
        <f t="shared" si="56"/>
        <v>0</v>
      </c>
      <c r="AF135" s="81">
        <f t="shared" si="56"/>
        <v>0</v>
      </c>
      <c r="AG135" s="81">
        <f t="shared" si="56"/>
        <v>0</v>
      </c>
      <c r="AH135" s="81">
        <f t="shared" si="56"/>
        <v>0</v>
      </c>
      <c r="AI135" s="81">
        <f t="shared" si="56"/>
        <v>0</v>
      </c>
      <c r="AJ135" s="81">
        <f t="shared" si="56"/>
        <v>0</v>
      </c>
      <c r="AK135" s="81">
        <f t="shared" si="56"/>
        <v>0</v>
      </c>
      <c r="AL135" s="81">
        <f t="shared" si="56"/>
        <v>0</v>
      </c>
      <c r="AM135" s="81">
        <f t="shared" si="56"/>
        <v>0</v>
      </c>
      <c r="AN135" s="81">
        <f t="shared" si="56"/>
        <v>0</v>
      </c>
      <c r="AO135" s="81">
        <f t="shared" si="56"/>
        <v>0</v>
      </c>
      <c r="AP135" s="81">
        <f t="shared" si="56"/>
        <v>0</v>
      </c>
      <c r="AQ135" s="81">
        <f t="shared" si="56"/>
        <v>0</v>
      </c>
      <c r="AR135" s="81">
        <f t="shared" si="56"/>
        <v>0</v>
      </c>
      <c r="AS135" s="81">
        <f t="shared" si="56"/>
        <v>0</v>
      </c>
    </row>
    <row r="136" spans="2:45" ht="6" hidden="1" customHeight="1" outlineLevel="2" x14ac:dyDescent="0.15"/>
    <row r="137" spans="2:45" outlineLevel="1" collapsed="1" x14ac:dyDescent="0.15">
      <c r="B137" s="16" t="s">
        <v>617</v>
      </c>
      <c r="I137" s="159">
        <f>Ts_Start_Date</f>
        <v>45139</v>
      </c>
    </row>
    <row r="138" spans="2:45" outlineLevel="1" x14ac:dyDescent="0.15">
      <c r="B138" s="107" t="str">
        <f>B144</f>
        <v>Other Non-Current Liabilities Category 1</v>
      </c>
      <c r="I138" s="161">
        <f>I144</f>
        <v>0</v>
      </c>
      <c r="J138" s="14">
        <f t="shared" ref="J138:AS138" si="57">I138+J128</f>
        <v>0</v>
      </c>
      <c r="K138" s="14">
        <f t="shared" si="57"/>
        <v>0</v>
      </c>
      <c r="L138" s="14">
        <f t="shared" si="57"/>
        <v>0</v>
      </c>
      <c r="M138" s="14">
        <f t="shared" si="57"/>
        <v>0</v>
      </c>
      <c r="N138" s="14">
        <f t="shared" si="57"/>
        <v>0</v>
      </c>
      <c r="O138" s="14">
        <f t="shared" si="57"/>
        <v>0</v>
      </c>
      <c r="P138" s="14">
        <f t="shared" si="57"/>
        <v>0</v>
      </c>
      <c r="Q138" s="14">
        <f t="shared" si="57"/>
        <v>0</v>
      </c>
      <c r="R138" s="14">
        <f t="shared" si="57"/>
        <v>0</v>
      </c>
      <c r="S138" s="14">
        <f t="shared" si="57"/>
        <v>0</v>
      </c>
      <c r="T138" s="14">
        <f t="shared" si="57"/>
        <v>0</v>
      </c>
      <c r="U138" s="14">
        <f t="shared" si="57"/>
        <v>0</v>
      </c>
      <c r="V138" s="14">
        <f t="shared" si="57"/>
        <v>0</v>
      </c>
      <c r="W138" s="14">
        <f t="shared" si="57"/>
        <v>0</v>
      </c>
      <c r="X138" s="14">
        <f t="shared" si="57"/>
        <v>0</v>
      </c>
      <c r="Y138" s="14">
        <f t="shared" si="57"/>
        <v>0</v>
      </c>
      <c r="Z138" s="14">
        <f t="shared" si="57"/>
        <v>0</v>
      </c>
      <c r="AA138" s="14">
        <f t="shared" si="57"/>
        <v>0</v>
      </c>
      <c r="AB138" s="14">
        <f t="shared" si="57"/>
        <v>0</v>
      </c>
      <c r="AC138" s="14">
        <f t="shared" si="57"/>
        <v>0</v>
      </c>
      <c r="AD138" s="14">
        <f t="shared" si="57"/>
        <v>0</v>
      </c>
      <c r="AE138" s="14">
        <f t="shared" si="57"/>
        <v>0</v>
      </c>
      <c r="AF138" s="14">
        <f t="shared" si="57"/>
        <v>0</v>
      </c>
      <c r="AG138" s="14">
        <f t="shared" si="57"/>
        <v>0</v>
      </c>
      <c r="AH138" s="14">
        <f t="shared" si="57"/>
        <v>0</v>
      </c>
      <c r="AI138" s="14">
        <f t="shared" si="57"/>
        <v>0</v>
      </c>
      <c r="AJ138" s="14">
        <f t="shared" si="57"/>
        <v>0</v>
      </c>
      <c r="AK138" s="14">
        <f t="shared" si="57"/>
        <v>0</v>
      </c>
      <c r="AL138" s="14">
        <f t="shared" si="57"/>
        <v>0</v>
      </c>
      <c r="AM138" s="14">
        <f t="shared" si="57"/>
        <v>0</v>
      </c>
      <c r="AN138" s="14">
        <f t="shared" si="57"/>
        <v>0</v>
      </c>
      <c r="AO138" s="14">
        <f t="shared" si="57"/>
        <v>0</v>
      </c>
      <c r="AP138" s="14">
        <f t="shared" si="57"/>
        <v>0</v>
      </c>
      <c r="AQ138" s="14">
        <f t="shared" si="57"/>
        <v>0</v>
      </c>
      <c r="AR138" s="14">
        <f t="shared" si="57"/>
        <v>0</v>
      </c>
      <c r="AS138" s="14">
        <f t="shared" si="57"/>
        <v>0</v>
      </c>
    </row>
    <row r="139" spans="2:45" outlineLevel="1" x14ac:dyDescent="0.15">
      <c r="B139" s="16" t="str">
        <f>"Total "&amp;B127</f>
        <v>Total Other Non-Current Liabilities</v>
      </c>
      <c r="I139" s="18">
        <f ca="1">IF(ROWS(I$137:I$139)=2,0,SUM(OFFSET(I$137,1,0,ROWS(I$137:I$139)-2)))</f>
        <v>0</v>
      </c>
      <c r="J139" s="18">
        <f t="shared" ref="J139:AS139" ca="1" si="58">IF(ROWS(J$137:J$139)=2,0,SUM(OFFSET(J$137,1,0,ROWS(J$137:J$139)-2)))</f>
        <v>0</v>
      </c>
      <c r="K139" s="18">
        <f t="shared" ca="1" si="58"/>
        <v>0</v>
      </c>
      <c r="L139" s="18">
        <f t="shared" ca="1" si="58"/>
        <v>0</v>
      </c>
      <c r="M139" s="18">
        <f t="shared" ca="1" si="58"/>
        <v>0</v>
      </c>
      <c r="N139" s="18">
        <f t="shared" ca="1" si="58"/>
        <v>0</v>
      </c>
      <c r="O139" s="18">
        <f t="shared" ca="1" si="58"/>
        <v>0</v>
      </c>
      <c r="P139" s="18">
        <f t="shared" ca="1" si="58"/>
        <v>0</v>
      </c>
      <c r="Q139" s="18">
        <f t="shared" ca="1" si="58"/>
        <v>0</v>
      </c>
      <c r="R139" s="18">
        <f t="shared" ca="1" si="58"/>
        <v>0</v>
      </c>
      <c r="S139" s="18">
        <f t="shared" ca="1" si="58"/>
        <v>0</v>
      </c>
      <c r="T139" s="18">
        <f t="shared" ca="1" si="58"/>
        <v>0</v>
      </c>
      <c r="U139" s="18">
        <f t="shared" ca="1" si="58"/>
        <v>0</v>
      </c>
      <c r="V139" s="18">
        <f t="shared" ca="1" si="58"/>
        <v>0</v>
      </c>
      <c r="W139" s="18">
        <f t="shared" ca="1" si="58"/>
        <v>0</v>
      </c>
      <c r="X139" s="18">
        <f t="shared" ca="1" si="58"/>
        <v>0</v>
      </c>
      <c r="Y139" s="18">
        <f t="shared" ca="1" si="58"/>
        <v>0</v>
      </c>
      <c r="Z139" s="18">
        <f t="shared" ca="1" si="58"/>
        <v>0</v>
      </c>
      <c r="AA139" s="18">
        <f t="shared" ca="1" si="58"/>
        <v>0</v>
      </c>
      <c r="AB139" s="18">
        <f t="shared" ca="1" si="58"/>
        <v>0</v>
      </c>
      <c r="AC139" s="18">
        <f t="shared" ca="1" si="58"/>
        <v>0</v>
      </c>
      <c r="AD139" s="18">
        <f t="shared" ca="1" si="58"/>
        <v>0</v>
      </c>
      <c r="AE139" s="18">
        <f t="shared" ca="1" si="58"/>
        <v>0</v>
      </c>
      <c r="AF139" s="18">
        <f t="shared" ca="1" si="58"/>
        <v>0</v>
      </c>
      <c r="AG139" s="18">
        <f t="shared" ca="1" si="58"/>
        <v>0</v>
      </c>
      <c r="AH139" s="18">
        <f t="shared" ca="1" si="58"/>
        <v>0</v>
      </c>
      <c r="AI139" s="18">
        <f t="shared" ca="1" si="58"/>
        <v>0</v>
      </c>
      <c r="AJ139" s="18">
        <f t="shared" ca="1" si="58"/>
        <v>0</v>
      </c>
      <c r="AK139" s="18">
        <f t="shared" ca="1" si="58"/>
        <v>0</v>
      </c>
      <c r="AL139" s="18">
        <f t="shared" ca="1" si="58"/>
        <v>0</v>
      </c>
      <c r="AM139" s="18">
        <f t="shared" ca="1" si="58"/>
        <v>0</v>
      </c>
      <c r="AN139" s="18">
        <f t="shared" ca="1" si="58"/>
        <v>0</v>
      </c>
      <c r="AO139" s="18">
        <f t="shared" ca="1" si="58"/>
        <v>0</v>
      </c>
      <c r="AP139" s="18">
        <f t="shared" ca="1" si="58"/>
        <v>0</v>
      </c>
      <c r="AQ139" s="18">
        <f t="shared" ca="1" si="58"/>
        <v>0</v>
      </c>
      <c r="AR139" s="18">
        <f t="shared" ca="1" si="58"/>
        <v>0</v>
      </c>
      <c r="AS139" s="18">
        <f t="shared" ca="1" si="58"/>
        <v>0</v>
      </c>
    </row>
    <row r="140" spans="2:45" ht="6" customHeight="1" outlineLevel="1" x14ac:dyDescent="0.15"/>
    <row r="141" spans="2:45" outlineLevel="1" x14ac:dyDescent="0.15">
      <c r="B141" s="107" t="s">
        <v>627</v>
      </c>
      <c r="J141" s="81">
        <f t="shared" ref="J141:AS141" si="59">J135</f>
        <v>0</v>
      </c>
      <c r="K141" s="81">
        <f t="shared" si="59"/>
        <v>0</v>
      </c>
      <c r="L141" s="81">
        <f t="shared" si="59"/>
        <v>0</v>
      </c>
      <c r="M141" s="81">
        <f t="shared" si="59"/>
        <v>0</v>
      </c>
      <c r="N141" s="81">
        <f t="shared" si="59"/>
        <v>0</v>
      </c>
      <c r="O141" s="81">
        <f t="shared" si="59"/>
        <v>0</v>
      </c>
      <c r="P141" s="81">
        <f t="shared" si="59"/>
        <v>0</v>
      </c>
      <c r="Q141" s="81">
        <f t="shared" si="59"/>
        <v>0</v>
      </c>
      <c r="R141" s="81">
        <f t="shared" si="59"/>
        <v>0</v>
      </c>
      <c r="S141" s="81">
        <f t="shared" si="59"/>
        <v>0</v>
      </c>
      <c r="T141" s="81">
        <f t="shared" si="59"/>
        <v>0</v>
      </c>
      <c r="U141" s="81">
        <f t="shared" si="59"/>
        <v>0</v>
      </c>
      <c r="V141" s="81">
        <f t="shared" si="59"/>
        <v>0</v>
      </c>
      <c r="W141" s="81">
        <f t="shared" si="59"/>
        <v>0</v>
      </c>
      <c r="X141" s="81">
        <f t="shared" si="59"/>
        <v>0</v>
      </c>
      <c r="Y141" s="81">
        <f t="shared" si="59"/>
        <v>0</v>
      </c>
      <c r="Z141" s="81">
        <f t="shared" si="59"/>
        <v>0</v>
      </c>
      <c r="AA141" s="81">
        <f t="shared" si="59"/>
        <v>0</v>
      </c>
      <c r="AB141" s="81">
        <f t="shared" si="59"/>
        <v>0</v>
      </c>
      <c r="AC141" s="81">
        <f t="shared" si="59"/>
        <v>0</v>
      </c>
      <c r="AD141" s="81">
        <f t="shared" si="59"/>
        <v>0</v>
      </c>
      <c r="AE141" s="81">
        <f t="shared" si="59"/>
        <v>0</v>
      </c>
      <c r="AF141" s="81">
        <f t="shared" si="59"/>
        <v>0</v>
      </c>
      <c r="AG141" s="81">
        <f t="shared" si="59"/>
        <v>0</v>
      </c>
      <c r="AH141" s="81">
        <f t="shared" si="59"/>
        <v>0</v>
      </c>
      <c r="AI141" s="81">
        <f t="shared" si="59"/>
        <v>0</v>
      </c>
      <c r="AJ141" s="81">
        <f t="shared" si="59"/>
        <v>0</v>
      </c>
      <c r="AK141" s="81">
        <f t="shared" si="59"/>
        <v>0</v>
      </c>
      <c r="AL141" s="81">
        <f t="shared" si="59"/>
        <v>0</v>
      </c>
      <c r="AM141" s="81">
        <f t="shared" si="59"/>
        <v>0</v>
      </c>
      <c r="AN141" s="81">
        <f t="shared" si="59"/>
        <v>0</v>
      </c>
      <c r="AO141" s="81">
        <f t="shared" si="59"/>
        <v>0</v>
      </c>
      <c r="AP141" s="81">
        <f t="shared" si="59"/>
        <v>0</v>
      </c>
      <c r="AQ141" s="81">
        <f t="shared" si="59"/>
        <v>0</v>
      </c>
      <c r="AR141" s="81">
        <f t="shared" si="59"/>
        <v>0</v>
      </c>
      <c r="AS141" s="81">
        <f t="shared" si="59"/>
        <v>0</v>
      </c>
    </row>
    <row r="142" spans="2:45" ht="6" customHeight="1" outlineLevel="1" x14ac:dyDescent="0.15"/>
    <row r="143" spans="2:45" hidden="1" outlineLevel="2" x14ac:dyDescent="0.15">
      <c r="B143" s="16" t="s">
        <v>628</v>
      </c>
      <c r="I143" s="159">
        <f>Ts_Start_Date</f>
        <v>45139</v>
      </c>
    </row>
    <row r="144" spans="2:45" ht="12" hidden="1" customHeight="1" outlineLevel="2" x14ac:dyDescent="0.15">
      <c r="B144" s="339" t="str">
        <f>OBS!B57</f>
        <v>Other Non-Current Liabilities Category 1</v>
      </c>
      <c r="C144" s="339"/>
      <c r="D144" s="339"/>
      <c r="E144" s="339"/>
      <c r="F144" s="339"/>
      <c r="G144" s="339"/>
      <c r="I144" s="161">
        <f>OBS!J57</f>
        <v>0</v>
      </c>
    </row>
    <row r="145" spans="2:45" ht="12" hidden="1" customHeight="1" outlineLevel="2" x14ac:dyDescent="0.15">
      <c r="B145" s="341" t="str">
        <f>"Total "&amp;B143</f>
        <v>Total Opening Other Non-Current Liabilities</v>
      </c>
      <c r="C145" s="341"/>
      <c r="D145" s="341"/>
      <c r="E145" s="341"/>
      <c r="F145" s="341"/>
      <c r="G145" s="341"/>
      <c r="I145" s="160">
        <f>SUM(I144:I144)</f>
        <v>0</v>
      </c>
    </row>
    <row r="146" spans="2:45" ht="6" hidden="1" customHeight="1" outlineLevel="2" x14ac:dyDescent="0.15"/>
    <row r="147" spans="2:45" hidden="1" outlineLevel="2" x14ac:dyDescent="0.15">
      <c r="B147" s="16" t="str">
        <f>B127</f>
        <v>Other Non-Current Liabilities</v>
      </c>
    </row>
    <row r="148" spans="2:45" hidden="1" outlineLevel="2" x14ac:dyDescent="0.15">
      <c r="B148" s="107" t="str">
        <f>B144</f>
        <v>Other Non-Current Liabilities Category 1</v>
      </c>
      <c r="J148" s="14">
        <f t="shared" ref="J148:AS148" si="60">J138</f>
        <v>0</v>
      </c>
      <c r="K148" s="14">
        <f t="shared" si="60"/>
        <v>0</v>
      </c>
      <c r="L148" s="14">
        <f t="shared" si="60"/>
        <v>0</v>
      </c>
      <c r="M148" s="14">
        <f t="shared" si="60"/>
        <v>0</v>
      </c>
      <c r="N148" s="14">
        <f t="shared" si="60"/>
        <v>0</v>
      </c>
      <c r="O148" s="14">
        <f t="shared" si="60"/>
        <v>0</v>
      </c>
      <c r="P148" s="14">
        <f t="shared" si="60"/>
        <v>0</v>
      </c>
      <c r="Q148" s="14">
        <f t="shared" si="60"/>
        <v>0</v>
      </c>
      <c r="R148" s="14">
        <f t="shared" si="60"/>
        <v>0</v>
      </c>
      <c r="S148" s="14">
        <f t="shared" si="60"/>
        <v>0</v>
      </c>
      <c r="T148" s="14">
        <f t="shared" si="60"/>
        <v>0</v>
      </c>
      <c r="U148" s="14">
        <f t="shared" si="60"/>
        <v>0</v>
      </c>
      <c r="V148" s="14">
        <f t="shared" si="60"/>
        <v>0</v>
      </c>
      <c r="W148" s="14">
        <f t="shared" si="60"/>
        <v>0</v>
      </c>
      <c r="X148" s="14">
        <f t="shared" si="60"/>
        <v>0</v>
      </c>
      <c r="Y148" s="14">
        <f t="shared" si="60"/>
        <v>0</v>
      </c>
      <c r="Z148" s="14">
        <f t="shared" si="60"/>
        <v>0</v>
      </c>
      <c r="AA148" s="14">
        <f t="shared" si="60"/>
        <v>0</v>
      </c>
      <c r="AB148" s="14">
        <f t="shared" si="60"/>
        <v>0</v>
      </c>
      <c r="AC148" s="14">
        <f t="shared" si="60"/>
        <v>0</v>
      </c>
      <c r="AD148" s="14">
        <f t="shared" si="60"/>
        <v>0</v>
      </c>
      <c r="AE148" s="14">
        <f t="shared" si="60"/>
        <v>0</v>
      </c>
      <c r="AF148" s="14">
        <f t="shared" si="60"/>
        <v>0</v>
      </c>
      <c r="AG148" s="14">
        <f t="shared" si="60"/>
        <v>0</v>
      </c>
      <c r="AH148" s="14">
        <f t="shared" si="60"/>
        <v>0</v>
      </c>
      <c r="AI148" s="14">
        <f t="shared" si="60"/>
        <v>0</v>
      </c>
      <c r="AJ148" s="14">
        <f t="shared" si="60"/>
        <v>0</v>
      </c>
      <c r="AK148" s="14">
        <f t="shared" si="60"/>
        <v>0</v>
      </c>
      <c r="AL148" s="14">
        <f t="shared" si="60"/>
        <v>0</v>
      </c>
      <c r="AM148" s="14">
        <f t="shared" si="60"/>
        <v>0</v>
      </c>
      <c r="AN148" s="14">
        <f t="shared" si="60"/>
        <v>0</v>
      </c>
      <c r="AO148" s="14">
        <f t="shared" si="60"/>
        <v>0</v>
      </c>
      <c r="AP148" s="14">
        <f t="shared" si="60"/>
        <v>0</v>
      </c>
      <c r="AQ148" s="14">
        <f t="shared" si="60"/>
        <v>0</v>
      </c>
      <c r="AR148" s="14">
        <f t="shared" si="60"/>
        <v>0</v>
      </c>
      <c r="AS148" s="14">
        <f t="shared" si="60"/>
        <v>0</v>
      </c>
    </row>
    <row r="149" spans="2:45" hidden="1" outlineLevel="2" x14ac:dyDescent="0.15">
      <c r="B149" s="16" t="str">
        <f>B139</f>
        <v>Total Other Non-Current Liabilities</v>
      </c>
      <c r="J149" s="18">
        <f t="shared" ref="J149:AS149" si="61">SUM(J148:J148)</f>
        <v>0</v>
      </c>
      <c r="K149" s="18">
        <f t="shared" si="61"/>
        <v>0</v>
      </c>
      <c r="L149" s="18">
        <f t="shared" si="61"/>
        <v>0</v>
      </c>
      <c r="M149" s="18">
        <f t="shared" si="61"/>
        <v>0</v>
      </c>
      <c r="N149" s="18">
        <f t="shared" si="61"/>
        <v>0</v>
      </c>
      <c r="O149" s="18">
        <f t="shared" si="61"/>
        <v>0</v>
      </c>
      <c r="P149" s="18">
        <f t="shared" si="61"/>
        <v>0</v>
      </c>
      <c r="Q149" s="18">
        <f t="shared" si="61"/>
        <v>0</v>
      </c>
      <c r="R149" s="18">
        <f t="shared" si="61"/>
        <v>0</v>
      </c>
      <c r="S149" s="18">
        <f t="shared" si="61"/>
        <v>0</v>
      </c>
      <c r="T149" s="18">
        <f t="shared" si="61"/>
        <v>0</v>
      </c>
      <c r="U149" s="18">
        <f t="shared" si="61"/>
        <v>0</v>
      </c>
      <c r="V149" s="18">
        <f t="shared" si="61"/>
        <v>0</v>
      </c>
      <c r="W149" s="18">
        <f t="shared" si="61"/>
        <v>0</v>
      </c>
      <c r="X149" s="18">
        <f t="shared" si="61"/>
        <v>0</v>
      </c>
      <c r="Y149" s="18">
        <f t="shared" si="61"/>
        <v>0</v>
      </c>
      <c r="Z149" s="18">
        <f t="shared" si="61"/>
        <v>0</v>
      </c>
      <c r="AA149" s="18">
        <f t="shared" si="61"/>
        <v>0</v>
      </c>
      <c r="AB149" s="18">
        <f t="shared" si="61"/>
        <v>0</v>
      </c>
      <c r="AC149" s="18">
        <f t="shared" si="61"/>
        <v>0</v>
      </c>
      <c r="AD149" s="18">
        <f t="shared" si="61"/>
        <v>0</v>
      </c>
      <c r="AE149" s="18">
        <f t="shared" si="61"/>
        <v>0</v>
      </c>
      <c r="AF149" s="18">
        <f t="shared" si="61"/>
        <v>0</v>
      </c>
      <c r="AG149" s="18">
        <f t="shared" si="61"/>
        <v>0</v>
      </c>
      <c r="AH149" s="18">
        <f t="shared" si="61"/>
        <v>0</v>
      </c>
      <c r="AI149" s="18">
        <f t="shared" si="61"/>
        <v>0</v>
      </c>
      <c r="AJ149" s="18">
        <f t="shared" si="61"/>
        <v>0</v>
      </c>
      <c r="AK149" s="18">
        <f t="shared" si="61"/>
        <v>0</v>
      </c>
      <c r="AL149" s="18">
        <f t="shared" si="61"/>
        <v>0</v>
      </c>
      <c r="AM149" s="18">
        <f t="shared" si="61"/>
        <v>0</v>
      </c>
      <c r="AN149" s="18">
        <f t="shared" si="61"/>
        <v>0</v>
      </c>
      <c r="AO149" s="18">
        <f t="shared" si="61"/>
        <v>0</v>
      </c>
      <c r="AP149" s="18">
        <f t="shared" si="61"/>
        <v>0</v>
      </c>
      <c r="AQ149" s="18">
        <f t="shared" si="61"/>
        <v>0</v>
      </c>
      <c r="AR149" s="18">
        <f t="shared" si="61"/>
        <v>0</v>
      </c>
      <c r="AS149" s="18">
        <f t="shared" si="61"/>
        <v>0</v>
      </c>
    </row>
    <row r="150" spans="2:45" ht="6" hidden="1" customHeight="1" outlineLevel="2" x14ac:dyDescent="0.15"/>
    <row r="151" spans="2:45" hidden="1" outlineLevel="2" x14ac:dyDescent="0.15">
      <c r="C151" s="107" t="s">
        <v>192</v>
      </c>
      <c r="J151" s="17">
        <f t="shared" ref="J151:AS151" ca="1" si="62">IF(ISERROR(J139-J149),1,0)</f>
        <v>0</v>
      </c>
      <c r="K151" s="17">
        <f t="shared" ca="1" si="62"/>
        <v>0</v>
      </c>
      <c r="L151" s="17">
        <f t="shared" ca="1" si="62"/>
        <v>0</v>
      </c>
      <c r="M151" s="17">
        <f t="shared" ca="1" si="62"/>
        <v>0</v>
      </c>
      <c r="N151" s="17">
        <f t="shared" ca="1" si="62"/>
        <v>0</v>
      </c>
      <c r="O151" s="17">
        <f t="shared" ca="1" si="62"/>
        <v>0</v>
      </c>
      <c r="P151" s="17">
        <f t="shared" ca="1" si="62"/>
        <v>0</v>
      </c>
      <c r="Q151" s="17">
        <f t="shared" ca="1" si="62"/>
        <v>0</v>
      </c>
      <c r="R151" s="17">
        <f t="shared" ca="1" si="62"/>
        <v>0</v>
      </c>
      <c r="S151" s="17">
        <f t="shared" ca="1" si="62"/>
        <v>0</v>
      </c>
      <c r="T151" s="17">
        <f t="shared" ca="1" si="62"/>
        <v>0</v>
      </c>
      <c r="U151" s="17">
        <f t="shared" ca="1" si="62"/>
        <v>0</v>
      </c>
      <c r="V151" s="17">
        <f t="shared" ca="1" si="62"/>
        <v>0</v>
      </c>
      <c r="W151" s="17">
        <f t="shared" ca="1" si="62"/>
        <v>0</v>
      </c>
      <c r="X151" s="17">
        <f t="shared" ca="1" si="62"/>
        <v>0</v>
      </c>
      <c r="Y151" s="17">
        <f t="shared" ca="1" si="62"/>
        <v>0</v>
      </c>
      <c r="Z151" s="17">
        <f t="shared" ca="1" si="62"/>
        <v>0</v>
      </c>
      <c r="AA151" s="17">
        <f t="shared" ca="1" si="62"/>
        <v>0</v>
      </c>
      <c r="AB151" s="17">
        <f t="shared" ca="1" si="62"/>
        <v>0</v>
      </c>
      <c r="AC151" s="17">
        <f t="shared" ca="1" si="62"/>
        <v>0</v>
      </c>
      <c r="AD151" s="17">
        <f t="shared" ca="1" si="62"/>
        <v>0</v>
      </c>
      <c r="AE151" s="17">
        <f t="shared" ca="1" si="62"/>
        <v>0</v>
      </c>
      <c r="AF151" s="17">
        <f t="shared" ca="1" si="62"/>
        <v>0</v>
      </c>
      <c r="AG151" s="17">
        <f t="shared" ca="1" si="62"/>
        <v>0</v>
      </c>
      <c r="AH151" s="17">
        <f t="shared" ca="1" si="62"/>
        <v>0</v>
      </c>
      <c r="AI151" s="17">
        <f t="shared" ca="1" si="62"/>
        <v>0</v>
      </c>
      <c r="AJ151" s="17">
        <f t="shared" ca="1" si="62"/>
        <v>0</v>
      </c>
      <c r="AK151" s="17">
        <f t="shared" ca="1" si="62"/>
        <v>0</v>
      </c>
      <c r="AL151" s="17">
        <f t="shared" ca="1" si="62"/>
        <v>0</v>
      </c>
      <c r="AM151" s="17">
        <f t="shared" ca="1" si="62"/>
        <v>0</v>
      </c>
      <c r="AN151" s="17">
        <f t="shared" ca="1" si="62"/>
        <v>0</v>
      </c>
      <c r="AO151" s="17">
        <f t="shared" ca="1" si="62"/>
        <v>0</v>
      </c>
      <c r="AP151" s="17">
        <f t="shared" ca="1" si="62"/>
        <v>0</v>
      </c>
      <c r="AQ151" s="17">
        <f t="shared" ca="1" si="62"/>
        <v>0</v>
      </c>
      <c r="AR151" s="17">
        <f t="shared" ca="1" si="62"/>
        <v>0</v>
      </c>
      <c r="AS151" s="17">
        <f t="shared" ca="1" si="62"/>
        <v>0</v>
      </c>
    </row>
    <row r="152" spans="2:45" hidden="1" outlineLevel="2" x14ac:dyDescent="0.15">
      <c r="C152" s="107" t="s">
        <v>334</v>
      </c>
      <c r="J152" s="42">
        <f t="shared" ref="J152:AS152" ca="1" si="63">IF(J151&lt;&gt;0,0,IF(ROUND(J139-J149,5)&lt;&gt;0,1,0))</f>
        <v>0</v>
      </c>
      <c r="K152" s="42">
        <f t="shared" ca="1" si="63"/>
        <v>0</v>
      </c>
      <c r="L152" s="42">
        <f t="shared" ca="1" si="63"/>
        <v>0</v>
      </c>
      <c r="M152" s="42">
        <f t="shared" ca="1" si="63"/>
        <v>0</v>
      </c>
      <c r="N152" s="42">
        <f t="shared" ca="1" si="63"/>
        <v>0</v>
      </c>
      <c r="O152" s="42">
        <f t="shared" ca="1" si="63"/>
        <v>0</v>
      </c>
      <c r="P152" s="42">
        <f t="shared" ca="1" si="63"/>
        <v>0</v>
      </c>
      <c r="Q152" s="42">
        <f t="shared" ca="1" si="63"/>
        <v>0</v>
      </c>
      <c r="R152" s="42">
        <f t="shared" ca="1" si="63"/>
        <v>0</v>
      </c>
      <c r="S152" s="42">
        <f t="shared" ca="1" si="63"/>
        <v>0</v>
      </c>
      <c r="T152" s="42">
        <f t="shared" ca="1" si="63"/>
        <v>0</v>
      </c>
      <c r="U152" s="42">
        <f t="shared" ca="1" si="63"/>
        <v>0</v>
      </c>
      <c r="V152" s="42">
        <f t="shared" ca="1" si="63"/>
        <v>0</v>
      </c>
      <c r="W152" s="42">
        <f t="shared" ca="1" si="63"/>
        <v>0</v>
      </c>
      <c r="X152" s="42">
        <f t="shared" ca="1" si="63"/>
        <v>0</v>
      </c>
      <c r="Y152" s="42">
        <f t="shared" ca="1" si="63"/>
        <v>0</v>
      </c>
      <c r="Z152" s="42">
        <f t="shared" ca="1" si="63"/>
        <v>0</v>
      </c>
      <c r="AA152" s="42">
        <f t="shared" ca="1" si="63"/>
        <v>0</v>
      </c>
      <c r="AB152" s="42">
        <f t="shared" ca="1" si="63"/>
        <v>0</v>
      </c>
      <c r="AC152" s="42">
        <f t="shared" ca="1" si="63"/>
        <v>0</v>
      </c>
      <c r="AD152" s="42">
        <f t="shared" ca="1" si="63"/>
        <v>0</v>
      </c>
      <c r="AE152" s="42">
        <f t="shared" ca="1" si="63"/>
        <v>0</v>
      </c>
      <c r="AF152" s="42">
        <f t="shared" ca="1" si="63"/>
        <v>0</v>
      </c>
      <c r="AG152" s="42">
        <f t="shared" ca="1" si="63"/>
        <v>0</v>
      </c>
      <c r="AH152" s="42">
        <f t="shared" ca="1" si="63"/>
        <v>0</v>
      </c>
      <c r="AI152" s="42">
        <f t="shared" ca="1" si="63"/>
        <v>0</v>
      </c>
      <c r="AJ152" s="42">
        <f t="shared" ca="1" si="63"/>
        <v>0</v>
      </c>
      <c r="AK152" s="42">
        <f t="shared" ca="1" si="63"/>
        <v>0</v>
      </c>
      <c r="AL152" s="42">
        <f t="shared" ca="1" si="63"/>
        <v>0</v>
      </c>
      <c r="AM152" s="42">
        <f t="shared" ca="1" si="63"/>
        <v>0</v>
      </c>
      <c r="AN152" s="42">
        <f t="shared" ca="1" si="63"/>
        <v>0</v>
      </c>
      <c r="AO152" s="42">
        <f t="shared" ca="1" si="63"/>
        <v>0</v>
      </c>
      <c r="AP152" s="42">
        <f t="shared" ca="1" si="63"/>
        <v>0</v>
      </c>
      <c r="AQ152" s="42">
        <f t="shared" ca="1" si="63"/>
        <v>0</v>
      </c>
      <c r="AR152" s="42">
        <f t="shared" ca="1" si="63"/>
        <v>0</v>
      </c>
      <c r="AS152" s="42">
        <f t="shared" ca="1" si="63"/>
        <v>0</v>
      </c>
    </row>
    <row r="153" spans="2:45" outlineLevel="1" collapsed="1" x14ac:dyDescent="0.15">
      <c r="B153" s="107" t="s">
        <v>335</v>
      </c>
      <c r="I153" s="22">
        <f ca="1">IF(ISERROR(SUM(J153:AS153)),1,MIN(SUM(J153:AS153),1))</f>
        <v>0</v>
      </c>
      <c r="J153" s="17">
        <f t="shared" ref="J153:AS153" ca="1" si="64">MIN(SUM(J151:J152),1)</f>
        <v>0</v>
      </c>
      <c r="K153" s="17">
        <f t="shared" ca="1" si="64"/>
        <v>0</v>
      </c>
      <c r="L153" s="17">
        <f t="shared" ca="1" si="64"/>
        <v>0</v>
      </c>
      <c r="M153" s="17">
        <f t="shared" ca="1" si="64"/>
        <v>0</v>
      </c>
      <c r="N153" s="17">
        <f t="shared" ca="1" si="64"/>
        <v>0</v>
      </c>
      <c r="O153" s="17">
        <f t="shared" ca="1" si="64"/>
        <v>0</v>
      </c>
      <c r="P153" s="17">
        <f t="shared" ca="1" si="64"/>
        <v>0</v>
      </c>
      <c r="Q153" s="17">
        <f t="shared" ca="1" si="64"/>
        <v>0</v>
      </c>
      <c r="R153" s="17">
        <f t="shared" ca="1" si="64"/>
        <v>0</v>
      </c>
      <c r="S153" s="17">
        <f t="shared" ca="1" si="64"/>
        <v>0</v>
      </c>
      <c r="T153" s="17">
        <f t="shared" ca="1" si="64"/>
        <v>0</v>
      </c>
      <c r="U153" s="17">
        <f t="shared" ca="1" si="64"/>
        <v>0</v>
      </c>
      <c r="V153" s="17">
        <f t="shared" ca="1" si="64"/>
        <v>0</v>
      </c>
      <c r="W153" s="17">
        <f t="shared" ca="1" si="64"/>
        <v>0</v>
      </c>
      <c r="X153" s="17">
        <f t="shared" ca="1" si="64"/>
        <v>0</v>
      </c>
      <c r="Y153" s="17">
        <f t="shared" ca="1" si="64"/>
        <v>0</v>
      </c>
      <c r="Z153" s="17">
        <f t="shared" ca="1" si="64"/>
        <v>0</v>
      </c>
      <c r="AA153" s="17">
        <f t="shared" ca="1" si="64"/>
        <v>0</v>
      </c>
      <c r="AB153" s="17">
        <f t="shared" ca="1" si="64"/>
        <v>0</v>
      </c>
      <c r="AC153" s="17">
        <f t="shared" ca="1" si="64"/>
        <v>0</v>
      </c>
      <c r="AD153" s="17">
        <f t="shared" ca="1" si="64"/>
        <v>0</v>
      </c>
      <c r="AE153" s="17">
        <f t="shared" ca="1" si="64"/>
        <v>0</v>
      </c>
      <c r="AF153" s="17">
        <f t="shared" ca="1" si="64"/>
        <v>0</v>
      </c>
      <c r="AG153" s="17">
        <f t="shared" ca="1" si="64"/>
        <v>0</v>
      </c>
      <c r="AH153" s="17">
        <f t="shared" ca="1" si="64"/>
        <v>0</v>
      </c>
      <c r="AI153" s="17">
        <f t="shared" ca="1" si="64"/>
        <v>0</v>
      </c>
      <c r="AJ153" s="17">
        <f t="shared" ca="1" si="64"/>
        <v>0</v>
      </c>
      <c r="AK153" s="17">
        <f t="shared" ca="1" si="64"/>
        <v>0</v>
      </c>
      <c r="AL153" s="17">
        <f t="shared" ca="1" si="64"/>
        <v>0</v>
      </c>
      <c r="AM153" s="17">
        <f t="shared" ca="1" si="64"/>
        <v>0</v>
      </c>
      <c r="AN153" s="17">
        <f t="shared" ca="1" si="64"/>
        <v>0</v>
      </c>
      <c r="AO153" s="17">
        <f t="shared" ca="1" si="64"/>
        <v>0</v>
      </c>
      <c r="AP153" s="17">
        <f t="shared" ca="1" si="64"/>
        <v>0</v>
      </c>
      <c r="AQ153" s="17">
        <f t="shared" ca="1" si="64"/>
        <v>0</v>
      </c>
      <c r="AR153" s="17">
        <f t="shared" ca="1" si="64"/>
        <v>0</v>
      </c>
      <c r="AS153" s="17">
        <f t="shared" ca="1" si="64"/>
        <v>0</v>
      </c>
    </row>
    <row r="155" spans="2:45" x14ac:dyDescent="0.15">
      <c r="B155" s="1" t="s">
        <v>112</v>
      </c>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2:45" outlineLevel="1" x14ac:dyDescent="0.15"/>
    <row r="157" spans="2:45" outlineLevel="1" x14ac:dyDescent="0.15">
      <c r="B157" s="16" t="s">
        <v>112</v>
      </c>
      <c r="H157" s="155" t="s">
        <v>322</v>
      </c>
    </row>
    <row r="158" spans="2:45" outlineLevel="1" x14ac:dyDescent="0.15">
      <c r="B158" s="107" t="str">
        <f>B168</f>
        <v>Other Equity Category 1</v>
      </c>
      <c r="H158" s="80" t="s">
        <v>615</v>
      </c>
      <c r="J158" s="176">
        <v>0</v>
      </c>
      <c r="K158" s="176">
        <v>0</v>
      </c>
      <c r="L158" s="176">
        <v>0</v>
      </c>
      <c r="M158" s="176">
        <v>0</v>
      </c>
      <c r="N158" s="176">
        <v>0</v>
      </c>
      <c r="O158" s="176">
        <v>0</v>
      </c>
      <c r="P158" s="176">
        <v>0</v>
      </c>
      <c r="Q158" s="176">
        <v>0</v>
      </c>
      <c r="R158" s="176">
        <v>0</v>
      </c>
      <c r="S158" s="176">
        <v>0</v>
      </c>
      <c r="T158" s="176">
        <v>0</v>
      </c>
      <c r="U158" s="176">
        <v>0</v>
      </c>
      <c r="V158" s="176">
        <v>0</v>
      </c>
      <c r="W158" s="176">
        <v>0</v>
      </c>
      <c r="X158" s="176">
        <v>0</v>
      </c>
      <c r="Y158" s="176">
        <v>0</v>
      </c>
      <c r="Z158" s="176">
        <v>0</v>
      </c>
      <c r="AA158" s="176">
        <v>0</v>
      </c>
      <c r="AB158" s="176">
        <v>0</v>
      </c>
      <c r="AC158" s="176">
        <v>0</v>
      </c>
      <c r="AD158" s="176">
        <v>0</v>
      </c>
      <c r="AE158" s="176">
        <v>0</v>
      </c>
      <c r="AF158" s="176">
        <v>0</v>
      </c>
      <c r="AG158" s="176">
        <v>0</v>
      </c>
      <c r="AH158" s="176">
        <v>0</v>
      </c>
      <c r="AI158" s="176">
        <v>0</v>
      </c>
      <c r="AJ158" s="176">
        <v>0</v>
      </c>
      <c r="AK158" s="176">
        <v>0</v>
      </c>
      <c r="AL158" s="176">
        <v>0</v>
      </c>
      <c r="AM158" s="176">
        <v>0</v>
      </c>
      <c r="AN158" s="176">
        <v>0</v>
      </c>
      <c r="AO158" s="176">
        <v>0</v>
      </c>
      <c r="AP158" s="176">
        <v>0</v>
      </c>
      <c r="AQ158" s="176">
        <v>0</v>
      </c>
      <c r="AR158" s="176">
        <v>0</v>
      </c>
      <c r="AS158" s="176">
        <v>0</v>
      </c>
    </row>
    <row r="159" spans="2:45" ht="3" customHeight="1" outlineLevel="1" x14ac:dyDescent="0.15"/>
    <row r="160" spans="2:45" ht="3" customHeight="1" outlineLevel="1" x14ac:dyDescent="0.15"/>
    <row r="161" spans="2:45" hidden="1" outlineLevel="2" x14ac:dyDescent="0.15">
      <c r="B161" s="107" t="str">
        <f>B174</f>
        <v>Other Equity Category 1</v>
      </c>
      <c r="J161" s="158">
        <f t="shared" ref="J161:AS161" si="65">IF(J$8=1,$I174,I178)</f>
        <v>0</v>
      </c>
      <c r="K161" s="158">
        <f t="shared" si="65"/>
        <v>0</v>
      </c>
      <c r="L161" s="158">
        <f t="shared" si="65"/>
        <v>0</v>
      </c>
      <c r="M161" s="158">
        <f t="shared" si="65"/>
        <v>0</v>
      </c>
      <c r="N161" s="158">
        <f t="shared" si="65"/>
        <v>0</v>
      </c>
      <c r="O161" s="158">
        <f t="shared" si="65"/>
        <v>0</v>
      </c>
      <c r="P161" s="158">
        <f t="shared" si="65"/>
        <v>0</v>
      </c>
      <c r="Q161" s="158">
        <f t="shared" si="65"/>
        <v>0</v>
      </c>
      <c r="R161" s="158">
        <f t="shared" si="65"/>
        <v>0</v>
      </c>
      <c r="S161" s="158">
        <f t="shared" si="65"/>
        <v>0</v>
      </c>
      <c r="T161" s="158">
        <f t="shared" si="65"/>
        <v>0</v>
      </c>
      <c r="U161" s="158">
        <f t="shared" si="65"/>
        <v>0</v>
      </c>
      <c r="V161" s="158">
        <f t="shared" si="65"/>
        <v>0</v>
      </c>
      <c r="W161" s="158">
        <f t="shared" si="65"/>
        <v>0</v>
      </c>
      <c r="X161" s="158">
        <f t="shared" si="65"/>
        <v>0</v>
      </c>
      <c r="Y161" s="158">
        <f t="shared" si="65"/>
        <v>0</v>
      </c>
      <c r="Z161" s="158">
        <f t="shared" si="65"/>
        <v>0</v>
      </c>
      <c r="AA161" s="158">
        <f t="shared" si="65"/>
        <v>0</v>
      </c>
      <c r="AB161" s="158">
        <f t="shared" si="65"/>
        <v>0</v>
      </c>
      <c r="AC161" s="158">
        <f t="shared" si="65"/>
        <v>0</v>
      </c>
      <c r="AD161" s="158">
        <f t="shared" si="65"/>
        <v>0</v>
      </c>
      <c r="AE161" s="158">
        <f t="shared" si="65"/>
        <v>0</v>
      </c>
      <c r="AF161" s="158">
        <f t="shared" si="65"/>
        <v>0</v>
      </c>
      <c r="AG161" s="158">
        <f t="shared" si="65"/>
        <v>0</v>
      </c>
      <c r="AH161" s="158">
        <f t="shared" si="65"/>
        <v>0</v>
      </c>
      <c r="AI161" s="158">
        <f t="shared" si="65"/>
        <v>0</v>
      </c>
      <c r="AJ161" s="158">
        <f t="shared" si="65"/>
        <v>0</v>
      </c>
      <c r="AK161" s="158">
        <f t="shared" si="65"/>
        <v>0</v>
      </c>
      <c r="AL161" s="158">
        <f t="shared" si="65"/>
        <v>0</v>
      </c>
      <c r="AM161" s="158">
        <f t="shared" si="65"/>
        <v>0</v>
      </c>
      <c r="AN161" s="158">
        <f t="shared" si="65"/>
        <v>0</v>
      </c>
      <c r="AO161" s="158">
        <f t="shared" si="65"/>
        <v>0</v>
      </c>
      <c r="AP161" s="158">
        <f t="shared" si="65"/>
        <v>0</v>
      </c>
      <c r="AQ161" s="158">
        <f t="shared" si="65"/>
        <v>0</v>
      </c>
      <c r="AR161" s="158">
        <f t="shared" si="65"/>
        <v>0</v>
      </c>
      <c r="AS161" s="158">
        <f t="shared" si="65"/>
        <v>0</v>
      </c>
    </row>
    <row r="162" spans="2:45" hidden="1" outlineLevel="2" x14ac:dyDescent="0.15">
      <c r="B162" s="107" t="s">
        <v>375</v>
      </c>
      <c r="J162" s="81">
        <f t="shared" ref="J162:AS162" si="66">SUM(J161:J161)</f>
        <v>0</v>
      </c>
      <c r="K162" s="81">
        <f t="shared" si="66"/>
        <v>0</v>
      </c>
      <c r="L162" s="81">
        <f t="shared" si="66"/>
        <v>0</v>
      </c>
      <c r="M162" s="81">
        <f t="shared" si="66"/>
        <v>0</v>
      </c>
      <c r="N162" s="81">
        <f t="shared" si="66"/>
        <v>0</v>
      </c>
      <c r="O162" s="81">
        <f t="shared" si="66"/>
        <v>0</v>
      </c>
      <c r="P162" s="81">
        <f t="shared" si="66"/>
        <v>0</v>
      </c>
      <c r="Q162" s="81">
        <f t="shared" si="66"/>
        <v>0</v>
      </c>
      <c r="R162" s="81">
        <f t="shared" si="66"/>
        <v>0</v>
      </c>
      <c r="S162" s="81">
        <f t="shared" si="66"/>
        <v>0</v>
      </c>
      <c r="T162" s="81">
        <f t="shared" si="66"/>
        <v>0</v>
      </c>
      <c r="U162" s="81">
        <f t="shared" si="66"/>
        <v>0</v>
      </c>
      <c r="V162" s="81">
        <f t="shared" si="66"/>
        <v>0</v>
      </c>
      <c r="W162" s="81">
        <f t="shared" si="66"/>
        <v>0</v>
      </c>
      <c r="X162" s="81">
        <f t="shared" si="66"/>
        <v>0</v>
      </c>
      <c r="Y162" s="81">
        <f t="shared" si="66"/>
        <v>0</v>
      </c>
      <c r="Z162" s="81">
        <f t="shared" si="66"/>
        <v>0</v>
      </c>
      <c r="AA162" s="81">
        <f t="shared" si="66"/>
        <v>0</v>
      </c>
      <c r="AB162" s="81">
        <f t="shared" si="66"/>
        <v>0</v>
      </c>
      <c r="AC162" s="81">
        <f t="shared" si="66"/>
        <v>0</v>
      </c>
      <c r="AD162" s="81">
        <f t="shared" si="66"/>
        <v>0</v>
      </c>
      <c r="AE162" s="81">
        <f t="shared" si="66"/>
        <v>0</v>
      </c>
      <c r="AF162" s="81">
        <f t="shared" si="66"/>
        <v>0</v>
      </c>
      <c r="AG162" s="81">
        <f t="shared" si="66"/>
        <v>0</v>
      </c>
      <c r="AH162" s="81">
        <f t="shared" si="66"/>
        <v>0</v>
      </c>
      <c r="AI162" s="81">
        <f t="shared" si="66"/>
        <v>0</v>
      </c>
      <c r="AJ162" s="81">
        <f t="shared" si="66"/>
        <v>0</v>
      </c>
      <c r="AK162" s="81">
        <f t="shared" si="66"/>
        <v>0</v>
      </c>
      <c r="AL162" s="81">
        <f t="shared" si="66"/>
        <v>0</v>
      </c>
      <c r="AM162" s="81">
        <f t="shared" si="66"/>
        <v>0</v>
      </c>
      <c r="AN162" s="81">
        <f t="shared" si="66"/>
        <v>0</v>
      </c>
      <c r="AO162" s="81">
        <f t="shared" si="66"/>
        <v>0</v>
      </c>
      <c r="AP162" s="81">
        <f t="shared" si="66"/>
        <v>0</v>
      </c>
      <c r="AQ162" s="81">
        <f t="shared" si="66"/>
        <v>0</v>
      </c>
      <c r="AR162" s="81">
        <f t="shared" si="66"/>
        <v>0</v>
      </c>
      <c r="AS162" s="81">
        <f t="shared" si="66"/>
        <v>0</v>
      </c>
    </row>
    <row r="163" spans="2:45" ht="6" hidden="1" customHeight="1" outlineLevel="2" x14ac:dyDescent="0.15"/>
    <row r="164" spans="2:45" hidden="1" outlineLevel="2" x14ac:dyDescent="0.15">
      <c r="B164" s="107" t="str">
        <f>B174</f>
        <v>Other Equity Category 1</v>
      </c>
      <c r="J164" s="158">
        <f t="shared" ref="J164:AS164" si="67">J178-J161</f>
        <v>0</v>
      </c>
      <c r="K164" s="158">
        <f t="shared" si="67"/>
        <v>0</v>
      </c>
      <c r="L164" s="158">
        <f t="shared" si="67"/>
        <v>0</v>
      </c>
      <c r="M164" s="158">
        <f t="shared" si="67"/>
        <v>0</v>
      </c>
      <c r="N164" s="158">
        <f t="shared" si="67"/>
        <v>0</v>
      </c>
      <c r="O164" s="158">
        <f t="shared" si="67"/>
        <v>0</v>
      </c>
      <c r="P164" s="158">
        <f t="shared" si="67"/>
        <v>0</v>
      </c>
      <c r="Q164" s="158">
        <f t="shared" si="67"/>
        <v>0</v>
      </c>
      <c r="R164" s="158">
        <f t="shared" si="67"/>
        <v>0</v>
      </c>
      <c r="S164" s="158">
        <f t="shared" si="67"/>
        <v>0</v>
      </c>
      <c r="T164" s="158">
        <f t="shared" si="67"/>
        <v>0</v>
      </c>
      <c r="U164" s="158">
        <f t="shared" si="67"/>
        <v>0</v>
      </c>
      <c r="V164" s="158">
        <f t="shared" si="67"/>
        <v>0</v>
      </c>
      <c r="W164" s="158">
        <f t="shared" si="67"/>
        <v>0</v>
      </c>
      <c r="X164" s="158">
        <f t="shared" si="67"/>
        <v>0</v>
      </c>
      <c r="Y164" s="158">
        <f t="shared" si="67"/>
        <v>0</v>
      </c>
      <c r="Z164" s="158">
        <f t="shared" si="67"/>
        <v>0</v>
      </c>
      <c r="AA164" s="158">
        <f t="shared" si="67"/>
        <v>0</v>
      </c>
      <c r="AB164" s="158">
        <f t="shared" si="67"/>
        <v>0</v>
      </c>
      <c r="AC164" s="158">
        <f t="shared" si="67"/>
        <v>0</v>
      </c>
      <c r="AD164" s="158">
        <f t="shared" si="67"/>
        <v>0</v>
      </c>
      <c r="AE164" s="158">
        <f t="shared" si="67"/>
        <v>0</v>
      </c>
      <c r="AF164" s="158">
        <f t="shared" si="67"/>
        <v>0</v>
      </c>
      <c r="AG164" s="158">
        <f t="shared" si="67"/>
        <v>0</v>
      </c>
      <c r="AH164" s="158">
        <f t="shared" si="67"/>
        <v>0</v>
      </c>
      <c r="AI164" s="158">
        <f t="shared" si="67"/>
        <v>0</v>
      </c>
      <c r="AJ164" s="158">
        <f t="shared" si="67"/>
        <v>0</v>
      </c>
      <c r="AK164" s="158">
        <f t="shared" si="67"/>
        <v>0</v>
      </c>
      <c r="AL164" s="158">
        <f t="shared" si="67"/>
        <v>0</v>
      </c>
      <c r="AM164" s="158">
        <f t="shared" si="67"/>
        <v>0</v>
      </c>
      <c r="AN164" s="158">
        <f t="shared" si="67"/>
        <v>0</v>
      </c>
      <c r="AO164" s="158">
        <f t="shared" si="67"/>
        <v>0</v>
      </c>
      <c r="AP164" s="158">
        <f t="shared" si="67"/>
        <v>0</v>
      </c>
      <c r="AQ164" s="158">
        <f t="shared" si="67"/>
        <v>0</v>
      </c>
      <c r="AR164" s="158">
        <f t="shared" si="67"/>
        <v>0</v>
      </c>
      <c r="AS164" s="158">
        <f t="shared" si="67"/>
        <v>0</v>
      </c>
    </row>
    <row r="165" spans="2:45" hidden="1" outlineLevel="2" x14ac:dyDescent="0.15">
      <c r="B165" s="107" t="s">
        <v>629</v>
      </c>
      <c r="J165" s="81">
        <f t="shared" ref="J165:AS165" si="68">SUM(J164:J164)</f>
        <v>0</v>
      </c>
      <c r="K165" s="81">
        <f t="shared" si="68"/>
        <v>0</v>
      </c>
      <c r="L165" s="81">
        <f t="shared" si="68"/>
        <v>0</v>
      </c>
      <c r="M165" s="81">
        <f t="shared" si="68"/>
        <v>0</v>
      </c>
      <c r="N165" s="81">
        <f t="shared" si="68"/>
        <v>0</v>
      </c>
      <c r="O165" s="81">
        <f t="shared" si="68"/>
        <v>0</v>
      </c>
      <c r="P165" s="81">
        <f t="shared" si="68"/>
        <v>0</v>
      </c>
      <c r="Q165" s="81">
        <f t="shared" si="68"/>
        <v>0</v>
      </c>
      <c r="R165" s="81">
        <f t="shared" si="68"/>
        <v>0</v>
      </c>
      <c r="S165" s="81">
        <f t="shared" si="68"/>
        <v>0</v>
      </c>
      <c r="T165" s="81">
        <f t="shared" si="68"/>
        <v>0</v>
      </c>
      <c r="U165" s="81">
        <f t="shared" si="68"/>
        <v>0</v>
      </c>
      <c r="V165" s="81">
        <f t="shared" si="68"/>
        <v>0</v>
      </c>
      <c r="W165" s="81">
        <f t="shared" si="68"/>
        <v>0</v>
      </c>
      <c r="X165" s="81">
        <f t="shared" si="68"/>
        <v>0</v>
      </c>
      <c r="Y165" s="81">
        <f t="shared" si="68"/>
        <v>0</v>
      </c>
      <c r="Z165" s="81">
        <f t="shared" si="68"/>
        <v>0</v>
      </c>
      <c r="AA165" s="81">
        <f t="shared" si="68"/>
        <v>0</v>
      </c>
      <c r="AB165" s="81">
        <f t="shared" si="68"/>
        <v>0</v>
      </c>
      <c r="AC165" s="81">
        <f t="shared" si="68"/>
        <v>0</v>
      </c>
      <c r="AD165" s="81">
        <f t="shared" si="68"/>
        <v>0</v>
      </c>
      <c r="AE165" s="81">
        <f t="shared" si="68"/>
        <v>0</v>
      </c>
      <c r="AF165" s="81">
        <f t="shared" si="68"/>
        <v>0</v>
      </c>
      <c r="AG165" s="81">
        <f t="shared" si="68"/>
        <v>0</v>
      </c>
      <c r="AH165" s="81">
        <f t="shared" si="68"/>
        <v>0</v>
      </c>
      <c r="AI165" s="81">
        <f t="shared" si="68"/>
        <v>0</v>
      </c>
      <c r="AJ165" s="81">
        <f t="shared" si="68"/>
        <v>0</v>
      </c>
      <c r="AK165" s="81">
        <f t="shared" si="68"/>
        <v>0</v>
      </c>
      <c r="AL165" s="81">
        <f t="shared" si="68"/>
        <v>0</v>
      </c>
      <c r="AM165" s="81">
        <f t="shared" si="68"/>
        <v>0</v>
      </c>
      <c r="AN165" s="81">
        <f t="shared" si="68"/>
        <v>0</v>
      </c>
      <c r="AO165" s="81">
        <f t="shared" si="68"/>
        <v>0</v>
      </c>
      <c r="AP165" s="81">
        <f t="shared" si="68"/>
        <v>0</v>
      </c>
      <c r="AQ165" s="81">
        <f t="shared" si="68"/>
        <v>0</v>
      </c>
      <c r="AR165" s="81">
        <f t="shared" si="68"/>
        <v>0</v>
      </c>
      <c r="AS165" s="81">
        <f t="shared" si="68"/>
        <v>0</v>
      </c>
    </row>
    <row r="166" spans="2:45" ht="6" hidden="1" customHeight="1" outlineLevel="2" x14ac:dyDescent="0.15"/>
    <row r="167" spans="2:45" outlineLevel="1" collapsed="1" x14ac:dyDescent="0.15">
      <c r="B167" s="16" t="s">
        <v>617</v>
      </c>
      <c r="I167" s="159">
        <f>Ts_Start_Date</f>
        <v>45139</v>
      </c>
    </row>
    <row r="168" spans="2:45" outlineLevel="1" x14ac:dyDescent="0.15">
      <c r="B168" s="107" t="str">
        <f>B174</f>
        <v>Other Equity Category 1</v>
      </c>
      <c r="I168" s="161">
        <f>I174</f>
        <v>0</v>
      </c>
      <c r="J168" s="14">
        <f t="shared" ref="J168:AS168" si="69">I168+J158</f>
        <v>0</v>
      </c>
      <c r="K168" s="14">
        <f t="shared" si="69"/>
        <v>0</v>
      </c>
      <c r="L168" s="14">
        <f t="shared" si="69"/>
        <v>0</v>
      </c>
      <c r="M168" s="14">
        <f t="shared" si="69"/>
        <v>0</v>
      </c>
      <c r="N168" s="14">
        <f t="shared" si="69"/>
        <v>0</v>
      </c>
      <c r="O168" s="14">
        <f t="shared" si="69"/>
        <v>0</v>
      </c>
      <c r="P168" s="14">
        <f t="shared" si="69"/>
        <v>0</v>
      </c>
      <c r="Q168" s="14">
        <f t="shared" si="69"/>
        <v>0</v>
      </c>
      <c r="R168" s="14">
        <f t="shared" si="69"/>
        <v>0</v>
      </c>
      <c r="S168" s="14">
        <f t="shared" si="69"/>
        <v>0</v>
      </c>
      <c r="T168" s="14">
        <f t="shared" si="69"/>
        <v>0</v>
      </c>
      <c r="U168" s="14">
        <f t="shared" si="69"/>
        <v>0</v>
      </c>
      <c r="V168" s="14">
        <f t="shared" si="69"/>
        <v>0</v>
      </c>
      <c r="W168" s="14">
        <f t="shared" si="69"/>
        <v>0</v>
      </c>
      <c r="X168" s="14">
        <f t="shared" si="69"/>
        <v>0</v>
      </c>
      <c r="Y168" s="14">
        <f t="shared" si="69"/>
        <v>0</v>
      </c>
      <c r="Z168" s="14">
        <f t="shared" si="69"/>
        <v>0</v>
      </c>
      <c r="AA168" s="14">
        <f t="shared" si="69"/>
        <v>0</v>
      </c>
      <c r="AB168" s="14">
        <f t="shared" si="69"/>
        <v>0</v>
      </c>
      <c r="AC168" s="14">
        <f t="shared" si="69"/>
        <v>0</v>
      </c>
      <c r="AD168" s="14">
        <f t="shared" si="69"/>
        <v>0</v>
      </c>
      <c r="AE168" s="14">
        <f t="shared" si="69"/>
        <v>0</v>
      </c>
      <c r="AF168" s="14">
        <f t="shared" si="69"/>
        <v>0</v>
      </c>
      <c r="AG168" s="14">
        <f t="shared" si="69"/>
        <v>0</v>
      </c>
      <c r="AH168" s="14">
        <f t="shared" si="69"/>
        <v>0</v>
      </c>
      <c r="AI168" s="14">
        <f t="shared" si="69"/>
        <v>0</v>
      </c>
      <c r="AJ168" s="14">
        <f t="shared" si="69"/>
        <v>0</v>
      </c>
      <c r="AK168" s="14">
        <f t="shared" si="69"/>
        <v>0</v>
      </c>
      <c r="AL168" s="14">
        <f t="shared" si="69"/>
        <v>0</v>
      </c>
      <c r="AM168" s="14">
        <f t="shared" si="69"/>
        <v>0</v>
      </c>
      <c r="AN168" s="14">
        <f t="shared" si="69"/>
        <v>0</v>
      </c>
      <c r="AO168" s="14">
        <f t="shared" si="69"/>
        <v>0</v>
      </c>
      <c r="AP168" s="14">
        <f t="shared" si="69"/>
        <v>0</v>
      </c>
      <c r="AQ168" s="14">
        <f t="shared" si="69"/>
        <v>0</v>
      </c>
      <c r="AR168" s="14">
        <f t="shared" si="69"/>
        <v>0</v>
      </c>
      <c r="AS168" s="14">
        <f t="shared" si="69"/>
        <v>0</v>
      </c>
    </row>
    <row r="169" spans="2:45" outlineLevel="1" x14ac:dyDescent="0.15">
      <c r="B169" s="16" t="str">
        <f>"Total "&amp;B157</f>
        <v>Total Other Equity</v>
      </c>
      <c r="I169" s="18">
        <f ca="1">IF(ROWS(I$167:I$169)=2,0,SUM(OFFSET(I$167,1,0,ROWS(I$167:I$169)-2)))</f>
        <v>0</v>
      </c>
      <c r="J169" s="18">
        <f t="shared" ref="J169:AS169" ca="1" si="70">IF(ROWS(J$167:J$169)=2,0,SUM(OFFSET(J$167,1,0,ROWS(J$167:J$169)-2)))</f>
        <v>0</v>
      </c>
      <c r="K169" s="18">
        <f t="shared" ca="1" si="70"/>
        <v>0</v>
      </c>
      <c r="L169" s="18">
        <f t="shared" ca="1" si="70"/>
        <v>0</v>
      </c>
      <c r="M169" s="18">
        <f t="shared" ca="1" si="70"/>
        <v>0</v>
      </c>
      <c r="N169" s="18">
        <f t="shared" ca="1" si="70"/>
        <v>0</v>
      </c>
      <c r="O169" s="18">
        <f t="shared" ca="1" si="70"/>
        <v>0</v>
      </c>
      <c r="P169" s="18">
        <f t="shared" ca="1" si="70"/>
        <v>0</v>
      </c>
      <c r="Q169" s="18">
        <f t="shared" ca="1" si="70"/>
        <v>0</v>
      </c>
      <c r="R169" s="18">
        <f t="shared" ca="1" si="70"/>
        <v>0</v>
      </c>
      <c r="S169" s="18">
        <f t="shared" ca="1" si="70"/>
        <v>0</v>
      </c>
      <c r="T169" s="18">
        <f t="shared" ca="1" si="70"/>
        <v>0</v>
      </c>
      <c r="U169" s="18">
        <f t="shared" ca="1" si="70"/>
        <v>0</v>
      </c>
      <c r="V169" s="18">
        <f t="shared" ca="1" si="70"/>
        <v>0</v>
      </c>
      <c r="W169" s="18">
        <f t="shared" ca="1" si="70"/>
        <v>0</v>
      </c>
      <c r="X169" s="18">
        <f t="shared" ca="1" si="70"/>
        <v>0</v>
      </c>
      <c r="Y169" s="18">
        <f t="shared" ca="1" si="70"/>
        <v>0</v>
      </c>
      <c r="Z169" s="18">
        <f t="shared" ca="1" si="70"/>
        <v>0</v>
      </c>
      <c r="AA169" s="18">
        <f t="shared" ca="1" si="70"/>
        <v>0</v>
      </c>
      <c r="AB169" s="18">
        <f t="shared" ca="1" si="70"/>
        <v>0</v>
      </c>
      <c r="AC169" s="18">
        <f t="shared" ca="1" si="70"/>
        <v>0</v>
      </c>
      <c r="AD169" s="18">
        <f t="shared" ca="1" si="70"/>
        <v>0</v>
      </c>
      <c r="AE169" s="18">
        <f t="shared" ca="1" si="70"/>
        <v>0</v>
      </c>
      <c r="AF169" s="18">
        <f t="shared" ca="1" si="70"/>
        <v>0</v>
      </c>
      <c r="AG169" s="18">
        <f t="shared" ca="1" si="70"/>
        <v>0</v>
      </c>
      <c r="AH169" s="18">
        <f t="shared" ca="1" si="70"/>
        <v>0</v>
      </c>
      <c r="AI169" s="18">
        <f t="shared" ca="1" si="70"/>
        <v>0</v>
      </c>
      <c r="AJ169" s="18">
        <f t="shared" ca="1" si="70"/>
        <v>0</v>
      </c>
      <c r="AK169" s="18">
        <f t="shared" ca="1" si="70"/>
        <v>0</v>
      </c>
      <c r="AL169" s="18">
        <f t="shared" ca="1" si="70"/>
        <v>0</v>
      </c>
      <c r="AM169" s="18">
        <f t="shared" ca="1" si="70"/>
        <v>0</v>
      </c>
      <c r="AN169" s="18">
        <f t="shared" ca="1" si="70"/>
        <v>0</v>
      </c>
      <c r="AO169" s="18">
        <f t="shared" ca="1" si="70"/>
        <v>0</v>
      </c>
      <c r="AP169" s="18">
        <f t="shared" ca="1" si="70"/>
        <v>0</v>
      </c>
      <c r="AQ169" s="18">
        <f t="shared" ca="1" si="70"/>
        <v>0</v>
      </c>
      <c r="AR169" s="18">
        <f t="shared" ca="1" si="70"/>
        <v>0</v>
      </c>
      <c r="AS169" s="18">
        <f t="shared" ca="1" si="70"/>
        <v>0</v>
      </c>
    </row>
    <row r="170" spans="2:45" ht="6" customHeight="1" outlineLevel="1" x14ac:dyDescent="0.15"/>
    <row r="171" spans="2:45" outlineLevel="1" x14ac:dyDescent="0.15">
      <c r="B171" s="107" t="s">
        <v>630</v>
      </c>
      <c r="J171" s="81">
        <f t="shared" ref="J171:AS171" si="71">J165</f>
        <v>0</v>
      </c>
      <c r="K171" s="81">
        <f t="shared" si="71"/>
        <v>0</v>
      </c>
      <c r="L171" s="81">
        <f t="shared" si="71"/>
        <v>0</v>
      </c>
      <c r="M171" s="81">
        <f t="shared" si="71"/>
        <v>0</v>
      </c>
      <c r="N171" s="81">
        <f t="shared" si="71"/>
        <v>0</v>
      </c>
      <c r="O171" s="81">
        <f t="shared" si="71"/>
        <v>0</v>
      </c>
      <c r="P171" s="81">
        <f t="shared" si="71"/>
        <v>0</v>
      </c>
      <c r="Q171" s="81">
        <f t="shared" si="71"/>
        <v>0</v>
      </c>
      <c r="R171" s="81">
        <f t="shared" si="71"/>
        <v>0</v>
      </c>
      <c r="S171" s="81">
        <f t="shared" si="71"/>
        <v>0</v>
      </c>
      <c r="T171" s="81">
        <f t="shared" si="71"/>
        <v>0</v>
      </c>
      <c r="U171" s="81">
        <f t="shared" si="71"/>
        <v>0</v>
      </c>
      <c r="V171" s="81">
        <f t="shared" si="71"/>
        <v>0</v>
      </c>
      <c r="W171" s="81">
        <f t="shared" si="71"/>
        <v>0</v>
      </c>
      <c r="X171" s="81">
        <f t="shared" si="71"/>
        <v>0</v>
      </c>
      <c r="Y171" s="81">
        <f t="shared" si="71"/>
        <v>0</v>
      </c>
      <c r="Z171" s="81">
        <f t="shared" si="71"/>
        <v>0</v>
      </c>
      <c r="AA171" s="81">
        <f t="shared" si="71"/>
        <v>0</v>
      </c>
      <c r="AB171" s="81">
        <f t="shared" si="71"/>
        <v>0</v>
      </c>
      <c r="AC171" s="81">
        <f t="shared" si="71"/>
        <v>0</v>
      </c>
      <c r="AD171" s="81">
        <f t="shared" si="71"/>
        <v>0</v>
      </c>
      <c r="AE171" s="81">
        <f t="shared" si="71"/>
        <v>0</v>
      </c>
      <c r="AF171" s="81">
        <f t="shared" si="71"/>
        <v>0</v>
      </c>
      <c r="AG171" s="81">
        <f t="shared" si="71"/>
        <v>0</v>
      </c>
      <c r="AH171" s="81">
        <f t="shared" si="71"/>
        <v>0</v>
      </c>
      <c r="AI171" s="81">
        <f t="shared" si="71"/>
        <v>0</v>
      </c>
      <c r="AJ171" s="81">
        <f t="shared" si="71"/>
        <v>0</v>
      </c>
      <c r="AK171" s="81">
        <f t="shared" si="71"/>
        <v>0</v>
      </c>
      <c r="AL171" s="81">
        <f t="shared" si="71"/>
        <v>0</v>
      </c>
      <c r="AM171" s="81">
        <f t="shared" si="71"/>
        <v>0</v>
      </c>
      <c r="AN171" s="81">
        <f t="shared" si="71"/>
        <v>0</v>
      </c>
      <c r="AO171" s="81">
        <f t="shared" si="71"/>
        <v>0</v>
      </c>
      <c r="AP171" s="81">
        <f t="shared" si="71"/>
        <v>0</v>
      </c>
      <c r="AQ171" s="81">
        <f t="shared" si="71"/>
        <v>0</v>
      </c>
      <c r="AR171" s="81">
        <f t="shared" si="71"/>
        <v>0</v>
      </c>
      <c r="AS171" s="81">
        <f t="shared" si="71"/>
        <v>0</v>
      </c>
    </row>
    <row r="172" spans="2:45" ht="6" customHeight="1" outlineLevel="1" x14ac:dyDescent="0.15"/>
    <row r="173" spans="2:45" hidden="1" outlineLevel="2" x14ac:dyDescent="0.15">
      <c r="B173" s="16" t="s">
        <v>631</v>
      </c>
      <c r="I173" s="159">
        <f>Ts_Start_Date</f>
        <v>45139</v>
      </c>
    </row>
    <row r="174" spans="2:45" ht="12" hidden="1" customHeight="1" outlineLevel="2" x14ac:dyDescent="0.15">
      <c r="B174" s="339" t="str">
        <f>OBS!B68</f>
        <v>Other Equity Category 1</v>
      </c>
      <c r="C174" s="339"/>
      <c r="D174" s="339"/>
      <c r="E174" s="339"/>
      <c r="F174" s="339"/>
      <c r="G174" s="339"/>
      <c r="I174" s="161">
        <f>OBS!J68</f>
        <v>0</v>
      </c>
    </row>
    <row r="175" spans="2:45" ht="12" hidden="1" customHeight="1" outlineLevel="2" x14ac:dyDescent="0.15">
      <c r="B175" s="341" t="str">
        <f>"Total "&amp;B173</f>
        <v>Total Opening Other Equity</v>
      </c>
      <c r="C175" s="341"/>
      <c r="D175" s="341"/>
      <c r="E175" s="341"/>
      <c r="F175" s="341"/>
      <c r="G175" s="341"/>
      <c r="I175" s="160">
        <f>SUM(I174:I174)</f>
        <v>0</v>
      </c>
    </row>
    <row r="176" spans="2:45" ht="6" hidden="1" customHeight="1" outlineLevel="2" x14ac:dyDescent="0.15"/>
    <row r="177" spans="2:45" hidden="1" outlineLevel="2" x14ac:dyDescent="0.15">
      <c r="B177" s="16" t="str">
        <f>B157</f>
        <v>Other Equity</v>
      </c>
    </row>
    <row r="178" spans="2:45" hidden="1" outlineLevel="2" x14ac:dyDescent="0.15">
      <c r="B178" s="107" t="str">
        <f>B174</f>
        <v>Other Equity Category 1</v>
      </c>
      <c r="J178" s="14">
        <f t="shared" ref="J178:AS178" si="72">J168</f>
        <v>0</v>
      </c>
      <c r="K178" s="14">
        <f t="shared" si="72"/>
        <v>0</v>
      </c>
      <c r="L178" s="14">
        <f t="shared" si="72"/>
        <v>0</v>
      </c>
      <c r="M178" s="14">
        <f t="shared" si="72"/>
        <v>0</v>
      </c>
      <c r="N178" s="14">
        <f t="shared" si="72"/>
        <v>0</v>
      </c>
      <c r="O178" s="14">
        <f t="shared" si="72"/>
        <v>0</v>
      </c>
      <c r="P178" s="14">
        <f t="shared" si="72"/>
        <v>0</v>
      </c>
      <c r="Q178" s="14">
        <f t="shared" si="72"/>
        <v>0</v>
      </c>
      <c r="R178" s="14">
        <f t="shared" si="72"/>
        <v>0</v>
      </c>
      <c r="S178" s="14">
        <f t="shared" si="72"/>
        <v>0</v>
      </c>
      <c r="T178" s="14">
        <f t="shared" si="72"/>
        <v>0</v>
      </c>
      <c r="U178" s="14">
        <f t="shared" si="72"/>
        <v>0</v>
      </c>
      <c r="V178" s="14">
        <f t="shared" si="72"/>
        <v>0</v>
      </c>
      <c r="W178" s="14">
        <f t="shared" si="72"/>
        <v>0</v>
      </c>
      <c r="X178" s="14">
        <f t="shared" si="72"/>
        <v>0</v>
      </c>
      <c r="Y178" s="14">
        <f t="shared" si="72"/>
        <v>0</v>
      </c>
      <c r="Z178" s="14">
        <f t="shared" si="72"/>
        <v>0</v>
      </c>
      <c r="AA178" s="14">
        <f t="shared" si="72"/>
        <v>0</v>
      </c>
      <c r="AB178" s="14">
        <f t="shared" si="72"/>
        <v>0</v>
      </c>
      <c r="AC178" s="14">
        <f t="shared" si="72"/>
        <v>0</v>
      </c>
      <c r="AD178" s="14">
        <f t="shared" si="72"/>
        <v>0</v>
      </c>
      <c r="AE178" s="14">
        <f t="shared" si="72"/>
        <v>0</v>
      </c>
      <c r="AF178" s="14">
        <f t="shared" si="72"/>
        <v>0</v>
      </c>
      <c r="AG178" s="14">
        <f t="shared" si="72"/>
        <v>0</v>
      </c>
      <c r="AH178" s="14">
        <f t="shared" si="72"/>
        <v>0</v>
      </c>
      <c r="AI178" s="14">
        <f t="shared" si="72"/>
        <v>0</v>
      </c>
      <c r="AJ178" s="14">
        <f t="shared" si="72"/>
        <v>0</v>
      </c>
      <c r="AK178" s="14">
        <f t="shared" si="72"/>
        <v>0</v>
      </c>
      <c r="AL178" s="14">
        <f t="shared" si="72"/>
        <v>0</v>
      </c>
      <c r="AM178" s="14">
        <f t="shared" si="72"/>
        <v>0</v>
      </c>
      <c r="AN178" s="14">
        <f t="shared" si="72"/>
        <v>0</v>
      </c>
      <c r="AO178" s="14">
        <f t="shared" si="72"/>
        <v>0</v>
      </c>
      <c r="AP178" s="14">
        <f t="shared" si="72"/>
        <v>0</v>
      </c>
      <c r="AQ178" s="14">
        <f t="shared" si="72"/>
        <v>0</v>
      </c>
      <c r="AR178" s="14">
        <f t="shared" si="72"/>
        <v>0</v>
      </c>
      <c r="AS178" s="14">
        <f t="shared" si="72"/>
        <v>0</v>
      </c>
    </row>
    <row r="179" spans="2:45" hidden="1" outlineLevel="2" x14ac:dyDescent="0.15">
      <c r="B179" s="16" t="str">
        <f>B169</f>
        <v>Total Other Equity</v>
      </c>
      <c r="J179" s="18">
        <f t="shared" ref="J179:AS179" si="73">SUM(J178:J178)</f>
        <v>0</v>
      </c>
      <c r="K179" s="18">
        <f t="shared" si="73"/>
        <v>0</v>
      </c>
      <c r="L179" s="18">
        <f t="shared" si="73"/>
        <v>0</v>
      </c>
      <c r="M179" s="18">
        <f t="shared" si="73"/>
        <v>0</v>
      </c>
      <c r="N179" s="18">
        <f t="shared" si="73"/>
        <v>0</v>
      </c>
      <c r="O179" s="18">
        <f t="shared" si="73"/>
        <v>0</v>
      </c>
      <c r="P179" s="18">
        <f t="shared" si="73"/>
        <v>0</v>
      </c>
      <c r="Q179" s="18">
        <f t="shared" si="73"/>
        <v>0</v>
      </c>
      <c r="R179" s="18">
        <f t="shared" si="73"/>
        <v>0</v>
      </c>
      <c r="S179" s="18">
        <f t="shared" si="73"/>
        <v>0</v>
      </c>
      <c r="T179" s="18">
        <f t="shared" si="73"/>
        <v>0</v>
      </c>
      <c r="U179" s="18">
        <f t="shared" si="73"/>
        <v>0</v>
      </c>
      <c r="V179" s="18">
        <f t="shared" si="73"/>
        <v>0</v>
      </c>
      <c r="W179" s="18">
        <f t="shared" si="73"/>
        <v>0</v>
      </c>
      <c r="X179" s="18">
        <f t="shared" si="73"/>
        <v>0</v>
      </c>
      <c r="Y179" s="18">
        <f t="shared" si="73"/>
        <v>0</v>
      </c>
      <c r="Z179" s="18">
        <f t="shared" si="73"/>
        <v>0</v>
      </c>
      <c r="AA179" s="18">
        <f t="shared" si="73"/>
        <v>0</v>
      </c>
      <c r="AB179" s="18">
        <f t="shared" si="73"/>
        <v>0</v>
      </c>
      <c r="AC179" s="18">
        <f t="shared" si="73"/>
        <v>0</v>
      </c>
      <c r="AD179" s="18">
        <f t="shared" si="73"/>
        <v>0</v>
      </c>
      <c r="AE179" s="18">
        <f t="shared" si="73"/>
        <v>0</v>
      </c>
      <c r="AF179" s="18">
        <f t="shared" si="73"/>
        <v>0</v>
      </c>
      <c r="AG179" s="18">
        <f t="shared" si="73"/>
        <v>0</v>
      </c>
      <c r="AH179" s="18">
        <f t="shared" si="73"/>
        <v>0</v>
      </c>
      <c r="AI179" s="18">
        <f t="shared" si="73"/>
        <v>0</v>
      </c>
      <c r="AJ179" s="18">
        <f t="shared" si="73"/>
        <v>0</v>
      </c>
      <c r="AK179" s="18">
        <f t="shared" si="73"/>
        <v>0</v>
      </c>
      <c r="AL179" s="18">
        <f t="shared" si="73"/>
        <v>0</v>
      </c>
      <c r="AM179" s="18">
        <f t="shared" si="73"/>
        <v>0</v>
      </c>
      <c r="AN179" s="18">
        <f t="shared" si="73"/>
        <v>0</v>
      </c>
      <c r="AO179" s="18">
        <f t="shared" si="73"/>
        <v>0</v>
      </c>
      <c r="AP179" s="18">
        <f t="shared" si="73"/>
        <v>0</v>
      </c>
      <c r="AQ179" s="18">
        <f t="shared" si="73"/>
        <v>0</v>
      </c>
      <c r="AR179" s="18">
        <f t="shared" si="73"/>
        <v>0</v>
      </c>
      <c r="AS179" s="18">
        <f t="shared" si="73"/>
        <v>0</v>
      </c>
    </row>
    <row r="180" spans="2:45" ht="6" hidden="1" customHeight="1" outlineLevel="2" x14ac:dyDescent="0.15"/>
    <row r="181" spans="2:45" hidden="1" outlineLevel="2" x14ac:dyDescent="0.15">
      <c r="C181" s="107" t="s">
        <v>192</v>
      </c>
      <c r="J181" s="17">
        <f t="shared" ref="J181:AS181" ca="1" si="74">IF(ISERROR(J169-J179),1,0)</f>
        <v>0</v>
      </c>
      <c r="K181" s="17">
        <f t="shared" ca="1" si="74"/>
        <v>0</v>
      </c>
      <c r="L181" s="17">
        <f t="shared" ca="1" si="74"/>
        <v>0</v>
      </c>
      <c r="M181" s="17">
        <f t="shared" ca="1" si="74"/>
        <v>0</v>
      </c>
      <c r="N181" s="17">
        <f t="shared" ca="1" si="74"/>
        <v>0</v>
      </c>
      <c r="O181" s="17">
        <f t="shared" ca="1" si="74"/>
        <v>0</v>
      </c>
      <c r="P181" s="17">
        <f t="shared" ca="1" si="74"/>
        <v>0</v>
      </c>
      <c r="Q181" s="17">
        <f t="shared" ca="1" si="74"/>
        <v>0</v>
      </c>
      <c r="R181" s="17">
        <f t="shared" ca="1" si="74"/>
        <v>0</v>
      </c>
      <c r="S181" s="17">
        <f t="shared" ca="1" si="74"/>
        <v>0</v>
      </c>
      <c r="T181" s="17">
        <f t="shared" ca="1" si="74"/>
        <v>0</v>
      </c>
      <c r="U181" s="17">
        <f t="shared" ca="1" si="74"/>
        <v>0</v>
      </c>
      <c r="V181" s="17">
        <f t="shared" ca="1" si="74"/>
        <v>0</v>
      </c>
      <c r="W181" s="17">
        <f t="shared" ca="1" si="74"/>
        <v>0</v>
      </c>
      <c r="X181" s="17">
        <f t="shared" ca="1" si="74"/>
        <v>0</v>
      </c>
      <c r="Y181" s="17">
        <f t="shared" ca="1" si="74"/>
        <v>0</v>
      </c>
      <c r="Z181" s="17">
        <f t="shared" ca="1" si="74"/>
        <v>0</v>
      </c>
      <c r="AA181" s="17">
        <f t="shared" ca="1" si="74"/>
        <v>0</v>
      </c>
      <c r="AB181" s="17">
        <f t="shared" ca="1" si="74"/>
        <v>0</v>
      </c>
      <c r="AC181" s="17">
        <f t="shared" ca="1" si="74"/>
        <v>0</v>
      </c>
      <c r="AD181" s="17">
        <f t="shared" ca="1" si="74"/>
        <v>0</v>
      </c>
      <c r="AE181" s="17">
        <f t="shared" ca="1" si="74"/>
        <v>0</v>
      </c>
      <c r="AF181" s="17">
        <f t="shared" ca="1" si="74"/>
        <v>0</v>
      </c>
      <c r="AG181" s="17">
        <f t="shared" ca="1" si="74"/>
        <v>0</v>
      </c>
      <c r="AH181" s="17">
        <f t="shared" ca="1" si="74"/>
        <v>0</v>
      </c>
      <c r="AI181" s="17">
        <f t="shared" ca="1" si="74"/>
        <v>0</v>
      </c>
      <c r="AJ181" s="17">
        <f t="shared" ca="1" si="74"/>
        <v>0</v>
      </c>
      <c r="AK181" s="17">
        <f t="shared" ca="1" si="74"/>
        <v>0</v>
      </c>
      <c r="AL181" s="17">
        <f t="shared" ca="1" si="74"/>
        <v>0</v>
      </c>
      <c r="AM181" s="17">
        <f t="shared" ca="1" si="74"/>
        <v>0</v>
      </c>
      <c r="AN181" s="17">
        <f t="shared" ca="1" si="74"/>
        <v>0</v>
      </c>
      <c r="AO181" s="17">
        <f t="shared" ca="1" si="74"/>
        <v>0</v>
      </c>
      <c r="AP181" s="17">
        <f t="shared" ca="1" si="74"/>
        <v>0</v>
      </c>
      <c r="AQ181" s="17">
        <f t="shared" ca="1" si="74"/>
        <v>0</v>
      </c>
      <c r="AR181" s="17">
        <f t="shared" ca="1" si="74"/>
        <v>0</v>
      </c>
      <c r="AS181" s="17">
        <f t="shared" ca="1" si="74"/>
        <v>0</v>
      </c>
    </row>
    <row r="182" spans="2:45" hidden="1" outlineLevel="2" x14ac:dyDescent="0.15">
      <c r="C182" s="107" t="s">
        <v>334</v>
      </c>
      <c r="J182" s="42">
        <f t="shared" ref="J182:AS182" ca="1" si="75">IF(J181&lt;&gt;0,0,IF(ROUND(J169-J179,5)&lt;&gt;0,1,0))</f>
        <v>0</v>
      </c>
      <c r="K182" s="42">
        <f t="shared" ca="1" si="75"/>
        <v>0</v>
      </c>
      <c r="L182" s="42">
        <f t="shared" ca="1" si="75"/>
        <v>0</v>
      </c>
      <c r="M182" s="42">
        <f t="shared" ca="1" si="75"/>
        <v>0</v>
      </c>
      <c r="N182" s="42">
        <f t="shared" ca="1" si="75"/>
        <v>0</v>
      </c>
      <c r="O182" s="42">
        <f t="shared" ca="1" si="75"/>
        <v>0</v>
      </c>
      <c r="P182" s="42">
        <f t="shared" ca="1" si="75"/>
        <v>0</v>
      </c>
      <c r="Q182" s="42">
        <f t="shared" ca="1" si="75"/>
        <v>0</v>
      </c>
      <c r="R182" s="42">
        <f t="shared" ca="1" si="75"/>
        <v>0</v>
      </c>
      <c r="S182" s="42">
        <f t="shared" ca="1" si="75"/>
        <v>0</v>
      </c>
      <c r="T182" s="42">
        <f t="shared" ca="1" si="75"/>
        <v>0</v>
      </c>
      <c r="U182" s="42">
        <f t="shared" ca="1" si="75"/>
        <v>0</v>
      </c>
      <c r="V182" s="42">
        <f t="shared" ca="1" si="75"/>
        <v>0</v>
      </c>
      <c r="W182" s="42">
        <f t="shared" ca="1" si="75"/>
        <v>0</v>
      </c>
      <c r="X182" s="42">
        <f t="shared" ca="1" si="75"/>
        <v>0</v>
      </c>
      <c r="Y182" s="42">
        <f t="shared" ca="1" si="75"/>
        <v>0</v>
      </c>
      <c r="Z182" s="42">
        <f t="shared" ca="1" si="75"/>
        <v>0</v>
      </c>
      <c r="AA182" s="42">
        <f t="shared" ca="1" si="75"/>
        <v>0</v>
      </c>
      <c r="AB182" s="42">
        <f t="shared" ca="1" si="75"/>
        <v>0</v>
      </c>
      <c r="AC182" s="42">
        <f t="shared" ca="1" si="75"/>
        <v>0</v>
      </c>
      <c r="AD182" s="42">
        <f t="shared" ca="1" si="75"/>
        <v>0</v>
      </c>
      <c r="AE182" s="42">
        <f t="shared" ca="1" si="75"/>
        <v>0</v>
      </c>
      <c r="AF182" s="42">
        <f t="shared" ca="1" si="75"/>
        <v>0</v>
      </c>
      <c r="AG182" s="42">
        <f t="shared" ca="1" si="75"/>
        <v>0</v>
      </c>
      <c r="AH182" s="42">
        <f t="shared" ca="1" si="75"/>
        <v>0</v>
      </c>
      <c r="AI182" s="42">
        <f t="shared" ca="1" si="75"/>
        <v>0</v>
      </c>
      <c r="AJ182" s="42">
        <f t="shared" ca="1" si="75"/>
        <v>0</v>
      </c>
      <c r="AK182" s="42">
        <f t="shared" ca="1" si="75"/>
        <v>0</v>
      </c>
      <c r="AL182" s="42">
        <f t="shared" ca="1" si="75"/>
        <v>0</v>
      </c>
      <c r="AM182" s="42">
        <f t="shared" ca="1" si="75"/>
        <v>0</v>
      </c>
      <c r="AN182" s="42">
        <f t="shared" ca="1" si="75"/>
        <v>0</v>
      </c>
      <c r="AO182" s="42">
        <f t="shared" ca="1" si="75"/>
        <v>0</v>
      </c>
      <c r="AP182" s="42">
        <f t="shared" ca="1" si="75"/>
        <v>0</v>
      </c>
      <c r="AQ182" s="42">
        <f t="shared" ca="1" si="75"/>
        <v>0</v>
      </c>
      <c r="AR182" s="42">
        <f t="shared" ca="1" si="75"/>
        <v>0</v>
      </c>
      <c r="AS182" s="42">
        <f t="shared" ca="1" si="75"/>
        <v>0</v>
      </c>
    </row>
    <row r="183" spans="2:45" outlineLevel="1" collapsed="1" x14ac:dyDescent="0.15">
      <c r="B183" s="107" t="s">
        <v>335</v>
      </c>
      <c r="I183" s="22">
        <f ca="1">IF(ISERROR(SUM(J183:AS183)),1,MIN(SUM(J183:AS183),1))</f>
        <v>0</v>
      </c>
      <c r="J183" s="17">
        <f t="shared" ref="J183:AS183" ca="1" si="76">MIN(SUM(J181:J182),1)</f>
        <v>0</v>
      </c>
      <c r="K183" s="17">
        <f t="shared" ca="1" si="76"/>
        <v>0</v>
      </c>
      <c r="L183" s="17">
        <f t="shared" ca="1" si="76"/>
        <v>0</v>
      </c>
      <c r="M183" s="17">
        <f t="shared" ca="1" si="76"/>
        <v>0</v>
      </c>
      <c r="N183" s="17">
        <f t="shared" ca="1" si="76"/>
        <v>0</v>
      </c>
      <c r="O183" s="17">
        <f t="shared" ca="1" si="76"/>
        <v>0</v>
      </c>
      <c r="P183" s="17">
        <f t="shared" ca="1" si="76"/>
        <v>0</v>
      </c>
      <c r="Q183" s="17">
        <f t="shared" ca="1" si="76"/>
        <v>0</v>
      </c>
      <c r="R183" s="17">
        <f t="shared" ca="1" si="76"/>
        <v>0</v>
      </c>
      <c r="S183" s="17">
        <f t="shared" ca="1" si="76"/>
        <v>0</v>
      </c>
      <c r="T183" s="17">
        <f t="shared" ca="1" si="76"/>
        <v>0</v>
      </c>
      <c r="U183" s="17">
        <f t="shared" ca="1" si="76"/>
        <v>0</v>
      </c>
      <c r="V183" s="17">
        <f t="shared" ca="1" si="76"/>
        <v>0</v>
      </c>
      <c r="W183" s="17">
        <f t="shared" ca="1" si="76"/>
        <v>0</v>
      </c>
      <c r="X183" s="17">
        <f t="shared" ca="1" si="76"/>
        <v>0</v>
      </c>
      <c r="Y183" s="17">
        <f t="shared" ca="1" si="76"/>
        <v>0</v>
      </c>
      <c r="Z183" s="17">
        <f t="shared" ca="1" si="76"/>
        <v>0</v>
      </c>
      <c r="AA183" s="17">
        <f t="shared" ca="1" si="76"/>
        <v>0</v>
      </c>
      <c r="AB183" s="17">
        <f t="shared" ca="1" si="76"/>
        <v>0</v>
      </c>
      <c r="AC183" s="17">
        <f t="shared" ca="1" si="76"/>
        <v>0</v>
      </c>
      <c r="AD183" s="17">
        <f t="shared" ca="1" si="76"/>
        <v>0</v>
      </c>
      <c r="AE183" s="17">
        <f t="shared" ca="1" si="76"/>
        <v>0</v>
      </c>
      <c r="AF183" s="17">
        <f t="shared" ca="1" si="76"/>
        <v>0</v>
      </c>
      <c r="AG183" s="17">
        <f t="shared" ca="1" si="76"/>
        <v>0</v>
      </c>
      <c r="AH183" s="17">
        <f t="shared" ca="1" si="76"/>
        <v>0</v>
      </c>
      <c r="AI183" s="17">
        <f t="shared" ca="1" si="76"/>
        <v>0</v>
      </c>
      <c r="AJ183" s="17">
        <f t="shared" ca="1" si="76"/>
        <v>0</v>
      </c>
      <c r="AK183" s="17">
        <f t="shared" ca="1" si="76"/>
        <v>0</v>
      </c>
      <c r="AL183" s="17">
        <f t="shared" ca="1" si="76"/>
        <v>0</v>
      </c>
      <c r="AM183" s="17">
        <f t="shared" ca="1" si="76"/>
        <v>0</v>
      </c>
      <c r="AN183" s="17">
        <f t="shared" ca="1" si="76"/>
        <v>0</v>
      </c>
      <c r="AO183" s="17">
        <f t="shared" ca="1" si="76"/>
        <v>0</v>
      </c>
      <c r="AP183" s="17">
        <f t="shared" ca="1" si="76"/>
        <v>0</v>
      </c>
      <c r="AQ183" s="17">
        <f t="shared" ca="1" si="76"/>
        <v>0</v>
      </c>
      <c r="AR183" s="17">
        <f t="shared" ca="1" si="76"/>
        <v>0</v>
      </c>
      <c r="AS183" s="17">
        <f t="shared" ca="1" si="76"/>
        <v>0</v>
      </c>
    </row>
  </sheetData>
  <sheetProtection algorithmName="SHA-512" hashValue="ETNIUXAg1gwm/C+6iv+Nv+5v4/kRybXbebsB8OFPd7Uf049WsBx0h2fHjq1rGhTVXdZl1z0H03tv91Q7PmOZwQ==" saltValue="zNw4Ei2wXa2hWXrBRqOO6A==" spinCount="100000" sheet="1" objects="1" scenarios="1" formatColumns="0" formatRows="0"/>
  <mergeCells count="10">
    <mergeCell ref="B54:G54"/>
    <mergeCell ref="B55:G55"/>
    <mergeCell ref="B84:G84"/>
    <mergeCell ref="B85:G85"/>
    <mergeCell ref="B114:G114"/>
    <mergeCell ref="B115:G115"/>
    <mergeCell ref="B144:G144"/>
    <mergeCell ref="B145:G145"/>
    <mergeCell ref="B174:G174"/>
    <mergeCell ref="B175:G175"/>
  </mergeCells>
  <conditionalFormatting sqref="I63">
    <cfRule type="cellIs" dxfId="34" priority="5" operator="notEqual">
      <formula>0</formula>
    </cfRule>
  </conditionalFormatting>
  <conditionalFormatting sqref="I93">
    <cfRule type="cellIs" dxfId="33" priority="9" operator="notEqual">
      <formula>0</formula>
    </cfRule>
  </conditionalFormatting>
  <conditionalFormatting sqref="I123">
    <cfRule type="cellIs" dxfId="32" priority="13" operator="notEqual">
      <formula>0</formula>
    </cfRule>
  </conditionalFormatting>
  <conditionalFormatting sqref="I153">
    <cfRule type="cellIs" dxfId="31" priority="17" operator="notEqual">
      <formula>0</formula>
    </cfRule>
  </conditionalFormatting>
  <conditionalFormatting sqref="I183">
    <cfRule type="cellIs" dxfId="30" priority="21" operator="notEqual">
      <formula>0</formula>
    </cfRule>
  </conditionalFormatting>
  <conditionalFormatting sqref="I33:AS33">
    <cfRule type="cellIs" dxfId="29" priority="1" operator="notEqual">
      <formula>0</formula>
    </cfRule>
  </conditionalFormatting>
  <conditionalFormatting sqref="J61:AS63">
    <cfRule type="cellIs" dxfId="28" priority="23" operator="notEqual">
      <formula>0</formula>
    </cfRule>
  </conditionalFormatting>
  <conditionalFormatting sqref="J91:AS93">
    <cfRule type="cellIs" dxfId="27" priority="26" operator="notEqual">
      <formula>0</formula>
    </cfRule>
  </conditionalFormatting>
  <conditionalFormatting sqref="J121:AS123">
    <cfRule type="cellIs" dxfId="26" priority="29" operator="notEqual">
      <formula>0</formula>
    </cfRule>
  </conditionalFormatting>
  <conditionalFormatting sqref="J151:AS153">
    <cfRule type="cellIs" dxfId="25" priority="32" operator="notEqual">
      <formula>0</formula>
    </cfRule>
  </conditionalFormatting>
  <conditionalFormatting sqref="J181:AS183">
    <cfRule type="cellIs" dxfId="24" priority="35" operator="notEqual">
      <formula>0</formula>
    </cfRule>
  </conditionalFormatting>
  <dataValidations count="1">
    <dataValidation type="custom" showErrorMessage="1" errorTitle="Invalid Assumption" error="Assumption must be a number." sqref="J19:AS19 J158:AS158 J128:AS128 J98:AS98 J68:AS68 J38:AS38 J27:AS27 J23:AS23 J21:AS21" xr:uid="{28C5157F-6993-4307-A02B-D1C1AFADAB8B}">
      <formula1>NOT(ISERROR(J19/1))</formula1>
    </dataValidation>
  </dataValidations>
  <hyperlinks>
    <hyperlink ref="A1" location="HL_Home" tooltip="Go to Table of Contents" display="HL_Home" xr:uid="{1D6EF509-D16B-4A07-B3DF-539299490BBD}"/>
    <hyperlink ref="A2" location="HL_Err_Chk" tooltip="Go to Error Checks" display="HL_Err_Chk" xr:uid="{56EDEC27-6492-4879-9AF3-D0AE7DC6BF8E}"/>
  </hyperlinks>
  <pageMargins left="0.4" right="0.4" top="0.6" bottom="1" header="0" footer="0.3"/>
  <pageSetup scale="65" orientation="landscape" r:id="rId1"/>
  <headerFooter>
    <oddFooter>&amp;L&amp;F
&amp;A
Printed: &amp;T on &amp;D&amp;CPage &amp;P of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CE1F-46EA-411A-9E80-DD971CA3C72C}">
  <sheetPr codeName="Sheet12">
    <pageSetUpPr autoPageBreaks="0"/>
  </sheetPr>
  <dimension ref="A1:AS293"/>
  <sheetViews>
    <sheetView showGridLines="0" workbookViewId="0">
      <pane xSplit="9" ySplit="15" topLeftCell="J34" activePane="bottomRight" state="frozenSplit"/>
      <selection pane="topRight" activeCell="J1" sqref="J1"/>
      <selection pane="bottomLeft" activeCell="A16" sqref="A16"/>
      <selection pane="bottomRight" activeCell="J53" sqref="J53"/>
    </sheetView>
  </sheetViews>
  <sheetFormatPr baseColWidth="10" defaultColWidth="11.59765625" defaultRowHeight="12" outlineLevelRow="2" x14ac:dyDescent="0.15"/>
  <cols>
    <col min="1" max="4" width="3.59765625" customWidth="1"/>
    <col min="5" max="5" width="11.59765625" customWidth="1"/>
  </cols>
  <sheetData>
    <row r="1" spans="1:45" ht="14" x14ac:dyDescent="0.15">
      <c r="A1" s="3" t="s">
        <v>19</v>
      </c>
      <c r="B1" s="205" t="s">
        <v>153</v>
      </c>
    </row>
    <row r="2" spans="1:45" ht="13" x14ac:dyDescent="0.15">
      <c r="A2" s="294" t="s">
        <v>60</v>
      </c>
      <c r="B2" s="65" t="str">
        <f ca="1">Model_Name</f>
        <v>Venue Planning Project (Alert in Inventory)</v>
      </c>
    </row>
    <row r="4" spans="1:45" x14ac:dyDescent="0.15">
      <c r="B4" s="8" t="s">
        <v>149</v>
      </c>
      <c r="C4" s="8"/>
      <c r="D4" s="8"/>
      <c r="E4" s="8"/>
      <c r="F4" s="8"/>
      <c r="G4" s="8"/>
      <c r="H4" s="8"/>
      <c r="I4" s="8"/>
      <c r="J4" s="9" t="str">
        <f t="shared" ref="J4:AS4" si="0">TEXT(J7,"mmm-yy")</f>
        <v>Aug-23</v>
      </c>
      <c r="K4" s="9" t="str">
        <f t="shared" si="0"/>
        <v>Sep-23</v>
      </c>
      <c r="L4" s="9" t="str">
        <f t="shared" si="0"/>
        <v>Oct-23</v>
      </c>
      <c r="M4" s="9" t="str">
        <f t="shared" si="0"/>
        <v>Nov-23</v>
      </c>
      <c r="N4" s="9" t="str">
        <f t="shared" si="0"/>
        <v>Dec-23</v>
      </c>
      <c r="O4" s="9" t="str">
        <f t="shared" si="0"/>
        <v>Jan-24</v>
      </c>
      <c r="P4" s="9" t="str">
        <f t="shared" si="0"/>
        <v>Feb-24</v>
      </c>
      <c r="Q4" s="9" t="str">
        <f t="shared" si="0"/>
        <v>Mar-24</v>
      </c>
      <c r="R4" s="9" t="str">
        <f t="shared" si="0"/>
        <v>Apr-24</v>
      </c>
      <c r="S4" s="9" t="str">
        <f t="shared" si="0"/>
        <v>May-24</v>
      </c>
      <c r="T4" s="9" t="str">
        <f t="shared" si="0"/>
        <v>Jun-24</v>
      </c>
      <c r="U4" s="9" t="str">
        <f t="shared" si="0"/>
        <v>Jul-24</v>
      </c>
      <c r="V4" s="9" t="str">
        <f t="shared" si="0"/>
        <v>Aug-24</v>
      </c>
      <c r="W4" s="9" t="str">
        <f t="shared" si="0"/>
        <v>Sep-24</v>
      </c>
      <c r="X4" s="9" t="str">
        <f t="shared" si="0"/>
        <v>Oct-24</v>
      </c>
      <c r="Y4" s="9" t="str">
        <f t="shared" si="0"/>
        <v>Nov-24</v>
      </c>
      <c r="Z4" s="9" t="str">
        <f t="shared" si="0"/>
        <v>Dec-24</v>
      </c>
      <c r="AA4" s="9" t="str">
        <f t="shared" si="0"/>
        <v>Jan-25</v>
      </c>
      <c r="AB4" s="9" t="str">
        <f t="shared" si="0"/>
        <v>Feb-25</v>
      </c>
      <c r="AC4" s="9" t="str">
        <f t="shared" si="0"/>
        <v>Mar-25</v>
      </c>
      <c r="AD4" s="9" t="str">
        <f t="shared" si="0"/>
        <v>Apr-25</v>
      </c>
      <c r="AE4" s="9" t="str">
        <f t="shared" si="0"/>
        <v>May-25</v>
      </c>
      <c r="AF4" s="9" t="str">
        <f t="shared" si="0"/>
        <v>Jun-25</v>
      </c>
      <c r="AG4" s="9" t="str">
        <f t="shared" si="0"/>
        <v>Jul-25</v>
      </c>
      <c r="AH4" s="9" t="str">
        <f t="shared" si="0"/>
        <v>Aug-25</v>
      </c>
      <c r="AI4" s="9" t="str">
        <f t="shared" si="0"/>
        <v>Sep-25</v>
      </c>
      <c r="AJ4" s="9" t="str">
        <f t="shared" si="0"/>
        <v>Oct-25</v>
      </c>
      <c r="AK4" s="9" t="str">
        <f t="shared" si="0"/>
        <v>Nov-25</v>
      </c>
      <c r="AL4" s="9" t="str">
        <f t="shared" si="0"/>
        <v>Dec-25</v>
      </c>
      <c r="AM4" s="9" t="str">
        <f t="shared" si="0"/>
        <v>Jan-26</v>
      </c>
      <c r="AN4" s="9" t="str">
        <f t="shared" si="0"/>
        <v>Feb-26</v>
      </c>
      <c r="AO4" s="9" t="str">
        <f t="shared" si="0"/>
        <v>Mar-26</v>
      </c>
      <c r="AP4" s="9" t="str">
        <f t="shared" si="0"/>
        <v>Apr-26</v>
      </c>
      <c r="AQ4" s="9" t="str">
        <f t="shared" si="0"/>
        <v>May-26</v>
      </c>
      <c r="AR4" s="9" t="str">
        <f t="shared" si="0"/>
        <v>Jun-26</v>
      </c>
      <c r="AS4" s="9" t="str">
        <f t="shared" si="0"/>
        <v>Jul-26</v>
      </c>
    </row>
    <row r="5" spans="1:45" x14ac:dyDescent="0.15">
      <c r="B5" s="10" t="s">
        <v>224</v>
      </c>
      <c r="C5" s="10"/>
      <c r="D5" s="10"/>
      <c r="E5" s="10"/>
      <c r="F5" s="10"/>
      <c r="G5" s="10"/>
      <c r="H5" s="10"/>
      <c r="I5" s="10"/>
      <c r="J5" s="11" t="str">
        <f t="shared" ref="J5:AS5" si="1">"M"&amp;J10</f>
        <v>M1</v>
      </c>
      <c r="K5" s="11" t="str">
        <f t="shared" si="1"/>
        <v>M2</v>
      </c>
      <c r="L5" s="11" t="str">
        <f t="shared" si="1"/>
        <v>M3</v>
      </c>
      <c r="M5" s="11" t="str">
        <f t="shared" si="1"/>
        <v>M4</v>
      </c>
      <c r="N5" s="11" t="str">
        <f t="shared" si="1"/>
        <v>M5</v>
      </c>
      <c r="O5" s="11" t="str">
        <f t="shared" si="1"/>
        <v>M6</v>
      </c>
      <c r="P5" s="11" t="str">
        <f t="shared" si="1"/>
        <v>M7</v>
      </c>
      <c r="Q5" s="11" t="str">
        <f t="shared" si="1"/>
        <v>M8</v>
      </c>
      <c r="R5" s="11" t="str">
        <f t="shared" si="1"/>
        <v>M9</v>
      </c>
      <c r="S5" s="11" t="str">
        <f t="shared" si="1"/>
        <v>M10</v>
      </c>
      <c r="T5" s="11" t="str">
        <f t="shared" si="1"/>
        <v>M11</v>
      </c>
      <c r="U5" s="11" t="str">
        <f t="shared" si="1"/>
        <v>M12</v>
      </c>
      <c r="V5" s="11" t="str">
        <f t="shared" si="1"/>
        <v>M1</v>
      </c>
      <c r="W5" s="11" t="str">
        <f t="shared" si="1"/>
        <v>M2</v>
      </c>
      <c r="X5" s="11" t="str">
        <f t="shared" si="1"/>
        <v>M3</v>
      </c>
      <c r="Y5" s="11" t="str">
        <f t="shared" si="1"/>
        <v>M4</v>
      </c>
      <c r="Z5" s="11" t="str">
        <f t="shared" si="1"/>
        <v>M5</v>
      </c>
      <c r="AA5" s="11" t="str">
        <f t="shared" si="1"/>
        <v>M6</v>
      </c>
      <c r="AB5" s="11" t="str">
        <f t="shared" si="1"/>
        <v>M7</v>
      </c>
      <c r="AC5" s="11" t="str">
        <f t="shared" si="1"/>
        <v>M8</v>
      </c>
      <c r="AD5" s="11" t="str">
        <f t="shared" si="1"/>
        <v>M9</v>
      </c>
      <c r="AE5" s="11" t="str">
        <f t="shared" si="1"/>
        <v>M10</v>
      </c>
      <c r="AF5" s="11" t="str">
        <f t="shared" si="1"/>
        <v>M11</v>
      </c>
      <c r="AG5" s="11" t="str">
        <f t="shared" si="1"/>
        <v>M12</v>
      </c>
      <c r="AH5" s="11" t="str">
        <f t="shared" si="1"/>
        <v>M1</v>
      </c>
      <c r="AI5" s="11" t="str">
        <f t="shared" si="1"/>
        <v>M2</v>
      </c>
      <c r="AJ5" s="11" t="str">
        <f t="shared" si="1"/>
        <v>M3</v>
      </c>
      <c r="AK5" s="11" t="str">
        <f t="shared" si="1"/>
        <v>M4</v>
      </c>
      <c r="AL5" s="11" t="str">
        <f t="shared" si="1"/>
        <v>M5</v>
      </c>
      <c r="AM5" s="11" t="str">
        <f t="shared" si="1"/>
        <v>M6</v>
      </c>
      <c r="AN5" s="11" t="str">
        <f t="shared" si="1"/>
        <v>M7</v>
      </c>
      <c r="AO5" s="11" t="str">
        <f t="shared" si="1"/>
        <v>M8</v>
      </c>
      <c r="AP5" s="11" t="str">
        <f t="shared" si="1"/>
        <v>M9</v>
      </c>
      <c r="AQ5" s="11" t="str">
        <f t="shared" si="1"/>
        <v>M10</v>
      </c>
      <c r="AR5" s="11" t="str">
        <f t="shared" si="1"/>
        <v>M11</v>
      </c>
      <c r="AS5" s="11" t="str">
        <f t="shared" si="1"/>
        <v>M12</v>
      </c>
    </row>
    <row r="6" spans="1:45" hidden="1" outlineLevel="2" x14ac:dyDescent="0.15">
      <c r="B6" s="107" t="s">
        <v>273</v>
      </c>
      <c r="J6" s="60">
        <f t="shared" ref="J6:AS6" si="2">EDATE(Ts_Start_Date,J8-1)</f>
        <v>45139</v>
      </c>
      <c r="K6" s="60">
        <f t="shared" si="2"/>
        <v>45170</v>
      </c>
      <c r="L6" s="60">
        <f t="shared" si="2"/>
        <v>45200</v>
      </c>
      <c r="M6" s="60">
        <f t="shared" si="2"/>
        <v>45231</v>
      </c>
      <c r="N6" s="60">
        <f t="shared" si="2"/>
        <v>45261</v>
      </c>
      <c r="O6" s="60">
        <f t="shared" si="2"/>
        <v>45292</v>
      </c>
      <c r="P6" s="60">
        <f t="shared" si="2"/>
        <v>45323</v>
      </c>
      <c r="Q6" s="60">
        <f t="shared" si="2"/>
        <v>45352</v>
      </c>
      <c r="R6" s="60">
        <f t="shared" si="2"/>
        <v>45383</v>
      </c>
      <c r="S6" s="60">
        <f t="shared" si="2"/>
        <v>45413</v>
      </c>
      <c r="T6" s="60">
        <f t="shared" si="2"/>
        <v>45444</v>
      </c>
      <c r="U6" s="60">
        <f t="shared" si="2"/>
        <v>45474</v>
      </c>
      <c r="V6" s="60">
        <f t="shared" si="2"/>
        <v>45505</v>
      </c>
      <c r="W6" s="60">
        <f t="shared" si="2"/>
        <v>45536</v>
      </c>
      <c r="X6" s="60">
        <f t="shared" si="2"/>
        <v>45566</v>
      </c>
      <c r="Y6" s="60">
        <f t="shared" si="2"/>
        <v>45597</v>
      </c>
      <c r="Z6" s="60">
        <f t="shared" si="2"/>
        <v>45627</v>
      </c>
      <c r="AA6" s="60">
        <f t="shared" si="2"/>
        <v>45658</v>
      </c>
      <c r="AB6" s="60">
        <f t="shared" si="2"/>
        <v>45689</v>
      </c>
      <c r="AC6" s="60">
        <f t="shared" si="2"/>
        <v>45717</v>
      </c>
      <c r="AD6" s="60">
        <f t="shared" si="2"/>
        <v>45748</v>
      </c>
      <c r="AE6" s="60">
        <f t="shared" si="2"/>
        <v>45778</v>
      </c>
      <c r="AF6" s="60">
        <f t="shared" si="2"/>
        <v>45809</v>
      </c>
      <c r="AG6" s="60">
        <f t="shared" si="2"/>
        <v>45839</v>
      </c>
      <c r="AH6" s="60">
        <f t="shared" si="2"/>
        <v>45870</v>
      </c>
      <c r="AI6" s="60">
        <f t="shared" si="2"/>
        <v>45901</v>
      </c>
      <c r="AJ6" s="60">
        <f t="shared" si="2"/>
        <v>45931</v>
      </c>
      <c r="AK6" s="60">
        <f t="shared" si="2"/>
        <v>45962</v>
      </c>
      <c r="AL6" s="60">
        <f t="shared" si="2"/>
        <v>45992</v>
      </c>
      <c r="AM6" s="60">
        <f t="shared" si="2"/>
        <v>46023</v>
      </c>
      <c r="AN6" s="60">
        <f t="shared" si="2"/>
        <v>46054</v>
      </c>
      <c r="AO6" s="60">
        <f t="shared" si="2"/>
        <v>46082</v>
      </c>
      <c r="AP6" s="60">
        <f t="shared" si="2"/>
        <v>46113</v>
      </c>
      <c r="AQ6" s="60">
        <f t="shared" si="2"/>
        <v>46143</v>
      </c>
      <c r="AR6" s="60">
        <f t="shared" si="2"/>
        <v>46174</v>
      </c>
      <c r="AS6" s="60">
        <f t="shared" si="2"/>
        <v>46204</v>
      </c>
    </row>
    <row r="7" spans="1:45" hidden="1" outlineLevel="2" x14ac:dyDescent="0.15">
      <c r="B7" s="107" t="s">
        <v>274</v>
      </c>
      <c r="J7" s="60">
        <f t="shared" ref="J7:AS7" si="3">EDATE(J6,1)-1</f>
        <v>45169</v>
      </c>
      <c r="K7" s="60">
        <f t="shared" si="3"/>
        <v>45199</v>
      </c>
      <c r="L7" s="60">
        <f t="shared" si="3"/>
        <v>45230</v>
      </c>
      <c r="M7" s="60">
        <f t="shared" si="3"/>
        <v>45260</v>
      </c>
      <c r="N7" s="60">
        <f t="shared" si="3"/>
        <v>45291</v>
      </c>
      <c r="O7" s="60">
        <f t="shared" si="3"/>
        <v>45322</v>
      </c>
      <c r="P7" s="60">
        <f t="shared" si="3"/>
        <v>45351</v>
      </c>
      <c r="Q7" s="60">
        <f t="shared" si="3"/>
        <v>45382</v>
      </c>
      <c r="R7" s="60">
        <f t="shared" si="3"/>
        <v>45412</v>
      </c>
      <c r="S7" s="60">
        <f t="shared" si="3"/>
        <v>45443</v>
      </c>
      <c r="T7" s="60">
        <f t="shared" si="3"/>
        <v>45473</v>
      </c>
      <c r="U7" s="60">
        <f t="shared" si="3"/>
        <v>45504</v>
      </c>
      <c r="V7" s="60">
        <f t="shared" si="3"/>
        <v>45535</v>
      </c>
      <c r="W7" s="60">
        <f t="shared" si="3"/>
        <v>45565</v>
      </c>
      <c r="X7" s="60">
        <f t="shared" si="3"/>
        <v>45596</v>
      </c>
      <c r="Y7" s="60">
        <f t="shared" si="3"/>
        <v>45626</v>
      </c>
      <c r="Z7" s="60">
        <f t="shared" si="3"/>
        <v>45657</v>
      </c>
      <c r="AA7" s="60">
        <f t="shared" si="3"/>
        <v>45688</v>
      </c>
      <c r="AB7" s="60">
        <f t="shared" si="3"/>
        <v>45716</v>
      </c>
      <c r="AC7" s="60">
        <f t="shared" si="3"/>
        <v>45747</v>
      </c>
      <c r="AD7" s="60">
        <f t="shared" si="3"/>
        <v>45777</v>
      </c>
      <c r="AE7" s="60">
        <f t="shared" si="3"/>
        <v>45808</v>
      </c>
      <c r="AF7" s="60">
        <f t="shared" si="3"/>
        <v>45838</v>
      </c>
      <c r="AG7" s="60">
        <f t="shared" si="3"/>
        <v>45869</v>
      </c>
      <c r="AH7" s="60">
        <f t="shared" si="3"/>
        <v>45900</v>
      </c>
      <c r="AI7" s="60">
        <f t="shared" si="3"/>
        <v>45930</v>
      </c>
      <c r="AJ7" s="60">
        <f t="shared" si="3"/>
        <v>45961</v>
      </c>
      <c r="AK7" s="60">
        <f t="shared" si="3"/>
        <v>45991</v>
      </c>
      <c r="AL7" s="60">
        <f t="shared" si="3"/>
        <v>46022</v>
      </c>
      <c r="AM7" s="60">
        <f t="shared" si="3"/>
        <v>46053</v>
      </c>
      <c r="AN7" s="60">
        <f t="shared" si="3"/>
        <v>46081</v>
      </c>
      <c r="AO7" s="60">
        <f t="shared" si="3"/>
        <v>46112</v>
      </c>
      <c r="AP7" s="60">
        <f t="shared" si="3"/>
        <v>46142</v>
      </c>
      <c r="AQ7" s="60">
        <f t="shared" si="3"/>
        <v>46173</v>
      </c>
      <c r="AR7" s="60">
        <f t="shared" si="3"/>
        <v>46203</v>
      </c>
      <c r="AS7" s="60">
        <f t="shared" si="3"/>
        <v>46234</v>
      </c>
    </row>
    <row r="8" spans="1:45" hidden="1" outlineLevel="2" x14ac:dyDescent="0.15">
      <c r="B8" s="107" t="s">
        <v>275</v>
      </c>
      <c r="J8" s="17">
        <f>COLUMNS($J8:J8)</f>
        <v>1</v>
      </c>
      <c r="K8" s="17">
        <f>COLUMNS($J8:K8)</f>
        <v>2</v>
      </c>
      <c r="L8" s="17">
        <f>COLUMNS($J8:L8)</f>
        <v>3</v>
      </c>
      <c r="M8" s="17">
        <f>COLUMNS($J8:M8)</f>
        <v>4</v>
      </c>
      <c r="N8" s="17">
        <f>COLUMNS($J8:N8)</f>
        <v>5</v>
      </c>
      <c r="O8" s="17">
        <f>COLUMNS($J8:O8)</f>
        <v>6</v>
      </c>
      <c r="P8" s="17">
        <f>COLUMNS($J8:P8)</f>
        <v>7</v>
      </c>
      <c r="Q8" s="17">
        <f>COLUMNS($J8:Q8)</f>
        <v>8</v>
      </c>
      <c r="R8" s="17">
        <f>COLUMNS($J8:R8)</f>
        <v>9</v>
      </c>
      <c r="S8" s="17">
        <f>COLUMNS($J8:S8)</f>
        <v>10</v>
      </c>
      <c r="T8" s="17">
        <f>COLUMNS($J8:T8)</f>
        <v>11</v>
      </c>
      <c r="U8" s="17">
        <f>COLUMNS($J8:U8)</f>
        <v>12</v>
      </c>
      <c r="V8" s="17">
        <f>COLUMNS($J8:V8)</f>
        <v>13</v>
      </c>
      <c r="W8" s="17">
        <f>COLUMNS($J8:W8)</f>
        <v>14</v>
      </c>
      <c r="X8" s="17">
        <f>COLUMNS($J8:X8)</f>
        <v>15</v>
      </c>
      <c r="Y8" s="17">
        <f>COLUMNS($J8:Y8)</f>
        <v>16</v>
      </c>
      <c r="Z8" s="17">
        <f>COLUMNS($J8:Z8)</f>
        <v>17</v>
      </c>
      <c r="AA8" s="17">
        <f>COLUMNS($J8:AA8)</f>
        <v>18</v>
      </c>
      <c r="AB8" s="17">
        <f>COLUMNS($J8:AB8)</f>
        <v>19</v>
      </c>
      <c r="AC8" s="17">
        <f>COLUMNS($J8:AC8)</f>
        <v>20</v>
      </c>
      <c r="AD8" s="17">
        <f>COLUMNS($J8:AD8)</f>
        <v>21</v>
      </c>
      <c r="AE8" s="17">
        <f>COLUMNS($J8:AE8)</f>
        <v>22</v>
      </c>
      <c r="AF8" s="17">
        <f>COLUMNS($J8:AF8)</f>
        <v>23</v>
      </c>
      <c r="AG8" s="17">
        <f>COLUMNS($J8:AG8)</f>
        <v>24</v>
      </c>
      <c r="AH8" s="17">
        <f>COLUMNS($J8:AH8)</f>
        <v>25</v>
      </c>
      <c r="AI8" s="17">
        <f>COLUMNS($J8:AI8)</f>
        <v>26</v>
      </c>
      <c r="AJ8" s="17">
        <f>COLUMNS($J8:AJ8)</f>
        <v>27</v>
      </c>
      <c r="AK8" s="17">
        <f>COLUMNS($J8:AK8)</f>
        <v>28</v>
      </c>
      <c r="AL8" s="17">
        <f>COLUMNS($J8:AL8)</f>
        <v>29</v>
      </c>
      <c r="AM8" s="17">
        <f>COLUMNS($J8:AM8)</f>
        <v>30</v>
      </c>
      <c r="AN8" s="17">
        <f>COLUMNS($J8:AN8)</f>
        <v>31</v>
      </c>
      <c r="AO8" s="17">
        <f>COLUMNS($J8:AO8)</f>
        <v>32</v>
      </c>
      <c r="AP8" s="17">
        <f>COLUMNS($J8:AP8)</f>
        <v>33</v>
      </c>
      <c r="AQ8" s="17">
        <f>COLUMNS($J8:AQ8)</f>
        <v>34</v>
      </c>
      <c r="AR8" s="17">
        <f>COLUMNS($J8:AR8)</f>
        <v>35</v>
      </c>
      <c r="AS8" s="17">
        <f>COLUMNS($J8:AS8)</f>
        <v>36</v>
      </c>
    </row>
    <row r="9" spans="1:45" hidden="1" outlineLevel="2" x14ac:dyDescent="0.15">
      <c r="B9" s="107" t="s">
        <v>276</v>
      </c>
      <c r="J9" s="28">
        <f t="shared" ref="J9:AS9" si="4">YEAR(J7)+IF(MONTH(J7)&gt;DD_Ts_Fin_Yr_End_Mth,1,0)</f>
        <v>2024</v>
      </c>
      <c r="K9" s="28">
        <f t="shared" si="4"/>
        <v>2024</v>
      </c>
      <c r="L9" s="28">
        <f t="shared" si="4"/>
        <v>2024</v>
      </c>
      <c r="M9" s="28">
        <f t="shared" si="4"/>
        <v>2024</v>
      </c>
      <c r="N9" s="28">
        <f t="shared" si="4"/>
        <v>2024</v>
      </c>
      <c r="O9" s="28">
        <f t="shared" si="4"/>
        <v>2024</v>
      </c>
      <c r="P9" s="28">
        <f t="shared" si="4"/>
        <v>2024</v>
      </c>
      <c r="Q9" s="28">
        <f t="shared" si="4"/>
        <v>2024</v>
      </c>
      <c r="R9" s="28">
        <f t="shared" si="4"/>
        <v>2024</v>
      </c>
      <c r="S9" s="28">
        <f t="shared" si="4"/>
        <v>2024</v>
      </c>
      <c r="T9" s="28">
        <f t="shared" si="4"/>
        <v>2024</v>
      </c>
      <c r="U9" s="28">
        <f t="shared" si="4"/>
        <v>2024</v>
      </c>
      <c r="V9" s="28">
        <f t="shared" si="4"/>
        <v>2025</v>
      </c>
      <c r="W9" s="28">
        <f t="shared" si="4"/>
        <v>2025</v>
      </c>
      <c r="X9" s="28">
        <f t="shared" si="4"/>
        <v>2025</v>
      </c>
      <c r="Y9" s="28">
        <f t="shared" si="4"/>
        <v>2025</v>
      </c>
      <c r="Z9" s="28">
        <f t="shared" si="4"/>
        <v>2025</v>
      </c>
      <c r="AA9" s="28">
        <f t="shared" si="4"/>
        <v>2025</v>
      </c>
      <c r="AB9" s="28">
        <f t="shared" si="4"/>
        <v>2025</v>
      </c>
      <c r="AC9" s="28">
        <f t="shared" si="4"/>
        <v>2025</v>
      </c>
      <c r="AD9" s="28">
        <f t="shared" si="4"/>
        <v>2025</v>
      </c>
      <c r="AE9" s="28">
        <f t="shared" si="4"/>
        <v>2025</v>
      </c>
      <c r="AF9" s="28">
        <f t="shared" si="4"/>
        <v>2025</v>
      </c>
      <c r="AG9" s="28">
        <f t="shared" si="4"/>
        <v>2025</v>
      </c>
      <c r="AH9" s="28">
        <f t="shared" si="4"/>
        <v>2026</v>
      </c>
      <c r="AI9" s="28">
        <f t="shared" si="4"/>
        <v>2026</v>
      </c>
      <c r="AJ9" s="28">
        <f t="shared" si="4"/>
        <v>2026</v>
      </c>
      <c r="AK9" s="28">
        <f t="shared" si="4"/>
        <v>2026</v>
      </c>
      <c r="AL9" s="28">
        <f t="shared" si="4"/>
        <v>2026</v>
      </c>
      <c r="AM9" s="28">
        <f t="shared" si="4"/>
        <v>2026</v>
      </c>
      <c r="AN9" s="28">
        <f t="shared" si="4"/>
        <v>2026</v>
      </c>
      <c r="AO9" s="28">
        <f t="shared" si="4"/>
        <v>2026</v>
      </c>
      <c r="AP9" s="28">
        <f t="shared" si="4"/>
        <v>2026</v>
      </c>
      <c r="AQ9" s="28">
        <f t="shared" si="4"/>
        <v>2026</v>
      </c>
      <c r="AR9" s="28">
        <f t="shared" si="4"/>
        <v>2026</v>
      </c>
      <c r="AS9" s="28">
        <f t="shared" si="4"/>
        <v>2026</v>
      </c>
    </row>
    <row r="10" spans="1:45" hidden="1" outlineLevel="2" x14ac:dyDescent="0.15">
      <c r="B10" s="107" t="s">
        <v>277</v>
      </c>
      <c r="J10" s="17">
        <f t="shared" ref="J10:AS10" si="5">MOD(MONTH(J7)-DD_Ts_Fin_Yr_End_Mth-1,Ts_Mths_In_Yr)+1</f>
        <v>1</v>
      </c>
      <c r="K10" s="17">
        <f t="shared" si="5"/>
        <v>2</v>
      </c>
      <c r="L10" s="17">
        <f t="shared" si="5"/>
        <v>3</v>
      </c>
      <c r="M10" s="17">
        <f t="shared" si="5"/>
        <v>4</v>
      </c>
      <c r="N10" s="17">
        <f t="shared" si="5"/>
        <v>5</v>
      </c>
      <c r="O10" s="17">
        <f t="shared" si="5"/>
        <v>6</v>
      </c>
      <c r="P10" s="17">
        <f t="shared" si="5"/>
        <v>7</v>
      </c>
      <c r="Q10" s="17">
        <f t="shared" si="5"/>
        <v>8</v>
      </c>
      <c r="R10" s="17">
        <f t="shared" si="5"/>
        <v>9</v>
      </c>
      <c r="S10" s="17">
        <f t="shared" si="5"/>
        <v>10</v>
      </c>
      <c r="T10" s="17">
        <f t="shared" si="5"/>
        <v>11</v>
      </c>
      <c r="U10" s="17">
        <f t="shared" si="5"/>
        <v>12</v>
      </c>
      <c r="V10" s="17">
        <f t="shared" si="5"/>
        <v>1</v>
      </c>
      <c r="W10" s="17">
        <f t="shared" si="5"/>
        <v>2</v>
      </c>
      <c r="X10" s="17">
        <f t="shared" si="5"/>
        <v>3</v>
      </c>
      <c r="Y10" s="17">
        <f t="shared" si="5"/>
        <v>4</v>
      </c>
      <c r="Z10" s="17">
        <f t="shared" si="5"/>
        <v>5</v>
      </c>
      <c r="AA10" s="17">
        <f t="shared" si="5"/>
        <v>6</v>
      </c>
      <c r="AB10" s="17">
        <f t="shared" si="5"/>
        <v>7</v>
      </c>
      <c r="AC10" s="17">
        <f t="shared" si="5"/>
        <v>8</v>
      </c>
      <c r="AD10" s="17">
        <f t="shared" si="5"/>
        <v>9</v>
      </c>
      <c r="AE10" s="17">
        <f t="shared" si="5"/>
        <v>10</v>
      </c>
      <c r="AF10" s="17">
        <f t="shared" si="5"/>
        <v>11</v>
      </c>
      <c r="AG10" s="17">
        <f t="shared" si="5"/>
        <v>12</v>
      </c>
      <c r="AH10" s="17">
        <f t="shared" si="5"/>
        <v>1</v>
      </c>
      <c r="AI10" s="17">
        <f t="shared" si="5"/>
        <v>2</v>
      </c>
      <c r="AJ10" s="17">
        <f t="shared" si="5"/>
        <v>3</v>
      </c>
      <c r="AK10" s="17">
        <f t="shared" si="5"/>
        <v>4</v>
      </c>
      <c r="AL10" s="17">
        <f t="shared" si="5"/>
        <v>5</v>
      </c>
      <c r="AM10" s="17">
        <f t="shared" si="5"/>
        <v>6</v>
      </c>
      <c r="AN10" s="17">
        <f t="shared" si="5"/>
        <v>7</v>
      </c>
      <c r="AO10" s="17">
        <f t="shared" si="5"/>
        <v>8</v>
      </c>
      <c r="AP10" s="17">
        <f t="shared" si="5"/>
        <v>9</v>
      </c>
      <c r="AQ10" s="17">
        <f t="shared" si="5"/>
        <v>10</v>
      </c>
      <c r="AR10" s="17">
        <f t="shared" si="5"/>
        <v>11</v>
      </c>
      <c r="AS10" s="17">
        <f t="shared" si="5"/>
        <v>12</v>
      </c>
    </row>
    <row r="11" spans="1:45" hidden="1" outlineLevel="2" x14ac:dyDescent="0.15">
      <c r="B11" s="107" t="s">
        <v>308</v>
      </c>
      <c r="J11" s="29" t="str">
        <f t="shared" ref="J11:AS11" si="6">"M"&amp;J10&amp;"-"&amp;J9</f>
        <v>M1-2024</v>
      </c>
      <c r="K11" s="29" t="str">
        <f t="shared" si="6"/>
        <v>M2-2024</v>
      </c>
      <c r="L11" s="29" t="str">
        <f t="shared" si="6"/>
        <v>M3-2024</v>
      </c>
      <c r="M11" s="29" t="str">
        <f t="shared" si="6"/>
        <v>M4-2024</v>
      </c>
      <c r="N11" s="29" t="str">
        <f t="shared" si="6"/>
        <v>M5-2024</v>
      </c>
      <c r="O11" s="29" t="str">
        <f t="shared" si="6"/>
        <v>M6-2024</v>
      </c>
      <c r="P11" s="29" t="str">
        <f t="shared" si="6"/>
        <v>M7-2024</v>
      </c>
      <c r="Q11" s="29" t="str">
        <f t="shared" si="6"/>
        <v>M8-2024</v>
      </c>
      <c r="R11" s="29" t="str">
        <f t="shared" si="6"/>
        <v>M9-2024</v>
      </c>
      <c r="S11" s="29" t="str">
        <f t="shared" si="6"/>
        <v>M10-2024</v>
      </c>
      <c r="T11" s="29" t="str">
        <f t="shared" si="6"/>
        <v>M11-2024</v>
      </c>
      <c r="U11" s="29" t="str">
        <f t="shared" si="6"/>
        <v>M12-2024</v>
      </c>
      <c r="V11" s="29" t="str">
        <f t="shared" si="6"/>
        <v>M1-2025</v>
      </c>
      <c r="W11" s="29" t="str">
        <f t="shared" si="6"/>
        <v>M2-2025</v>
      </c>
      <c r="X11" s="29" t="str">
        <f t="shared" si="6"/>
        <v>M3-2025</v>
      </c>
      <c r="Y11" s="29" t="str">
        <f t="shared" si="6"/>
        <v>M4-2025</v>
      </c>
      <c r="Z11" s="29" t="str">
        <f t="shared" si="6"/>
        <v>M5-2025</v>
      </c>
      <c r="AA11" s="29" t="str">
        <f t="shared" si="6"/>
        <v>M6-2025</v>
      </c>
      <c r="AB11" s="29" t="str">
        <f t="shared" si="6"/>
        <v>M7-2025</v>
      </c>
      <c r="AC11" s="29" t="str">
        <f t="shared" si="6"/>
        <v>M8-2025</v>
      </c>
      <c r="AD11" s="29" t="str">
        <f t="shared" si="6"/>
        <v>M9-2025</v>
      </c>
      <c r="AE11" s="29" t="str">
        <f t="shared" si="6"/>
        <v>M10-2025</v>
      </c>
      <c r="AF11" s="29" t="str">
        <f t="shared" si="6"/>
        <v>M11-2025</v>
      </c>
      <c r="AG11" s="29" t="str">
        <f t="shared" si="6"/>
        <v>M12-2025</v>
      </c>
      <c r="AH11" s="29" t="str">
        <f t="shared" si="6"/>
        <v>M1-2026</v>
      </c>
      <c r="AI11" s="29" t="str">
        <f t="shared" si="6"/>
        <v>M2-2026</v>
      </c>
      <c r="AJ11" s="29" t="str">
        <f t="shared" si="6"/>
        <v>M3-2026</v>
      </c>
      <c r="AK11" s="29" t="str">
        <f t="shared" si="6"/>
        <v>M4-2026</v>
      </c>
      <c r="AL11" s="29" t="str">
        <f t="shared" si="6"/>
        <v>M5-2026</v>
      </c>
      <c r="AM11" s="29" t="str">
        <f t="shared" si="6"/>
        <v>M6-2026</v>
      </c>
      <c r="AN11" s="29" t="str">
        <f t="shared" si="6"/>
        <v>M7-2026</v>
      </c>
      <c r="AO11" s="29" t="str">
        <f t="shared" si="6"/>
        <v>M8-2026</v>
      </c>
      <c r="AP11" s="29" t="str">
        <f t="shared" si="6"/>
        <v>M9-2026</v>
      </c>
      <c r="AQ11" s="29" t="str">
        <f t="shared" si="6"/>
        <v>M10-2026</v>
      </c>
      <c r="AR11" s="29" t="str">
        <f t="shared" si="6"/>
        <v>M11-2026</v>
      </c>
      <c r="AS11" s="29" t="str">
        <f t="shared" si="6"/>
        <v>M12-2026</v>
      </c>
    </row>
    <row r="12" spans="1:45" hidden="1" outlineLevel="2" x14ac:dyDescent="0.15">
      <c r="B12" s="107" t="s">
        <v>309</v>
      </c>
      <c r="J12" s="29" t="str">
        <f t="shared" ref="J12:AS12" si="7">"Q"&amp;INT((J10-1)/Ts_Mths_In_Qtr)+1&amp;"-"&amp;J9</f>
        <v>Q1-2024</v>
      </c>
      <c r="K12" s="29" t="str">
        <f t="shared" si="7"/>
        <v>Q1-2024</v>
      </c>
      <c r="L12" s="29" t="str">
        <f t="shared" si="7"/>
        <v>Q1-2024</v>
      </c>
      <c r="M12" s="29" t="str">
        <f t="shared" si="7"/>
        <v>Q2-2024</v>
      </c>
      <c r="N12" s="29" t="str">
        <f t="shared" si="7"/>
        <v>Q2-2024</v>
      </c>
      <c r="O12" s="29" t="str">
        <f t="shared" si="7"/>
        <v>Q2-2024</v>
      </c>
      <c r="P12" s="29" t="str">
        <f t="shared" si="7"/>
        <v>Q3-2024</v>
      </c>
      <c r="Q12" s="29" t="str">
        <f t="shared" si="7"/>
        <v>Q3-2024</v>
      </c>
      <c r="R12" s="29" t="str">
        <f t="shared" si="7"/>
        <v>Q3-2024</v>
      </c>
      <c r="S12" s="29" t="str">
        <f t="shared" si="7"/>
        <v>Q4-2024</v>
      </c>
      <c r="T12" s="29" t="str">
        <f t="shared" si="7"/>
        <v>Q4-2024</v>
      </c>
      <c r="U12" s="29" t="str">
        <f t="shared" si="7"/>
        <v>Q4-2024</v>
      </c>
      <c r="V12" s="29" t="str">
        <f t="shared" si="7"/>
        <v>Q1-2025</v>
      </c>
      <c r="W12" s="29" t="str">
        <f t="shared" si="7"/>
        <v>Q1-2025</v>
      </c>
      <c r="X12" s="29" t="str">
        <f t="shared" si="7"/>
        <v>Q1-2025</v>
      </c>
      <c r="Y12" s="29" t="str">
        <f t="shared" si="7"/>
        <v>Q2-2025</v>
      </c>
      <c r="Z12" s="29" t="str">
        <f t="shared" si="7"/>
        <v>Q2-2025</v>
      </c>
      <c r="AA12" s="29" t="str">
        <f t="shared" si="7"/>
        <v>Q2-2025</v>
      </c>
      <c r="AB12" s="29" t="str">
        <f t="shared" si="7"/>
        <v>Q3-2025</v>
      </c>
      <c r="AC12" s="29" t="str">
        <f t="shared" si="7"/>
        <v>Q3-2025</v>
      </c>
      <c r="AD12" s="29" t="str">
        <f t="shared" si="7"/>
        <v>Q3-2025</v>
      </c>
      <c r="AE12" s="29" t="str">
        <f t="shared" si="7"/>
        <v>Q4-2025</v>
      </c>
      <c r="AF12" s="29" t="str">
        <f t="shared" si="7"/>
        <v>Q4-2025</v>
      </c>
      <c r="AG12" s="29" t="str">
        <f t="shared" si="7"/>
        <v>Q4-2025</v>
      </c>
      <c r="AH12" s="29" t="str">
        <f t="shared" si="7"/>
        <v>Q1-2026</v>
      </c>
      <c r="AI12" s="29" t="str">
        <f t="shared" si="7"/>
        <v>Q1-2026</v>
      </c>
      <c r="AJ12" s="29" t="str">
        <f t="shared" si="7"/>
        <v>Q1-2026</v>
      </c>
      <c r="AK12" s="29" t="str">
        <f t="shared" si="7"/>
        <v>Q2-2026</v>
      </c>
      <c r="AL12" s="29" t="str">
        <f t="shared" si="7"/>
        <v>Q2-2026</v>
      </c>
      <c r="AM12" s="29" t="str">
        <f t="shared" si="7"/>
        <v>Q2-2026</v>
      </c>
      <c r="AN12" s="29" t="str">
        <f t="shared" si="7"/>
        <v>Q3-2026</v>
      </c>
      <c r="AO12" s="29" t="str">
        <f t="shared" si="7"/>
        <v>Q3-2026</v>
      </c>
      <c r="AP12" s="29" t="str">
        <f t="shared" si="7"/>
        <v>Q3-2026</v>
      </c>
      <c r="AQ12" s="29" t="str">
        <f t="shared" si="7"/>
        <v>Q4-2026</v>
      </c>
      <c r="AR12" s="29" t="str">
        <f t="shared" si="7"/>
        <v>Q4-2026</v>
      </c>
      <c r="AS12" s="29" t="str">
        <f t="shared" si="7"/>
        <v>Q4-2026</v>
      </c>
    </row>
    <row r="13" spans="1:45" hidden="1" outlineLevel="2" collapsed="1" x14ac:dyDescent="0.15">
      <c r="B13" t="s">
        <v>310</v>
      </c>
      <c r="J13">
        <f t="shared" ref="J13:AS13" si="8">NETWORKDAYS( J6,J7 )</f>
        <v>23</v>
      </c>
      <c r="K13">
        <f t="shared" si="8"/>
        <v>21</v>
      </c>
      <c r="L13">
        <f t="shared" si="8"/>
        <v>22</v>
      </c>
      <c r="M13">
        <f t="shared" si="8"/>
        <v>22</v>
      </c>
      <c r="N13">
        <f t="shared" si="8"/>
        <v>21</v>
      </c>
      <c r="O13">
        <f t="shared" si="8"/>
        <v>23</v>
      </c>
      <c r="P13">
        <f t="shared" si="8"/>
        <v>21</v>
      </c>
      <c r="Q13">
        <f t="shared" si="8"/>
        <v>21</v>
      </c>
      <c r="R13">
        <f t="shared" si="8"/>
        <v>22</v>
      </c>
      <c r="S13">
        <f t="shared" si="8"/>
        <v>23</v>
      </c>
      <c r="T13">
        <f t="shared" si="8"/>
        <v>20</v>
      </c>
      <c r="U13">
        <f t="shared" si="8"/>
        <v>23</v>
      </c>
      <c r="V13">
        <f t="shared" si="8"/>
        <v>22</v>
      </c>
      <c r="W13">
        <f t="shared" si="8"/>
        <v>21</v>
      </c>
      <c r="X13">
        <f t="shared" si="8"/>
        <v>23</v>
      </c>
      <c r="Y13">
        <f t="shared" si="8"/>
        <v>21</v>
      </c>
      <c r="Z13">
        <f t="shared" si="8"/>
        <v>22</v>
      </c>
      <c r="AA13">
        <f t="shared" si="8"/>
        <v>23</v>
      </c>
      <c r="AB13">
        <f t="shared" si="8"/>
        <v>20</v>
      </c>
      <c r="AC13">
        <f t="shared" si="8"/>
        <v>21</v>
      </c>
      <c r="AD13">
        <f t="shared" si="8"/>
        <v>22</v>
      </c>
      <c r="AE13">
        <f t="shared" si="8"/>
        <v>22</v>
      </c>
      <c r="AF13">
        <f t="shared" si="8"/>
        <v>21</v>
      </c>
      <c r="AG13">
        <f t="shared" si="8"/>
        <v>23</v>
      </c>
      <c r="AH13">
        <f t="shared" si="8"/>
        <v>21</v>
      </c>
      <c r="AI13">
        <f t="shared" si="8"/>
        <v>22</v>
      </c>
      <c r="AJ13">
        <f t="shared" si="8"/>
        <v>23</v>
      </c>
      <c r="AK13">
        <f t="shared" si="8"/>
        <v>20</v>
      </c>
      <c r="AL13">
        <f t="shared" si="8"/>
        <v>23</v>
      </c>
      <c r="AM13">
        <f t="shared" si="8"/>
        <v>22</v>
      </c>
      <c r="AN13">
        <f t="shared" si="8"/>
        <v>20</v>
      </c>
      <c r="AO13">
        <f t="shared" si="8"/>
        <v>22</v>
      </c>
      <c r="AP13">
        <f t="shared" si="8"/>
        <v>22</v>
      </c>
      <c r="AQ13">
        <f t="shared" si="8"/>
        <v>21</v>
      </c>
      <c r="AR13">
        <f t="shared" si="8"/>
        <v>22</v>
      </c>
      <c r="AS13">
        <f t="shared" si="8"/>
        <v>23</v>
      </c>
    </row>
    <row r="14" spans="1:45" hidden="1" outlineLevel="2" collapsed="1" x14ac:dyDescent="0.15">
      <c r="B14" t="s">
        <v>311</v>
      </c>
      <c r="J14">
        <f t="shared" ref="J14:AS14" si="9">J13/5</f>
        <v>4.5999999999999996</v>
      </c>
      <c r="K14">
        <f t="shared" si="9"/>
        <v>4.2</v>
      </c>
      <c r="L14">
        <f t="shared" si="9"/>
        <v>4.4000000000000004</v>
      </c>
      <c r="M14">
        <f t="shared" si="9"/>
        <v>4.4000000000000004</v>
      </c>
      <c r="N14">
        <f t="shared" si="9"/>
        <v>4.2</v>
      </c>
      <c r="O14">
        <f t="shared" si="9"/>
        <v>4.5999999999999996</v>
      </c>
      <c r="P14">
        <f t="shared" si="9"/>
        <v>4.2</v>
      </c>
      <c r="Q14">
        <f t="shared" si="9"/>
        <v>4.2</v>
      </c>
      <c r="R14">
        <f t="shared" si="9"/>
        <v>4.4000000000000004</v>
      </c>
      <c r="S14">
        <f t="shared" si="9"/>
        <v>4.5999999999999996</v>
      </c>
      <c r="T14">
        <f t="shared" si="9"/>
        <v>4</v>
      </c>
      <c r="U14">
        <f t="shared" si="9"/>
        <v>4.5999999999999996</v>
      </c>
      <c r="V14">
        <f t="shared" si="9"/>
        <v>4.4000000000000004</v>
      </c>
      <c r="W14">
        <f t="shared" si="9"/>
        <v>4.2</v>
      </c>
      <c r="X14">
        <f t="shared" si="9"/>
        <v>4.5999999999999996</v>
      </c>
      <c r="Y14">
        <f t="shared" si="9"/>
        <v>4.2</v>
      </c>
      <c r="Z14">
        <f t="shared" si="9"/>
        <v>4.4000000000000004</v>
      </c>
      <c r="AA14">
        <f t="shared" si="9"/>
        <v>4.5999999999999996</v>
      </c>
      <c r="AB14">
        <f t="shared" si="9"/>
        <v>4</v>
      </c>
      <c r="AC14">
        <f t="shared" si="9"/>
        <v>4.2</v>
      </c>
      <c r="AD14">
        <f t="shared" si="9"/>
        <v>4.4000000000000004</v>
      </c>
      <c r="AE14">
        <f t="shared" si="9"/>
        <v>4.4000000000000004</v>
      </c>
      <c r="AF14">
        <f t="shared" si="9"/>
        <v>4.2</v>
      </c>
      <c r="AG14">
        <f t="shared" si="9"/>
        <v>4.5999999999999996</v>
      </c>
      <c r="AH14">
        <f t="shared" si="9"/>
        <v>4.2</v>
      </c>
      <c r="AI14">
        <f t="shared" si="9"/>
        <v>4.4000000000000004</v>
      </c>
      <c r="AJ14">
        <f t="shared" si="9"/>
        <v>4.5999999999999996</v>
      </c>
      <c r="AK14">
        <f t="shared" si="9"/>
        <v>4</v>
      </c>
      <c r="AL14">
        <f t="shared" si="9"/>
        <v>4.5999999999999996</v>
      </c>
      <c r="AM14">
        <f t="shared" si="9"/>
        <v>4.4000000000000004</v>
      </c>
      <c r="AN14">
        <f t="shared" si="9"/>
        <v>4</v>
      </c>
      <c r="AO14">
        <f t="shared" si="9"/>
        <v>4.4000000000000004</v>
      </c>
      <c r="AP14">
        <f t="shared" si="9"/>
        <v>4.4000000000000004</v>
      </c>
      <c r="AQ14">
        <f t="shared" si="9"/>
        <v>4.2</v>
      </c>
      <c r="AR14">
        <f t="shared" si="9"/>
        <v>4.4000000000000004</v>
      </c>
      <c r="AS14">
        <f t="shared" si="9"/>
        <v>4.5999999999999996</v>
      </c>
    </row>
    <row r="15" spans="1:45" hidden="1" outlineLevel="2" x14ac:dyDescent="0.15">
      <c r="B15" s="186" t="s">
        <v>312</v>
      </c>
      <c r="C15" s="5"/>
      <c r="D15" s="5"/>
      <c r="E15" s="5"/>
      <c r="F15" s="5"/>
      <c r="G15" s="5"/>
      <c r="H15" s="5"/>
      <c r="I15" s="5"/>
      <c r="J15" s="187" t="str">
        <f t="shared" ref="J15:AS15" si="10">"H"&amp;INT((J10-1)/Ts_Mths_In_Half)+1&amp;"-"&amp;J9</f>
        <v>H1-2024</v>
      </c>
      <c r="K15" s="187" t="str">
        <f t="shared" si="10"/>
        <v>H1-2024</v>
      </c>
      <c r="L15" s="187" t="str">
        <f t="shared" si="10"/>
        <v>H1-2024</v>
      </c>
      <c r="M15" s="187" t="str">
        <f t="shared" si="10"/>
        <v>H1-2024</v>
      </c>
      <c r="N15" s="187" t="str">
        <f t="shared" si="10"/>
        <v>H1-2024</v>
      </c>
      <c r="O15" s="187" t="str">
        <f t="shared" si="10"/>
        <v>H1-2024</v>
      </c>
      <c r="P15" s="187" t="str">
        <f t="shared" si="10"/>
        <v>H2-2024</v>
      </c>
      <c r="Q15" s="187" t="str">
        <f t="shared" si="10"/>
        <v>H2-2024</v>
      </c>
      <c r="R15" s="187" t="str">
        <f t="shared" si="10"/>
        <v>H2-2024</v>
      </c>
      <c r="S15" s="187" t="str">
        <f t="shared" si="10"/>
        <v>H2-2024</v>
      </c>
      <c r="T15" s="187" t="str">
        <f t="shared" si="10"/>
        <v>H2-2024</v>
      </c>
      <c r="U15" s="187" t="str">
        <f t="shared" si="10"/>
        <v>H2-2024</v>
      </c>
      <c r="V15" s="187" t="str">
        <f t="shared" si="10"/>
        <v>H1-2025</v>
      </c>
      <c r="W15" s="187" t="str">
        <f t="shared" si="10"/>
        <v>H1-2025</v>
      </c>
      <c r="X15" s="187" t="str">
        <f t="shared" si="10"/>
        <v>H1-2025</v>
      </c>
      <c r="Y15" s="187" t="str">
        <f t="shared" si="10"/>
        <v>H1-2025</v>
      </c>
      <c r="Z15" s="187" t="str">
        <f t="shared" si="10"/>
        <v>H1-2025</v>
      </c>
      <c r="AA15" s="187" t="str">
        <f t="shared" si="10"/>
        <v>H1-2025</v>
      </c>
      <c r="AB15" s="187" t="str">
        <f t="shared" si="10"/>
        <v>H2-2025</v>
      </c>
      <c r="AC15" s="187" t="str">
        <f t="shared" si="10"/>
        <v>H2-2025</v>
      </c>
      <c r="AD15" s="187" t="str">
        <f t="shared" si="10"/>
        <v>H2-2025</v>
      </c>
      <c r="AE15" s="187" t="str">
        <f t="shared" si="10"/>
        <v>H2-2025</v>
      </c>
      <c r="AF15" s="187" t="str">
        <f t="shared" si="10"/>
        <v>H2-2025</v>
      </c>
      <c r="AG15" s="187" t="str">
        <f t="shared" si="10"/>
        <v>H2-2025</v>
      </c>
      <c r="AH15" s="187" t="str">
        <f t="shared" si="10"/>
        <v>H1-2026</v>
      </c>
      <c r="AI15" s="187" t="str">
        <f t="shared" si="10"/>
        <v>H1-2026</v>
      </c>
      <c r="AJ15" s="187" t="str">
        <f t="shared" si="10"/>
        <v>H1-2026</v>
      </c>
      <c r="AK15" s="187" t="str">
        <f t="shared" si="10"/>
        <v>H1-2026</v>
      </c>
      <c r="AL15" s="187" t="str">
        <f t="shared" si="10"/>
        <v>H1-2026</v>
      </c>
      <c r="AM15" s="187" t="str">
        <f t="shared" si="10"/>
        <v>H1-2026</v>
      </c>
      <c r="AN15" s="187" t="str">
        <f t="shared" si="10"/>
        <v>H2-2026</v>
      </c>
      <c r="AO15" s="187" t="str">
        <f t="shared" si="10"/>
        <v>H2-2026</v>
      </c>
      <c r="AP15" s="187" t="str">
        <f t="shared" si="10"/>
        <v>H2-2026</v>
      </c>
      <c r="AQ15" s="187" t="str">
        <f t="shared" si="10"/>
        <v>H2-2026</v>
      </c>
      <c r="AR15" s="187" t="str">
        <f t="shared" si="10"/>
        <v>H2-2026</v>
      </c>
      <c r="AS15" s="187" t="str">
        <f t="shared" si="10"/>
        <v>H2-2026</v>
      </c>
    </row>
    <row r="16" spans="1:45" collapsed="1" x14ac:dyDescent="0.15"/>
    <row r="17" spans="2:45" x14ac:dyDescent="0.15">
      <c r="B17" s="1" t="s">
        <v>61</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row>
    <row r="18" spans="2:45" outlineLevel="1" x14ac:dyDescent="0.15"/>
    <row r="19" spans="2:45" hidden="1" outlineLevel="2" x14ac:dyDescent="0.15">
      <c r="B19" s="16" t="s">
        <v>64</v>
      </c>
    </row>
    <row r="20" spans="2:45" hidden="1" outlineLevel="2" x14ac:dyDescent="0.15">
      <c r="B20" s="107" t="str">
        <f>Rev_Exp!B73</f>
        <v>Membership Fees</v>
      </c>
      <c r="J20" s="23">
        <f>Rev_Exp!J73</f>
        <v>350</v>
      </c>
      <c r="K20" s="23">
        <f>Rev_Exp!K73</f>
        <v>350</v>
      </c>
      <c r="L20" s="23">
        <f>Rev_Exp!L73</f>
        <v>358.33333333333337</v>
      </c>
      <c r="M20" s="23">
        <f>Rev_Exp!M73</f>
        <v>366.66666666666663</v>
      </c>
      <c r="N20" s="23">
        <f>Rev_Exp!N73</f>
        <v>375</v>
      </c>
      <c r="O20" s="23">
        <f>Rev_Exp!O73</f>
        <v>383.33333333333337</v>
      </c>
      <c r="P20" s="23">
        <f>Rev_Exp!P73</f>
        <v>391.66666666666663</v>
      </c>
      <c r="Q20" s="23">
        <f>Rev_Exp!Q73</f>
        <v>400</v>
      </c>
      <c r="R20" s="23">
        <f>Rev_Exp!R73</f>
        <v>408.33333333333337</v>
      </c>
      <c r="S20" s="23">
        <f>Rev_Exp!S73</f>
        <v>416.66666666666663</v>
      </c>
      <c r="T20" s="23">
        <f>Rev_Exp!T73</f>
        <v>425</v>
      </c>
      <c r="U20" s="23">
        <f>Rev_Exp!U73</f>
        <v>433.33333333333337</v>
      </c>
      <c r="V20" s="23">
        <f>Rev_Exp!V73</f>
        <v>441.66666666666663</v>
      </c>
      <c r="W20" s="23">
        <f>Rev_Exp!W73</f>
        <v>450</v>
      </c>
      <c r="X20" s="23">
        <f>Rev_Exp!X73</f>
        <v>458.33333333333337</v>
      </c>
      <c r="Y20" s="23">
        <f>Rev_Exp!Y73</f>
        <v>466.66666666666663</v>
      </c>
      <c r="Z20" s="23">
        <f>Rev_Exp!Z73</f>
        <v>475</v>
      </c>
      <c r="AA20" s="23">
        <f>Rev_Exp!AA73</f>
        <v>483.33333333333337</v>
      </c>
      <c r="AB20" s="23">
        <f>Rev_Exp!AB73</f>
        <v>491.66666666666663</v>
      </c>
      <c r="AC20" s="23">
        <f>Rev_Exp!AC73</f>
        <v>500</v>
      </c>
      <c r="AD20" s="23">
        <f>Rev_Exp!AD73</f>
        <v>508.33333333333331</v>
      </c>
      <c r="AE20" s="23">
        <f>Rev_Exp!AE73</f>
        <v>516.66666666666674</v>
      </c>
      <c r="AF20" s="23">
        <f>Rev_Exp!AF73</f>
        <v>525</v>
      </c>
      <c r="AG20" s="23">
        <f>Rev_Exp!AG73</f>
        <v>533.33333333333326</v>
      </c>
      <c r="AH20" s="23">
        <f>Rev_Exp!AH73</f>
        <v>541.66666666666674</v>
      </c>
      <c r="AI20" s="23">
        <f>Rev_Exp!AI73</f>
        <v>550</v>
      </c>
      <c r="AJ20" s="23">
        <f>Rev_Exp!AJ73</f>
        <v>558.33333333333326</v>
      </c>
      <c r="AK20" s="23">
        <f>Rev_Exp!AK73</f>
        <v>566.66666666666674</v>
      </c>
      <c r="AL20" s="23">
        <f>Rev_Exp!AL73</f>
        <v>575</v>
      </c>
      <c r="AM20" s="23">
        <f>Rev_Exp!AM73</f>
        <v>583.33333333333326</v>
      </c>
      <c r="AN20" s="23">
        <f>Rev_Exp!AN73</f>
        <v>591.66666666666674</v>
      </c>
      <c r="AO20" s="23">
        <f>Rev_Exp!AO73</f>
        <v>600</v>
      </c>
      <c r="AP20" s="23">
        <f>Rev_Exp!AP73</f>
        <v>608.33333333333326</v>
      </c>
      <c r="AQ20" s="23">
        <f>Rev_Exp!AQ73</f>
        <v>616.66666666666674</v>
      </c>
      <c r="AR20" s="23">
        <f>Rev_Exp!AR73</f>
        <v>625</v>
      </c>
      <c r="AS20" s="23">
        <f>Rev_Exp!AS73</f>
        <v>633.33333333333326</v>
      </c>
    </row>
    <row r="21" spans="2:45" hidden="1" outlineLevel="2" x14ac:dyDescent="0.15">
      <c r="B21" s="107" t="str">
        <f>Rev_Exp!B74</f>
        <v>PAYG Fencing</v>
      </c>
      <c r="J21" s="23">
        <f>Rev_Exp!J74</f>
        <v>2481.0619354838709</v>
      </c>
      <c r="K21" s="23">
        <f>Rev_Exp!K74</f>
        <v>4567.1165399999991</v>
      </c>
      <c r="L21" s="23">
        <f>Rev_Exp!L74</f>
        <v>4753.2944516129037</v>
      </c>
      <c r="M21" s="23">
        <f>Rev_Exp!M74</f>
        <v>5821.4309999999996</v>
      </c>
      <c r="N21" s="23">
        <f>Rev_Exp!N74</f>
        <v>1969.8246580645155</v>
      </c>
      <c r="O21" s="23">
        <f>Rev_Exp!O74</f>
        <v>4324.5171290322578</v>
      </c>
      <c r="P21" s="23">
        <f>Rev_Exp!P74</f>
        <v>4722.8832000000002</v>
      </c>
      <c r="Q21" s="23">
        <f>Rev_Exp!Q74</f>
        <v>4681.505206451613</v>
      </c>
      <c r="R21" s="23">
        <f>Rev_Exp!R74</f>
        <v>3527.4685600000003</v>
      </c>
      <c r="S21" s="23">
        <f>Rev_Exp!S74</f>
        <v>4307.8396064516119</v>
      </c>
      <c r="T21" s="23">
        <f>Rev_Exp!T74</f>
        <v>4220.72</v>
      </c>
      <c r="U21" s="23">
        <f>Rev_Exp!U74</f>
        <v>3799.1097290322577</v>
      </c>
      <c r="V21" s="23">
        <f>Rev_Exp!V74</f>
        <v>3322.465548387097</v>
      </c>
      <c r="W21" s="23">
        <f>Rev_Exp!W74</f>
        <v>6335.03262</v>
      </c>
      <c r="X21" s="23">
        <f>Rev_Exp!X74</f>
        <v>6832.8607741935475</v>
      </c>
      <c r="Y21" s="23">
        <f>Rev_Exp!Y74</f>
        <v>7577.4824999999992</v>
      </c>
      <c r="Z21" s="23">
        <f>Rev_Exp!Z74</f>
        <v>2791.9643612903224</v>
      </c>
      <c r="AA21" s="23">
        <f>Rev_Exp!AA74</f>
        <v>5807.2087161290319</v>
      </c>
      <c r="AB21" s="23">
        <f>Rev_Exp!AB74</f>
        <v>5997.3119999999999</v>
      </c>
      <c r="AC21" s="23">
        <f>Rev_Exp!AC74</f>
        <v>6199.831219354839</v>
      </c>
      <c r="AD21" s="23">
        <f>Rev_Exp!AD74</f>
        <v>4641.4059999999999</v>
      </c>
      <c r="AE21" s="23">
        <f>Rev_Exp!AE74</f>
        <v>5388.4013806451612</v>
      </c>
      <c r="AF21" s="23">
        <f>Rev_Exp!AF74</f>
        <v>5761.2828000000009</v>
      </c>
      <c r="AG21" s="23">
        <f>Rev_Exp!AG74</f>
        <v>4911.0442838709669</v>
      </c>
      <c r="AH21" s="23">
        <f>Rev_Exp!AH74</f>
        <v>4077.5713548387102</v>
      </c>
      <c r="AI21" s="23">
        <f>Rev_Exp!AI74</f>
        <v>8488.8034000000007</v>
      </c>
      <c r="AJ21" s="23">
        <f>Rev_Exp!AJ74</f>
        <v>8696.3682580645163</v>
      </c>
      <c r="AK21" s="23">
        <f>Rev_Exp!AK74</f>
        <v>8640</v>
      </c>
      <c r="AL21" s="23">
        <f>Rev_Exp!AL74</f>
        <v>3680.3166580645147</v>
      </c>
      <c r="AM21" s="23">
        <f>Rev_Exp!AM74</f>
        <v>6972.9481161290332</v>
      </c>
      <c r="AN21" s="23">
        <f>Rev_Exp!AN74</f>
        <v>7496.6399999999994</v>
      </c>
      <c r="AO21" s="23">
        <f>Rev_Exp!AO74</f>
        <v>8085.6885290322589</v>
      </c>
      <c r="AP21" s="23">
        <f>Rev_Exp!AP74</f>
        <v>5755.3434400000006</v>
      </c>
      <c r="AQ21" s="23">
        <f>Rev_Exp!AQ74</f>
        <v>6353.7032322580644</v>
      </c>
      <c r="AR21" s="23">
        <f>Rev_Exp!AR74</f>
        <v>7428.467200000001</v>
      </c>
      <c r="AS21" s="23">
        <f>Rev_Exp!AS74</f>
        <v>6022.9788387096769</v>
      </c>
    </row>
    <row r="22" spans="2:45" hidden="1" outlineLevel="2" x14ac:dyDescent="0.15">
      <c r="B22" s="107" t="str">
        <f>Rev_Exp!B75</f>
        <v>Private Hire</v>
      </c>
      <c r="J22" s="23">
        <f>Rev_Exp!J75</f>
        <v>400</v>
      </c>
      <c r="K22" s="23">
        <f>Rev_Exp!K75</f>
        <v>400</v>
      </c>
      <c r="L22" s="23">
        <f>Rev_Exp!L75</f>
        <v>400</v>
      </c>
      <c r="M22" s="23">
        <f>Rev_Exp!M75</f>
        <v>400</v>
      </c>
      <c r="N22" s="23">
        <f>Rev_Exp!N75</f>
        <v>400</v>
      </c>
      <c r="O22" s="23">
        <f>Rev_Exp!O75</f>
        <v>400</v>
      </c>
      <c r="P22" s="23">
        <f>Rev_Exp!P75</f>
        <v>800</v>
      </c>
      <c r="Q22" s="23">
        <f>Rev_Exp!Q75</f>
        <v>800</v>
      </c>
      <c r="R22" s="23">
        <f>Rev_Exp!R75</f>
        <v>800</v>
      </c>
      <c r="S22" s="23">
        <f>Rev_Exp!S75</f>
        <v>800</v>
      </c>
      <c r="T22" s="23">
        <f>Rev_Exp!T75</f>
        <v>800</v>
      </c>
      <c r="U22" s="23">
        <f>Rev_Exp!U75</f>
        <v>800</v>
      </c>
      <c r="V22" s="23">
        <f>Rev_Exp!V75</f>
        <v>800</v>
      </c>
      <c r="W22" s="23">
        <f>Rev_Exp!W75</f>
        <v>800</v>
      </c>
      <c r="X22" s="23">
        <f>Rev_Exp!X75</f>
        <v>800</v>
      </c>
      <c r="Y22" s="23">
        <f>Rev_Exp!Y75</f>
        <v>800</v>
      </c>
      <c r="Z22" s="23">
        <f>Rev_Exp!Z75</f>
        <v>800</v>
      </c>
      <c r="AA22" s="23">
        <f>Rev_Exp!AA75</f>
        <v>800</v>
      </c>
      <c r="AB22" s="23">
        <f>Rev_Exp!AB75</f>
        <v>1200</v>
      </c>
      <c r="AC22" s="23">
        <f>Rev_Exp!AC75</f>
        <v>1200</v>
      </c>
      <c r="AD22" s="23">
        <f>Rev_Exp!AD75</f>
        <v>1200</v>
      </c>
      <c r="AE22" s="23">
        <f>Rev_Exp!AE75</f>
        <v>1200</v>
      </c>
      <c r="AF22" s="23">
        <f>Rev_Exp!AF75</f>
        <v>1200</v>
      </c>
      <c r="AG22" s="23">
        <f>Rev_Exp!AG75</f>
        <v>1200</v>
      </c>
      <c r="AH22" s="23">
        <f>Rev_Exp!AH75</f>
        <v>1200</v>
      </c>
      <c r="AI22" s="23">
        <f>Rev_Exp!AI75</f>
        <v>1200</v>
      </c>
      <c r="AJ22" s="23">
        <f>Rev_Exp!AJ75</f>
        <v>1200</v>
      </c>
      <c r="AK22" s="23">
        <f>Rev_Exp!AK75</f>
        <v>1200</v>
      </c>
      <c r="AL22" s="23">
        <f>Rev_Exp!AL75</f>
        <v>1200</v>
      </c>
      <c r="AM22" s="23">
        <f>Rev_Exp!AM75</f>
        <v>1200</v>
      </c>
      <c r="AN22" s="23">
        <f>Rev_Exp!AN75</f>
        <v>1200</v>
      </c>
      <c r="AO22" s="23">
        <f>Rev_Exp!AO75</f>
        <v>1200</v>
      </c>
      <c r="AP22" s="23">
        <f>Rev_Exp!AP75</f>
        <v>1200</v>
      </c>
      <c r="AQ22" s="23">
        <f>Rev_Exp!AQ75</f>
        <v>1200</v>
      </c>
      <c r="AR22" s="23">
        <f>Rev_Exp!AR75</f>
        <v>1200</v>
      </c>
      <c r="AS22" s="23">
        <f>Rev_Exp!AS75</f>
        <v>1200</v>
      </c>
    </row>
    <row r="23" spans="2:45" hidden="1" outlineLevel="2" x14ac:dyDescent="0.15">
      <c r="B23" s="107" t="str">
        <f>Rev_Exp!B76</f>
        <v>Book a Piste</v>
      </c>
      <c r="J23" s="23">
        <f>Rev_Exp!J76</f>
        <v>40</v>
      </c>
      <c r="K23" s="23">
        <f>Rev_Exp!K76</f>
        <v>40</v>
      </c>
      <c r="L23" s="23">
        <f>Rev_Exp!L76</f>
        <v>40</v>
      </c>
      <c r="M23" s="23">
        <f>Rev_Exp!M76</f>
        <v>40</v>
      </c>
      <c r="N23" s="23">
        <f>Rev_Exp!N76</f>
        <v>40</v>
      </c>
      <c r="O23" s="23">
        <f>Rev_Exp!O76</f>
        <v>40</v>
      </c>
      <c r="P23" s="23">
        <f>Rev_Exp!P76</f>
        <v>40</v>
      </c>
      <c r="Q23" s="23">
        <f>Rev_Exp!Q76</f>
        <v>40</v>
      </c>
      <c r="R23" s="23">
        <f>Rev_Exp!R76</f>
        <v>40</v>
      </c>
      <c r="S23" s="23">
        <f>Rev_Exp!S76</f>
        <v>40</v>
      </c>
      <c r="T23" s="23">
        <f>Rev_Exp!T76</f>
        <v>40</v>
      </c>
      <c r="U23" s="23">
        <f>Rev_Exp!U76</f>
        <v>40</v>
      </c>
      <c r="V23" s="23">
        <f>Rev_Exp!V76</f>
        <v>40</v>
      </c>
      <c r="W23" s="23">
        <f>Rev_Exp!W76</f>
        <v>40</v>
      </c>
      <c r="X23" s="23">
        <f>Rev_Exp!X76</f>
        <v>40</v>
      </c>
      <c r="Y23" s="23">
        <f>Rev_Exp!Y76</f>
        <v>40</v>
      </c>
      <c r="Z23" s="23">
        <f>Rev_Exp!Z76</f>
        <v>40</v>
      </c>
      <c r="AA23" s="23">
        <f>Rev_Exp!AA76</f>
        <v>40</v>
      </c>
      <c r="AB23" s="23">
        <f>Rev_Exp!AB76</f>
        <v>40</v>
      </c>
      <c r="AC23" s="23">
        <f>Rev_Exp!AC76</f>
        <v>40</v>
      </c>
      <c r="AD23" s="23">
        <f>Rev_Exp!AD76</f>
        <v>40</v>
      </c>
      <c r="AE23" s="23">
        <f>Rev_Exp!AE76</f>
        <v>40</v>
      </c>
      <c r="AF23" s="23">
        <f>Rev_Exp!AF76</f>
        <v>40</v>
      </c>
      <c r="AG23" s="23">
        <f>Rev_Exp!AG76</f>
        <v>40</v>
      </c>
      <c r="AH23" s="23">
        <f>Rev_Exp!AH76</f>
        <v>40</v>
      </c>
      <c r="AI23" s="23">
        <f>Rev_Exp!AI76</f>
        <v>40</v>
      </c>
      <c r="AJ23" s="23">
        <f>Rev_Exp!AJ76</f>
        <v>40</v>
      </c>
      <c r="AK23" s="23">
        <f>Rev_Exp!AK76</f>
        <v>40</v>
      </c>
      <c r="AL23" s="23">
        <f>Rev_Exp!AL76</f>
        <v>40</v>
      </c>
      <c r="AM23" s="23">
        <f>Rev_Exp!AM76</f>
        <v>40</v>
      </c>
      <c r="AN23" s="23">
        <f>Rev_Exp!AN76</f>
        <v>40</v>
      </c>
      <c r="AO23" s="23">
        <f>Rev_Exp!AO76</f>
        <v>40</v>
      </c>
      <c r="AP23" s="23">
        <f>Rev_Exp!AP76</f>
        <v>40</v>
      </c>
      <c r="AQ23" s="23">
        <f>Rev_Exp!AQ76</f>
        <v>40</v>
      </c>
      <c r="AR23" s="23">
        <f>Rev_Exp!AR76</f>
        <v>40</v>
      </c>
      <c r="AS23" s="23">
        <f>Rev_Exp!AS76</f>
        <v>40</v>
      </c>
    </row>
    <row r="24" spans="2:45" hidden="1" outlineLevel="2" x14ac:dyDescent="0.15">
      <c r="B24" s="107" t="str">
        <f>Rev_Exp!B77</f>
        <v>Merch Sales</v>
      </c>
      <c r="J24" s="24">
        <f>Rev_Exp!J77</f>
        <v>100</v>
      </c>
      <c r="K24" s="24">
        <f>Rev_Exp!K77</f>
        <v>103.33333333333334</v>
      </c>
      <c r="L24" s="24">
        <f>Rev_Exp!L77</f>
        <v>106.66666666666667</v>
      </c>
      <c r="M24" s="24">
        <f>Rev_Exp!M77</f>
        <v>110</v>
      </c>
      <c r="N24" s="24">
        <f>Rev_Exp!N77</f>
        <v>113.33333333333334</v>
      </c>
      <c r="O24" s="24">
        <f>Rev_Exp!O77</f>
        <v>116.66666666666667</v>
      </c>
      <c r="P24" s="24">
        <f>Rev_Exp!P77</f>
        <v>120</v>
      </c>
      <c r="Q24" s="24">
        <f>Rev_Exp!Q77</f>
        <v>123.33333333333334</v>
      </c>
      <c r="R24" s="24">
        <f>Rev_Exp!R77</f>
        <v>126.66666666666667</v>
      </c>
      <c r="S24" s="24">
        <f>Rev_Exp!S77</f>
        <v>130</v>
      </c>
      <c r="T24" s="24">
        <f>Rev_Exp!T77</f>
        <v>133.33333333333334</v>
      </c>
      <c r="U24" s="24">
        <f>Rev_Exp!U77</f>
        <v>136.66666666666669</v>
      </c>
      <c r="V24" s="24">
        <f>Rev_Exp!V77</f>
        <v>140</v>
      </c>
      <c r="W24" s="24">
        <f>Rev_Exp!W77</f>
        <v>143.33333333333334</v>
      </c>
      <c r="X24" s="24">
        <f>Rev_Exp!X77</f>
        <v>146.66666666666669</v>
      </c>
      <c r="Y24" s="24">
        <f>Rev_Exp!Y77</f>
        <v>150</v>
      </c>
      <c r="Z24" s="24">
        <f>Rev_Exp!Z77</f>
        <v>153.33333333333334</v>
      </c>
      <c r="AA24" s="24">
        <f>Rev_Exp!AA77</f>
        <v>156.66666666666669</v>
      </c>
      <c r="AB24" s="24">
        <f>Rev_Exp!AB77</f>
        <v>160</v>
      </c>
      <c r="AC24" s="24">
        <f>Rev_Exp!AC77</f>
        <v>163.33333333333334</v>
      </c>
      <c r="AD24" s="24">
        <f>Rev_Exp!AD77</f>
        <v>166.66666666666669</v>
      </c>
      <c r="AE24" s="24">
        <f>Rev_Exp!AE77</f>
        <v>170</v>
      </c>
      <c r="AF24" s="24">
        <f>Rev_Exp!AF77</f>
        <v>173.33333333333334</v>
      </c>
      <c r="AG24" s="24">
        <f>Rev_Exp!AG77</f>
        <v>176.66666666666669</v>
      </c>
      <c r="AH24" s="24">
        <f>Rev_Exp!AH77</f>
        <v>180</v>
      </c>
      <c r="AI24" s="24">
        <f>Rev_Exp!AI77</f>
        <v>183.33333333333334</v>
      </c>
      <c r="AJ24" s="24">
        <f>Rev_Exp!AJ77</f>
        <v>186.66666666666669</v>
      </c>
      <c r="AK24" s="24">
        <f>Rev_Exp!AK77</f>
        <v>190</v>
      </c>
      <c r="AL24" s="24">
        <f>Rev_Exp!AL77</f>
        <v>193.33333333333334</v>
      </c>
      <c r="AM24" s="24">
        <f>Rev_Exp!AM77</f>
        <v>196.66666666666669</v>
      </c>
      <c r="AN24" s="24">
        <f>Rev_Exp!AN77</f>
        <v>200</v>
      </c>
      <c r="AO24" s="24">
        <f>Rev_Exp!AO77</f>
        <v>203.33333333333334</v>
      </c>
      <c r="AP24" s="24">
        <f>Rev_Exp!AP77</f>
        <v>206.66666666666669</v>
      </c>
      <c r="AQ24" s="24">
        <f>Rev_Exp!AQ77</f>
        <v>210</v>
      </c>
      <c r="AR24" s="24">
        <f>Rev_Exp!AR77</f>
        <v>213.33333333333334</v>
      </c>
      <c r="AS24" s="24">
        <f>Rev_Exp!AS77</f>
        <v>216.66666666666669</v>
      </c>
    </row>
    <row r="25" spans="2:45" outlineLevel="1" collapsed="1" x14ac:dyDescent="0.15">
      <c r="B25" s="107" t="str">
        <f>"Total "&amp;B19</f>
        <v>Total Revenue</v>
      </c>
      <c r="J25" s="14">
        <f t="shared" ref="J25:AS25" si="11">SUM(J20:J24)</f>
        <v>3371.0619354838709</v>
      </c>
      <c r="K25" s="14">
        <f t="shared" si="11"/>
        <v>5460.4498733333321</v>
      </c>
      <c r="L25" s="14">
        <f t="shared" si="11"/>
        <v>5658.2944516129037</v>
      </c>
      <c r="M25" s="14">
        <f t="shared" si="11"/>
        <v>6738.0976666666666</v>
      </c>
      <c r="N25" s="14">
        <f t="shared" si="11"/>
        <v>2898.1579913978489</v>
      </c>
      <c r="O25" s="14">
        <f t="shared" si="11"/>
        <v>5264.5171290322578</v>
      </c>
      <c r="P25" s="14">
        <f t="shared" si="11"/>
        <v>6074.5498666666672</v>
      </c>
      <c r="Q25" s="14">
        <f t="shared" si="11"/>
        <v>6044.8385397849461</v>
      </c>
      <c r="R25" s="14">
        <f t="shared" si="11"/>
        <v>4902.4685600000003</v>
      </c>
      <c r="S25" s="14">
        <f t="shared" si="11"/>
        <v>5694.5062731182788</v>
      </c>
      <c r="T25" s="14">
        <f t="shared" si="11"/>
        <v>5619.0533333333333</v>
      </c>
      <c r="U25" s="14">
        <f t="shared" si="11"/>
        <v>5209.1097290322577</v>
      </c>
      <c r="V25" s="14">
        <f t="shared" si="11"/>
        <v>4744.1322150537635</v>
      </c>
      <c r="W25" s="14">
        <f t="shared" si="11"/>
        <v>7768.365953333333</v>
      </c>
      <c r="X25" s="14">
        <f t="shared" si="11"/>
        <v>8277.8607741935466</v>
      </c>
      <c r="Y25" s="14">
        <f t="shared" si="11"/>
        <v>9034.1491666666661</v>
      </c>
      <c r="Z25" s="14">
        <f t="shared" si="11"/>
        <v>4260.2976946236549</v>
      </c>
      <c r="AA25" s="14">
        <f t="shared" si="11"/>
        <v>7287.2087161290319</v>
      </c>
      <c r="AB25" s="14">
        <f t="shared" si="11"/>
        <v>7888.9786666666669</v>
      </c>
      <c r="AC25" s="14">
        <f t="shared" si="11"/>
        <v>8103.1645526881721</v>
      </c>
      <c r="AD25" s="14">
        <f t="shared" si="11"/>
        <v>6556.4059999999999</v>
      </c>
      <c r="AE25" s="14">
        <f t="shared" si="11"/>
        <v>7315.0680473118282</v>
      </c>
      <c r="AF25" s="14">
        <f t="shared" si="11"/>
        <v>7699.6161333333339</v>
      </c>
      <c r="AG25" s="14">
        <f t="shared" si="11"/>
        <v>6861.0442838709669</v>
      </c>
      <c r="AH25" s="14">
        <f t="shared" si="11"/>
        <v>6039.2380215053772</v>
      </c>
      <c r="AI25" s="14">
        <f t="shared" si="11"/>
        <v>10462.136733333335</v>
      </c>
      <c r="AJ25" s="14">
        <f t="shared" si="11"/>
        <v>10681.368258064516</v>
      </c>
      <c r="AK25" s="14">
        <f t="shared" si="11"/>
        <v>10636.666666666666</v>
      </c>
      <c r="AL25" s="14">
        <f t="shared" si="11"/>
        <v>5688.6499913978478</v>
      </c>
      <c r="AM25" s="14">
        <f t="shared" si="11"/>
        <v>8992.9481161290332</v>
      </c>
      <c r="AN25" s="14">
        <f t="shared" si="11"/>
        <v>9528.3066666666673</v>
      </c>
      <c r="AO25" s="14">
        <f t="shared" si="11"/>
        <v>10129.021862365593</v>
      </c>
      <c r="AP25" s="14">
        <f t="shared" si="11"/>
        <v>7810.3434400000006</v>
      </c>
      <c r="AQ25" s="14">
        <f t="shared" si="11"/>
        <v>8420.3698989247314</v>
      </c>
      <c r="AR25" s="14">
        <f t="shared" si="11"/>
        <v>9506.8005333333349</v>
      </c>
      <c r="AS25" s="14">
        <f t="shared" si="11"/>
        <v>8112.9788387096769</v>
      </c>
    </row>
    <row r="26" spans="2:45" hidden="1" outlineLevel="2" x14ac:dyDescent="0.15"/>
    <row r="27" spans="2:45" hidden="1" outlineLevel="2" x14ac:dyDescent="0.15">
      <c r="B27" s="16" t="s">
        <v>65</v>
      </c>
    </row>
    <row r="28" spans="2:45" hidden="1" outlineLevel="2" x14ac:dyDescent="0.15">
      <c r="B28" s="107" t="str">
        <f>Rev_Exp!B105</f>
        <v>Instructor Grants</v>
      </c>
      <c r="J28" s="23">
        <f>-Rev_Exp!J105</f>
        <v>-769.57999999999981</v>
      </c>
      <c r="K28" s="23">
        <f>-Rev_Exp!K105</f>
        <v>-702.66</v>
      </c>
      <c r="L28" s="23">
        <f>-Rev_Exp!L105</f>
        <v>-736.12</v>
      </c>
      <c r="M28" s="23">
        <f>-Rev_Exp!M105</f>
        <v>-736.12</v>
      </c>
      <c r="N28" s="23">
        <f>-Rev_Exp!N105</f>
        <v>-702.66</v>
      </c>
      <c r="O28" s="23">
        <f>-Rev_Exp!O105</f>
        <v>-769.57999999999981</v>
      </c>
      <c r="P28" s="23">
        <f>-Rev_Exp!P105</f>
        <v>-702.66</v>
      </c>
      <c r="Q28" s="23">
        <f>-Rev_Exp!Q105</f>
        <v>-702.66</v>
      </c>
      <c r="R28" s="23">
        <f>-Rev_Exp!R105</f>
        <v>-736.12</v>
      </c>
      <c r="S28" s="23">
        <f>-Rev_Exp!S105</f>
        <v>-769.57999999999981</v>
      </c>
      <c r="T28" s="23">
        <f>-Rev_Exp!T105</f>
        <v>-669.19999999999993</v>
      </c>
      <c r="U28" s="23">
        <f>-Rev_Exp!U105</f>
        <v>-769.57999999999981</v>
      </c>
      <c r="V28" s="23">
        <f>-Rev_Exp!V105</f>
        <v>-841.28</v>
      </c>
      <c r="W28" s="23">
        <f>-Rev_Exp!W105</f>
        <v>-803.04</v>
      </c>
      <c r="X28" s="23">
        <f>-Rev_Exp!X105</f>
        <v>-879.51999999999987</v>
      </c>
      <c r="Y28" s="23">
        <f>-Rev_Exp!Y105</f>
        <v>-803.04</v>
      </c>
      <c r="Z28" s="23">
        <f>-Rev_Exp!Z105</f>
        <v>-841.28</v>
      </c>
      <c r="AA28" s="23">
        <f>-Rev_Exp!AA105</f>
        <v>-879.51999999999987</v>
      </c>
      <c r="AB28" s="23">
        <f>-Rev_Exp!AB105</f>
        <v>-764.8</v>
      </c>
      <c r="AC28" s="23">
        <f>-Rev_Exp!AC105</f>
        <v>-903.42000000000007</v>
      </c>
      <c r="AD28" s="23">
        <f>-Rev_Exp!AD105</f>
        <v>-946.43999999999994</v>
      </c>
      <c r="AE28" s="23">
        <f>-Rev_Exp!AE105</f>
        <v>-946.43999999999994</v>
      </c>
      <c r="AF28" s="23">
        <f>-Rev_Exp!AF105</f>
        <v>-903.42000000000007</v>
      </c>
      <c r="AG28" s="23">
        <f>-Rev_Exp!AG105</f>
        <v>-989.45999999999992</v>
      </c>
      <c r="AH28" s="23">
        <f>-Rev_Exp!AH105</f>
        <v>-903.42000000000007</v>
      </c>
      <c r="AI28" s="23">
        <f>-Rev_Exp!AI105</f>
        <v>-946.43999999999994</v>
      </c>
      <c r="AJ28" s="23">
        <f>-Rev_Exp!AJ105</f>
        <v>-989.45999999999992</v>
      </c>
      <c r="AK28" s="23">
        <f>-Rev_Exp!AK105</f>
        <v>-860.4</v>
      </c>
      <c r="AL28" s="23">
        <f>-Rev_Exp!AL105</f>
        <v>-989.45999999999992</v>
      </c>
      <c r="AM28" s="23">
        <f>-Rev_Exp!AM105</f>
        <v>-1051.5999999999999</v>
      </c>
      <c r="AN28" s="23">
        <f>-Rev_Exp!AN105</f>
        <v>-956</v>
      </c>
      <c r="AO28" s="23">
        <f>-Rev_Exp!AO105</f>
        <v>-1051.5999999999999</v>
      </c>
      <c r="AP28" s="23">
        <f>-Rev_Exp!AP105</f>
        <v>-1051.5999999999999</v>
      </c>
      <c r="AQ28" s="23">
        <f>-Rev_Exp!AQ105</f>
        <v>-1003.8</v>
      </c>
      <c r="AR28" s="23">
        <f>-Rev_Exp!AR105</f>
        <v>-1051.5999999999999</v>
      </c>
      <c r="AS28" s="23">
        <f>-Rev_Exp!AS105</f>
        <v>-1099.3999999999999</v>
      </c>
    </row>
    <row r="29" spans="2:45" hidden="1" outlineLevel="2" x14ac:dyDescent="0.15">
      <c r="B29" s="107" t="str">
        <f>Rev_Exp!B106</f>
        <v>Merch CoGS</v>
      </c>
      <c r="J29" s="23">
        <f>-Rev_Exp!J106</f>
        <v>-50</v>
      </c>
      <c r="K29" s="23">
        <f>-Rev_Exp!K106</f>
        <v>-51.666666666666671</v>
      </c>
      <c r="L29" s="23">
        <f>-Rev_Exp!L106</f>
        <v>-53.333333333333336</v>
      </c>
      <c r="M29" s="23">
        <f>-Rev_Exp!M106</f>
        <v>-55</v>
      </c>
      <c r="N29" s="23">
        <f>-Rev_Exp!N106</f>
        <v>-56.666666666666671</v>
      </c>
      <c r="O29" s="23">
        <f>-Rev_Exp!O106</f>
        <v>-58.333333333333336</v>
      </c>
      <c r="P29" s="23">
        <f>-Rev_Exp!P106</f>
        <v>-60</v>
      </c>
      <c r="Q29" s="23">
        <f>-Rev_Exp!Q106</f>
        <v>-61.666666666666671</v>
      </c>
      <c r="R29" s="23">
        <f>-Rev_Exp!R106</f>
        <v>-63.333333333333336</v>
      </c>
      <c r="S29" s="23">
        <f>-Rev_Exp!S106</f>
        <v>-65</v>
      </c>
      <c r="T29" s="23">
        <f>-Rev_Exp!T106</f>
        <v>-66.666666666666671</v>
      </c>
      <c r="U29" s="23">
        <f>-Rev_Exp!U106</f>
        <v>-68.333333333333343</v>
      </c>
      <c r="V29" s="23">
        <f>-Rev_Exp!V106</f>
        <v>-70</v>
      </c>
      <c r="W29" s="23">
        <f>-Rev_Exp!W106</f>
        <v>-71.666666666666671</v>
      </c>
      <c r="X29" s="23">
        <f>-Rev_Exp!X106</f>
        <v>-73.333333333333343</v>
      </c>
      <c r="Y29" s="23">
        <f>-Rev_Exp!Y106</f>
        <v>-75</v>
      </c>
      <c r="Z29" s="23">
        <f>-Rev_Exp!Z106</f>
        <v>-76.666666666666671</v>
      </c>
      <c r="AA29" s="23">
        <f>-Rev_Exp!AA106</f>
        <v>-78.333333333333343</v>
      </c>
      <c r="AB29" s="23">
        <f>-Rev_Exp!AB106</f>
        <v>-80</v>
      </c>
      <c r="AC29" s="23">
        <f>-Rev_Exp!AC106</f>
        <v>-81.666666666666671</v>
      </c>
      <c r="AD29" s="23">
        <f>-Rev_Exp!AD106</f>
        <v>-83.333333333333343</v>
      </c>
      <c r="AE29" s="23">
        <f>-Rev_Exp!AE106</f>
        <v>-85</v>
      </c>
      <c r="AF29" s="23">
        <f>-Rev_Exp!AF106</f>
        <v>-86.666666666666671</v>
      </c>
      <c r="AG29" s="23">
        <f>-Rev_Exp!AG106</f>
        <v>-88.333333333333343</v>
      </c>
      <c r="AH29" s="23">
        <f>-Rev_Exp!AH106</f>
        <v>-90</v>
      </c>
      <c r="AI29" s="23">
        <f>-Rev_Exp!AI106</f>
        <v>-91.666666666666671</v>
      </c>
      <c r="AJ29" s="23">
        <f>-Rev_Exp!AJ106</f>
        <v>-93.333333333333343</v>
      </c>
      <c r="AK29" s="23">
        <f>-Rev_Exp!AK106</f>
        <v>-95</v>
      </c>
      <c r="AL29" s="23">
        <f>-Rev_Exp!AL106</f>
        <v>-96.666666666666671</v>
      </c>
      <c r="AM29" s="23">
        <f>-Rev_Exp!AM106</f>
        <v>-98.333333333333343</v>
      </c>
      <c r="AN29" s="23">
        <f>-Rev_Exp!AN106</f>
        <v>-100</v>
      </c>
      <c r="AO29" s="23">
        <f>-Rev_Exp!AO106</f>
        <v>-101.66666666666667</v>
      </c>
      <c r="AP29" s="23">
        <f>-Rev_Exp!AP106</f>
        <v>-103.33333333333334</v>
      </c>
      <c r="AQ29" s="23">
        <f>-Rev_Exp!AQ106</f>
        <v>-105</v>
      </c>
      <c r="AR29" s="23">
        <f>-Rev_Exp!AR106</f>
        <v>-106.66666666666667</v>
      </c>
      <c r="AS29" s="23">
        <f>-Rev_Exp!AS106</f>
        <v>-108.33333333333334</v>
      </c>
    </row>
    <row r="30" spans="2:45" hidden="1" outlineLevel="2" collapsed="1" x14ac:dyDescent="0.15">
      <c r="B30" s="107" t="str">
        <f>Rev_Exp!B107</f>
        <v>Discounts (Gift Cards)</v>
      </c>
      <c r="J30" s="24">
        <f>-Rev_Exp!J107</f>
        <v>-34.734867096774195</v>
      </c>
      <c r="K30" s="24">
        <f>-Rev_Exp!K107</f>
        <v>-63.939631559999988</v>
      </c>
      <c r="L30" s="24">
        <f>-Rev_Exp!L107</f>
        <v>-66.546122322580658</v>
      </c>
      <c r="M30" s="24">
        <f>-Rev_Exp!M107</f>
        <v>-81.500033999999999</v>
      </c>
      <c r="N30" s="24">
        <f>-Rev_Exp!N107</f>
        <v>-27.577545212903217</v>
      </c>
      <c r="O30" s="24">
        <f>-Rev_Exp!O107</f>
        <v>-60.543239806451609</v>
      </c>
      <c r="P30" s="24">
        <f>-Rev_Exp!P107</f>
        <v>-66.120364800000004</v>
      </c>
      <c r="Q30" s="24">
        <f>-Rev_Exp!Q107</f>
        <v>-65.541072890322582</v>
      </c>
      <c r="R30" s="24">
        <f>-Rev_Exp!R107</f>
        <v>-49.384559840000001</v>
      </c>
      <c r="S30" s="24">
        <f>-Rev_Exp!S107</f>
        <v>-60.309754490322568</v>
      </c>
      <c r="T30" s="24">
        <f>-Rev_Exp!T107</f>
        <v>-59.090080000000007</v>
      </c>
      <c r="U30" s="24">
        <f>-Rev_Exp!U107</f>
        <v>-53.187536206451611</v>
      </c>
      <c r="V30" s="24">
        <f>-Rev_Exp!V107</f>
        <v>-46.514517677419356</v>
      </c>
      <c r="W30" s="24">
        <f>-Rev_Exp!W107</f>
        <v>-88.690456679999997</v>
      </c>
      <c r="X30" s="24">
        <f>-Rev_Exp!X107</f>
        <v>-95.660050838709665</v>
      </c>
      <c r="Y30" s="24">
        <f>-Rev_Exp!Y107</f>
        <v>-106.08475499999999</v>
      </c>
      <c r="Z30" s="24">
        <f>-Rev_Exp!Z107</f>
        <v>-39.087501058064511</v>
      </c>
      <c r="AA30" s="24">
        <f>-Rev_Exp!AA107</f>
        <v>-81.300922025806443</v>
      </c>
      <c r="AB30" s="24">
        <f>-Rev_Exp!AB107</f>
        <v>-83.962367999999998</v>
      </c>
      <c r="AC30" s="24">
        <f>-Rev_Exp!AC107</f>
        <v>-86.797637070967752</v>
      </c>
      <c r="AD30" s="24">
        <f>-Rev_Exp!AD107</f>
        <v>-64.979684000000006</v>
      </c>
      <c r="AE30" s="24">
        <f>-Rev_Exp!AE107</f>
        <v>-75.437619329032259</v>
      </c>
      <c r="AF30" s="24">
        <f>-Rev_Exp!AF107</f>
        <v>-80.657959200000008</v>
      </c>
      <c r="AG30" s="24">
        <f>-Rev_Exp!AG107</f>
        <v>-68.754619974193531</v>
      </c>
      <c r="AH30" s="24">
        <f>-Rev_Exp!AH107</f>
        <v>-57.085998967741943</v>
      </c>
      <c r="AI30" s="24">
        <f>-Rev_Exp!AI107</f>
        <v>-118.84324760000001</v>
      </c>
      <c r="AJ30" s="24">
        <f>-Rev_Exp!AJ107</f>
        <v>-121.74915561290324</v>
      </c>
      <c r="AK30" s="24">
        <f>-Rev_Exp!AK107</f>
        <v>-120.96000000000001</v>
      </c>
      <c r="AL30" s="24">
        <f>-Rev_Exp!AL107</f>
        <v>-51.524433212903205</v>
      </c>
      <c r="AM30" s="24">
        <f>-Rev_Exp!AM107</f>
        <v>-97.621273625806467</v>
      </c>
      <c r="AN30" s="24">
        <f>-Rev_Exp!AN107</f>
        <v>-104.95295999999999</v>
      </c>
      <c r="AO30" s="24">
        <f>-Rev_Exp!AO107</f>
        <v>-113.19963940645162</v>
      </c>
      <c r="AP30" s="24">
        <f>-Rev_Exp!AP107</f>
        <v>-80.574808160000003</v>
      </c>
      <c r="AQ30" s="24">
        <f>-Rev_Exp!AQ107</f>
        <v>-88.951845251612909</v>
      </c>
      <c r="AR30" s="24">
        <f>-Rev_Exp!AR107</f>
        <v>-103.99854080000001</v>
      </c>
      <c r="AS30" s="24">
        <f>-Rev_Exp!AS107</f>
        <v>-84.32170374193548</v>
      </c>
    </row>
    <row r="31" spans="2:45" outlineLevel="1" collapsed="1" x14ac:dyDescent="0.15">
      <c r="B31" s="107" t="str">
        <f>"Total "&amp;B27</f>
        <v>Total Cost of Goods Sold</v>
      </c>
      <c r="J31" s="14">
        <f t="shared" ref="J31:AS31" si="12">SUM(J28:J30)</f>
        <v>-854.31486709677404</v>
      </c>
      <c r="K31" s="14">
        <f t="shared" si="12"/>
        <v>-818.26629822666655</v>
      </c>
      <c r="L31" s="14">
        <f t="shared" si="12"/>
        <v>-855.99945565591406</v>
      </c>
      <c r="M31" s="14">
        <f t="shared" si="12"/>
        <v>-872.62003400000003</v>
      </c>
      <c r="N31" s="14">
        <f t="shared" si="12"/>
        <v>-786.90421187956986</v>
      </c>
      <c r="O31" s="14">
        <f t="shared" si="12"/>
        <v>-888.45657313978484</v>
      </c>
      <c r="P31" s="14">
        <f t="shared" si="12"/>
        <v>-828.78036479999992</v>
      </c>
      <c r="Q31" s="14">
        <f t="shared" si="12"/>
        <v>-829.86773955698914</v>
      </c>
      <c r="R31" s="14">
        <f t="shared" si="12"/>
        <v>-848.83789317333333</v>
      </c>
      <c r="S31" s="14">
        <f t="shared" si="12"/>
        <v>-894.88975449032239</v>
      </c>
      <c r="T31" s="14">
        <f t="shared" si="12"/>
        <v>-794.95674666666662</v>
      </c>
      <c r="U31" s="14">
        <f t="shared" si="12"/>
        <v>-891.10086953978475</v>
      </c>
      <c r="V31" s="14">
        <f t="shared" si="12"/>
        <v>-957.79451767741932</v>
      </c>
      <c r="W31" s="14">
        <f t="shared" si="12"/>
        <v>-963.3971233466666</v>
      </c>
      <c r="X31" s="14">
        <f t="shared" si="12"/>
        <v>-1048.5133841720428</v>
      </c>
      <c r="Y31" s="14">
        <f t="shared" si="12"/>
        <v>-984.12475499999994</v>
      </c>
      <c r="Z31" s="14">
        <f t="shared" si="12"/>
        <v>-957.03416772473111</v>
      </c>
      <c r="AA31" s="14">
        <f t="shared" si="12"/>
        <v>-1039.1542553591396</v>
      </c>
      <c r="AB31" s="14">
        <f t="shared" si="12"/>
        <v>-928.76236799999992</v>
      </c>
      <c r="AC31" s="14">
        <f t="shared" si="12"/>
        <v>-1071.8843037376344</v>
      </c>
      <c r="AD31" s="14">
        <f t="shared" si="12"/>
        <v>-1094.7530173333332</v>
      </c>
      <c r="AE31" s="14">
        <f t="shared" si="12"/>
        <v>-1106.8776193290323</v>
      </c>
      <c r="AF31" s="14">
        <f t="shared" si="12"/>
        <v>-1070.7446258666666</v>
      </c>
      <c r="AG31" s="14">
        <f t="shared" si="12"/>
        <v>-1146.5479533075268</v>
      </c>
      <c r="AH31" s="14">
        <f t="shared" si="12"/>
        <v>-1050.505998967742</v>
      </c>
      <c r="AI31" s="14">
        <f t="shared" si="12"/>
        <v>-1156.9499142666666</v>
      </c>
      <c r="AJ31" s="14">
        <f t="shared" si="12"/>
        <v>-1204.5424889462365</v>
      </c>
      <c r="AK31" s="14">
        <f t="shared" si="12"/>
        <v>-1076.3599999999999</v>
      </c>
      <c r="AL31" s="14">
        <f t="shared" si="12"/>
        <v>-1137.6510998795698</v>
      </c>
      <c r="AM31" s="14">
        <f t="shared" si="12"/>
        <v>-1247.5546069591396</v>
      </c>
      <c r="AN31" s="14">
        <f t="shared" si="12"/>
        <v>-1160.9529600000001</v>
      </c>
      <c r="AO31" s="14">
        <f t="shared" si="12"/>
        <v>-1266.4663060731182</v>
      </c>
      <c r="AP31" s="14">
        <f t="shared" si="12"/>
        <v>-1235.5081414933331</v>
      </c>
      <c r="AQ31" s="14">
        <f t="shared" si="12"/>
        <v>-1197.7518452516128</v>
      </c>
      <c r="AR31" s="14">
        <f t="shared" si="12"/>
        <v>-1262.2652074666667</v>
      </c>
      <c r="AS31" s="14">
        <f t="shared" si="12"/>
        <v>-1292.0550370752685</v>
      </c>
    </row>
    <row r="32" spans="2:45" hidden="1" outlineLevel="2" x14ac:dyDescent="0.15"/>
    <row r="33" spans="2:45" outlineLevel="1" collapsed="1" x14ac:dyDescent="0.15">
      <c r="B33" s="16" t="s">
        <v>66</v>
      </c>
      <c r="J33" s="18">
        <f t="shared" ref="J33:AS33" si="13">J25+J31</f>
        <v>2516.747068387097</v>
      </c>
      <c r="K33" s="18">
        <f t="shared" si="13"/>
        <v>4642.1835751066656</v>
      </c>
      <c r="L33" s="18">
        <f t="shared" si="13"/>
        <v>4802.2949959569896</v>
      </c>
      <c r="M33" s="18">
        <f t="shared" si="13"/>
        <v>5865.477632666667</v>
      </c>
      <c r="N33" s="18">
        <f t="shared" si="13"/>
        <v>2111.2537795182789</v>
      </c>
      <c r="O33" s="18">
        <f t="shared" si="13"/>
        <v>4376.0605558924726</v>
      </c>
      <c r="P33" s="18">
        <f t="shared" si="13"/>
        <v>5245.7695018666673</v>
      </c>
      <c r="Q33" s="18">
        <f t="shared" si="13"/>
        <v>5214.9708002279567</v>
      </c>
      <c r="R33" s="18">
        <f t="shared" si="13"/>
        <v>4053.630666826667</v>
      </c>
      <c r="S33" s="18">
        <f t="shared" si="13"/>
        <v>4799.6165186279568</v>
      </c>
      <c r="T33" s="18">
        <f t="shared" si="13"/>
        <v>4824.0965866666666</v>
      </c>
      <c r="U33" s="18">
        <f t="shared" si="13"/>
        <v>4318.0088594924728</v>
      </c>
      <c r="V33" s="18">
        <f t="shared" si="13"/>
        <v>3786.3376973763443</v>
      </c>
      <c r="W33" s="18">
        <f t="shared" si="13"/>
        <v>6804.9688299866666</v>
      </c>
      <c r="X33" s="18">
        <f t="shared" si="13"/>
        <v>7229.347390021504</v>
      </c>
      <c r="Y33" s="18">
        <f t="shared" si="13"/>
        <v>8050.0244116666663</v>
      </c>
      <c r="Z33" s="18">
        <f t="shared" si="13"/>
        <v>3303.2635268989238</v>
      </c>
      <c r="AA33" s="18">
        <f t="shared" si="13"/>
        <v>6248.0544607698921</v>
      </c>
      <c r="AB33" s="18">
        <f t="shared" si="13"/>
        <v>6960.2162986666672</v>
      </c>
      <c r="AC33" s="18">
        <f t="shared" si="13"/>
        <v>7031.2802489505375</v>
      </c>
      <c r="AD33" s="18">
        <f t="shared" si="13"/>
        <v>5461.6529826666665</v>
      </c>
      <c r="AE33" s="18">
        <f t="shared" si="13"/>
        <v>6208.1904279827959</v>
      </c>
      <c r="AF33" s="18">
        <f t="shared" si="13"/>
        <v>6628.871507466667</v>
      </c>
      <c r="AG33" s="18">
        <f t="shared" si="13"/>
        <v>5714.4963305634401</v>
      </c>
      <c r="AH33" s="18">
        <f t="shared" si="13"/>
        <v>4988.7320225376352</v>
      </c>
      <c r="AI33" s="18">
        <f t="shared" si="13"/>
        <v>9305.1868190666682</v>
      </c>
      <c r="AJ33" s="18">
        <f t="shared" si="13"/>
        <v>9476.8257691182807</v>
      </c>
      <c r="AK33" s="18">
        <f t="shared" si="13"/>
        <v>9560.3066666666655</v>
      </c>
      <c r="AL33" s="18">
        <f t="shared" si="13"/>
        <v>4550.9988915182785</v>
      </c>
      <c r="AM33" s="18">
        <f t="shared" si="13"/>
        <v>7745.3935091698932</v>
      </c>
      <c r="AN33" s="18">
        <f t="shared" si="13"/>
        <v>8367.3537066666668</v>
      </c>
      <c r="AO33" s="18">
        <f t="shared" si="13"/>
        <v>8862.5555562924746</v>
      </c>
      <c r="AP33" s="18">
        <f t="shared" si="13"/>
        <v>6574.8352985066676</v>
      </c>
      <c r="AQ33" s="18">
        <f t="shared" si="13"/>
        <v>7222.618053673119</v>
      </c>
      <c r="AR33" s="18">
        <f t="shared" si="13"/>
        <v>8244.5353258666692</v>
      </c>
      <c r="AS33" s="18">
        <f t="shared" si="13"/>
        <v>6820.9238016344079</v>
      </c>
    </row>
    <row r="34" spans="2:45" outlineLevel="2" x14ac:dyDescent="0.15"/>
    <row r="35" spans="2:45" outlineLevel="2" x14ac:dyDescent="0.15">
      <c r="B35" s="16" t="s">
        <v>71</v>
      </c>
    </row>
    <row r="36" spans="2:45" outlineLevel="2" x14ac:dyDescent="0.15">
      <c r="B36" s="107" t="str">
        <f>Rev_Exp!B180</f>
        <v>Grant Income A</v>
      </c>
      <c r="J36" s="23">
        <f>Rev_Exp!J180</f>
        <v>0</v>
      </c>
      <c r="K36" s="23">
        <f>Rev_Exp!K180</f>
        <v>0</v>
      </c>
      <c r="L36" s="23">
        <f>Rev_Exp!L180</f>
        <v>0</v>
      </c>
      <c r="M36" s="23">
        <f>Rev_Exp!M180</f>
        <v>0</v>
      </c>
      <c r="N36" s="23">
        <f>Rev_Exp!N180</f>
        <v>0</v>
      </c>
      <c r="O36" s="23">
        <f>Rev_Exp!O180</f>
        <v>0</v>
      </c>
      <c r="P36" s="23">
        <f>Rev_Exp!P180</f>
        <v>0</v>
      </c>
      <c r="Q36" s="23">
        <f>Rev_Exp!Q180</f>
        <v>0</v>
      </c>
      <c r="R36" s="23">
        <f>Rev_Exp!R180</f>
        <v>0</v>
      </c>
      <c r="S36" s="23">
        <f>Rev_Exp!S180</f>
        <v>0</v>
      </c>
      <c r="T36" s="23">
        <f>Rev_Exp!T180</f>
        <v>0</v>
      </c>
      <c r="U36" s="23">
        <f>Rev_Exp!U180</f>
        <v>0</v>
      </c>
      <c r="V36" s="23">
        <f>Rev_Exp!V180</f>
        <v>0</v>
      </c>
      <c r="W36" s="23">
        <f>Rev_Exp!W180</f>
        <v>0</v>
      </c>
      <c r="X36" s="23">
        <f>Rev_Exp!X180</f>
        <v>0</v>
      </c>
      <c r="Y36" s="23">
        <f>Rev_Exp!Y180</f>
        <v>0</v>
      </c>
      <c r="Z36" s="23">
        <f>Rev_Exp!Z180</f>
        <v>0</v>
      </c>
      <c r="AA36" s="23">
        <f>Rev_Exp!AA180</f>
        <v>0</v>
      </c>
      <c r="AB36" s="23">
        <f>Rev_Exp!AB180</f>
        <v>0</v>
      </c>
      <c r="AC36" s="23">
        <f>Rev_Exp!AC180</f>
        <v>0</v>
      </c>
      <c r="AD36" s="23">
        <f>Rev_Exp!AD180</f>
        <v>0</v>
      </c>
      <c r="AE36" s="23">
        <f>Rev_Exp!AE180</f>
        <v>0</v>
      </c>
      <c r="AF36" s="23">
        <f>Rev_Exp!AF180</f>
        <v>0</v>
      </c>
      <c r="AG36" s="23">
        <f>Rev_Exp!AG180</f>
        <v>0</v>
      </c>
      <c r="AH36" s="23">
        <f>Rev_Exp!AH180</f>
        <v>0</v>
      </c>
      <c r="AI36" s="23">
        <f>Rev_Exp!AI180</f>
        <v>0</v>
      </c>
      <c r="AJ36" s="23">
        <f>Rev_Exp!AJ180</f>
        <v>0</v>
      </c>
      <c r="AK36" s="23">
        <f>Rev_Exp!AK180</f>
        <v>0</v>
      </c>
      <c r="AL36" s="23">
        <f>Rev_Exp!AL180</f>
        <v>0</v>
      </c>
      <c r="AM36" s="23">
        <f>Rev_Exp!AM180</f>
        <v>0</v>
      </c>
      <c r="AN36" s="23">
        <f>Rev_Exp!AN180</f>
        <v>0</v>
      </c>
      <c r="AO36" s="23">
        <f>Rev_Exp!AO180</f>
        <v>0</v>
      </c>
      <c r="AP36" s="23">
        <f>Rev_Exp!AP180</f>
        <v>0</v>
      </c>
      <c r="AQ36" s="23">
        <f>Rev_Exp!AQ180</f>
        <v>0</v>
      </c>
      <c r="AR36" s="23">
        <f>Rev_Exp!AR180</f>
        <v>0</v>
      </c>
      <c r="AS36" s="23">
        <f>Rev_Exp!AS180</f>
        <v>0</v>
      </c>
    </row>
    <row r="37" spans="2:45" outlineLevel="2" x14ac:dyDescent="0.15">
      <c r="B37" s="107" t="str">
        <f>Rev_Exp!B181</f>
        <v>Grant Income B</v>
      </c>
      <c r="J37" s="24">
        <f>Rev_Exp!J181</f>
        <v>0</v>
      </c>
      <c r="K37" s="24">
        <f>Rev_Exp!K181</f>
        <v>0</v>
      </c>
      <c r="L37" s="24">
        <f>Rev_Exp!L181</f>
        <v>0</v>
      </c>
      <c r="M37" s="24">
        <f>Rev_Exp!M181</f>
        <v>0</v>
      </c>
      <c r="N37" s="24">
        <f>Rev_Exp!N181</f>
        <v>0</v>
      </c>
      <c r="O37" s="24">
        <f>Rev_Exp!O181</f>
        <v>0</v>
      </c>
      <c r="P37" s="24">
        <f>Rev_Exp!P181</f>
        <v>0</v>
      </c>
      <c r="Q37" s="24">
        <f>Rev_Exp!Q181</f>
        <v>0</v>
      </c>
      <c r="R37" s="24">
        <f>Rev_Exp!R181</f>
        <v>0</v>
      </c>
      <c r="S37" s="24">
        <f>Rev_Exp!S181</f>
        <v>0</v>
      </c>
      <c r="T37" s="24">
        <f>Rev_Exp!T181</f>
        <v>0</v>
      </c>
      <c r="U37" s="24">
        <f>Rev_Exp!U181</f>
        <v>0</v>
      </c>
      <c r="V37" s="24">
        <f>Rev_Exp!V181</f>
        <v>0</v>
      </c>
      <c r="W37" s="24">
        <f>Rev_Exp!W181</f>
        <v>0</v>
      </c>
      <c r="X37" s="24">
        <f>Rev_Exp!X181</f>
        <v>0</v>
      </c>
      <c r="Y37" s="24">
        <f>Rev_Exp!Y181</f>
        <v>0</v>
      </c>
      <c r="Z37" s="24">
        <f>Rev_Exp!Z181</f>
        <v>0</v>
      </c>
      <c r="AA37" s="24">
        <f>Rev_Exp!AA181</f>
        <v>0</v>
      </c>
      <c r="AB37" s="24">
        <f>Rev_Exp!AB181</f>
        <v>0</v>
      </c>
      <c r="AC37" s="24">
        <f>Rev_Exp!AC181</f>
        <v>0</v>
      </c>
      <c r="AD37" s="24">
        <f>Rev_Exp!AD181</f>
        <v>0</v>
      </c>
      <c r="AE37" s="24">
        <f>Rev_Exp!AE181</f>
        <v>0</v>
      </c>
      <c r="AF37" s="24">
        <f>Rev_Exp!AF181</f>
        <v>0</v>
      </c>
      <c r="AG37" s="24">
        <f>Rev_Exp!AG181</f>
        <v>0</v>
      </c>
      <c r="AH37" s="24">
        <f>Rev_Exp!AH181</f>
        <v>0</v>
      </c>
      <c r="AI37" s="24">
        <f>Rev_Exp!AI181</f>
        <v>0</v>
      </c>
      <c r="AJ37" s="24">
        <f>Rev_Exp!AJ181</f>
        <v>0</v>
      </c>
      <c r="AK37" s="24">
        <f>Rev_Exp!AK181</f>
        <v>0</v>
      </c>
      <c r="AL37" s="24">
        <f>Rev_Exp!AL181</f>
        <v>0</v>
      </c>
      <c r="AM37" s="24">
        <f>Rev_Exp!AM181</f>
        <v>0</v>
      </c>
      <c r="AN37" s="24">
        <f>Rev_Exp!AN181</f>
        <v>0</v>
      </c>
      <c r="AO37" s="24">
        <f>Rev_Exp!AO181</f>
        <v>0</v>
      </c>
      <c r="AP37" s="24">
        <f>Rev_Exp!AP181</f>
        <v>0</v>
      </c>
      <c r="AQ37" s="24">
        <f>Rev_Exp!AQ181</f>
        <v>0</v>
      </c>
      <c r="AR37" s="24">
        <f>Rev_Exp!AR181</f>
        <v>0</v>
      </c>
      <c r="AS37" s="24">
        <f>Rev_Exp!AS181</f>
        <v>0</v>
      </c>
    </row>
    <row r="38" spans="2:45" outlineLevel="2" x14ac:dyDescent="0.15">
      <c r="B38" s="107" t="s">
        <v>632</v>
      </c>
      <c r="J38" s="14">
        <f t="shared" ref="J38:AS38" si="14">SUM(J36:J37)</f>
        <v>0</v>
      </c>
      <c r="K38" s="14">
        <f t="shared" si="14"/>
        <v>0</v>
      </c>
      <c r="L38" s="14">
        <f t="shared" si="14"/>
        <v>0</v>
      </c>
      <c r="M38" s="14">
        <f t="shared" si="14"/>
        <v>0</v>
      </c>
      <c r="N38" s="14">
        <f t="shared" si="14"/>
        <v>0</v>
      </c>
      <c r="O38" s="14">
        <f t="shared" si="14"/>
        <v>0</v>
      </c>
      <c r="P38" s="14">
        <f t="shared" si="14"/>
        <v>0</v>
      </c>
      <c r="Q38" s="14">
        <f t="shared" si="14"/>
        <v>0</v>
      </c>
      <c r="R38" s="14">
        <f t="shared" si="14"/>
        <v>0</v>
      </c>
      <c r="S38" s="14">
        <f t="shared" si="14"/>
        <v>0</v>
      </c>
      <c r="T38" s="14">
        <f t="shared" si="14"/>
        <v>0</v>
      </c>
      <c r="U38" s="14">
        <f t="shared" si="14"/>
        <v>0</v>
      </c>
      <c r="V38" s="14">
        <f t="shared" si="14"/>
        <v>0</v>
      </c>
      <c r="W38" s="14">
        <f t="shared" si="14"/>
        <v>0</v>
      </c>
      <c r="X38" s="14">
        <f t="shared" si="14"/>
        <v>0</v>
      </c>
      <c r="Y38" s="14">
        <f t="shared" si="14"/>
        <v>0</v>
      </c>
      <c r="Z38" s="14">
        <f t="shared" si="14"/>
        <v>0</v>
      </c>
      <c r="AA38" s="14">
        <f t="shared" si="14"/>
        <v>0</v>
      </c>
      <c r="AB38" s="14">
        <f t="shared" si="14"/>
        <v>0</v>
      </c>
      <c r="AC38" s="14">
        <f t="shared" si="14"/>
        <v>0</v>
      </c>
      <c r="AD38" s="14">
        <f t="shared" si="14"/>
        <v>0</v>
      </c>
      <c r="AE38" s="14">
        <f t="shared" si="14"/>
        <v>0</v>
      </c>
      <c r="AF38" s="14">
        <f t="shared" si="14"/>
        <v>0</v>
      </c>
      <c r="AG38" s="14">
        <f t="shared" si="14"/>
        <v>0</v>
      </c>
      <c r="AH38" s="14">
        <f t="shared" si="14"/>
        <v>0</v>
      </c>
      <c r="AI38" s="14">
        <f t="shared" si="14"/>
        <v>0</v>
      </c>
      <c r="AJ38" s="14">
        <f t="shared" si="14"/>
        <v>0</v>
      </c>
      <c r="AK38" s="14">
        <f t="shared" si="14"/>
        <v>0</v>
      </c>
      <c r="AL38" s="14">
        <f t="shared" si="14"/>
        <v>0</v>
      </c>
      <c r="AM38" s="14">
        <f t="shared" si="14"/>
        <v>0</v>
      </c>
      <c r="AN38" s="14">
        <f t="shared" si="14"/>
        <v>0</v>
      </c>
      <c r="AO38" s="14">
        <f t="shared" si="14"/>
        <v>0</v>
      </c>
      <c r="AP38" s="14">
        <f t="shared" si="14"/>
        <v>0</v>
      </c>
      <c r="AQ38" s="14">
        <f t="shared" si="14"/>
        <v>0</v>
      </c>
      <c r="AR38" s="14">
        <f t="shared" si="14"/>
        <v>0</v>
      </c>
      <c r="AS38" s="14">
        <f t="shared" si="14"/>
        <v>0</v>
      </c>
    </row>
    <row r="39" spans="2:45" ht="6" customHeight="1" outlineLevel="2" x14ac:dyDescent="0.15"/>
    <row r="40" spans="2:45" outlineLevel="2" x14ac:dyDescent="0.15">
      <c r="B40" s="107" t="str">
        <f>Rev_Exp!B151</f>
        <v>Rent</v>
      </c>
      <c r="J40" s="23">
        <f>-Rev_Exp!J151</f>
        <v>-5833.3333333333339</v>
      </c>
      <c r="K40" s="23">
        <f>-Rev_Exp!K151</f>
        <v>-5833.3333333333339</v>
      </c>
      <c r="L40" s="23">
        <f>-Rev_Exp!L151</f>
        <v>-5833.3333333333339</v>
      </c>
      <c r="M40" s="23">
        <f>-Rev_Exp!M151</f>
        <v>-5833.3333333333339</v>
      </c>
      <c r="N40" s="23">
        <f>-Rev_Exp!N151</f>
        <v>-5833.3333333333339</v>
      </c>
      <c r="O40" s="23">
        <f>-Rev_Exp!O151</f>
        <v>-5833.3333333333339</v>
      </c>
      <c r="P40" s="23">
        <f>-Rev_Exp!P151</f>
        <v>-5833.3333333333339</v>
      </c>
      <c r="Q40" s="23">
        <f>-Rev_Exp!Q151</f>
        <v>-5833.3333333333339</v>
      </c>
      <c r="R40" s="23">
        <f>-Rev_Exp!R151</f>
        <v>-5833.3333333333339</v>
      </c>
      <c r="S40" s="23">
        <f>-Rev_Exp!S151</f>
        <v>-5833.3333333333339</v>
      </c>
      <c r="T40" s="23">
        <f>-Rev_Exp!T151</f>
        <v>-5833.3333333333339</v>
      </c>
      <c r="U40" s="23">
        <f>-Rev_Exp!U151</f>
        <v>-5833.3333333333339</v>
      </c>
      <c r="V40" s="23">
        <f>-Rev_Exp!V151</f>
        <v>-5833.3333333333339</v>
      </c>
      <c r="W40" s="23">
        <f>-Rev_Exp!W151</f>
        <v>-5833.3333333333339</v>
      </c>
      <c r="X40" s="23">
        <f>-Rev_Exp!X151</f>
        <v>-5833.3333333333339</v>
      </c>
      <c r="Y40" s="23">
        <f>-Rev_Exp!Y151</f>
        <v>-5833.3333333333339</v>
      </c>
      <c r="Z40" s="23">
        <f>-Rev_Exp!Z151</f>
        <v>-5833.3333333333339</v>
      </c>
      <c r="AA40" s="23">
        <f>-Rev_Exp!AA151</f>
        <v>-5833.3333333333339</v>
      </c>
      <c r="AB40" s="23">
        <f>-Rev_Exp!AB151</f>
        <v>-5833.3333333333339</v>
      </c>
      <c r="AC40" s="23">
        <f>-Rev_Exp!AC151</f>
        <v>-5833.3333333333339</v>
      </c>
      <c r="AD40" s="23">
        <f>-Rev_Exp!AD151</f>
        <v>-5833.3333333333339</v>
      </c>
      <c r="AE40" s="23">
        <f>-Rev_Exp!AE151</f>
        <v>-5833.3333333333339</v>
      </c>
      <c r="AF40" s="23">
        <f>-Rev_Exp!AF151</f>
        <v>-5833.3333333333339</v>
      </c>
      <c r="AG40" s="23">
        <f>-Rev_Exp!AG151</f>
        <v>-5833.3333333333339</v>
      </c>
      <c r="AH40" s="23">
        <f>-Rev_Exp!AH151</f>
        <v>-5833.3333333333339</v>
      </c>
      <c r="AI40" s="23">
        <f>-Rev_Exp!AI151</f>
        <v>-5833.3333333333339</v>
      </c>
      <c r="AJ40" s="23">
        <f>-Rev_Exp!AJ151</f>
        <v>-5833.3333333333339</v>
      </c>
      <c r="AK40" s="23">
        <f>-Rev_Exp!AK151</f>
        <v>-5833.3333333333339</v>
      </c>
      <c r="AL40" s="23">
        <f>-Rev_Exp!AL151</f>
        <v>-5833.3333333333339</v>
      </c>
      <c r="AM40" s="23">
        <f>-Rev_Exp!AM151</f>
        <v>-5833.3333333333339</v>
      </c>
      <c r="AN40" s="23">
        <f>-Rev_Exp!AN151</f>
        <v>-5833.3333333333339</v>
      </c>
      <c r="AO40" s="23">
        <f>-Rev_Exp!AO151</f>
        <v>-5833.3333333333339</v>
      </c>
      <c r="AP40" s="23">
        <f>-Rev_Exp!AP151</f>
        <v>-5833.3333333333339</v>
      </c>
      <c r="AQ40" s="23">
        <f>-Rev_Exp!AQ151</f>
        <v>-5833.3333333333339</v>
      </c>
      <c r="AR40" s="23">
        <f>-Rev_Exp!AR151</f>
        <v>-5833.3333333333339</v>
      </c>
      <c r="AS40" s="23">
        <f>-Rev_Exp!AS151</f>
        <v>-5833.3333333333339</v>
      </c>
    </row>
    <row r="41" spans="2:45" outlineLevel="2" collapsed="1" x14ac:dyDescent="0.15">
      <c r="B41" s="107" t="str">
        <f>Rev_Exp!B152</f>
        <v>Rates</v>
      </c>
      <c r="J41" s="14">
        <f>-Rev_Exp!J152</f>
        <v>-227.08333333333337</v>
      </c>
      <c r="K41" s="14">
        <f>-Rev_Exp!K152</f>
        <v>-227.08333333333337</v>
      </c>
      <c r="L41" s="14">
        <f>-Rev_Exp!L152</f>
        <v>-227.08333333333337</v>
      </c>
      <c r="M41" s="14">
        <f>-Rev_Exp!M152</f>
        <v>-227.08333333333337</v>
      </c>
      <c r="N41" s="14">
        <f>-Rev_Exp!N152</f>
        <v>-227.08333333333337</v>
      </c>
      <c r="O41" s="14">
        <f>-Rev_Exp!O152</f>
        <v>-227.08333333333337</v>
      </c>
      <c r="P41" s="14">
        <f>-Rev_Exp!P152</f>
        <v>-227.08333333333337</v>
      </c>
      <c r="Q41" s="14">
        <f>-Rev_Exp!Q152</f>
        <v>-227.08333333333337</v>
      </c>
      <c r="R41" s="14">
        <f>-Rev_Exp!R152</f>
        <v>-227.08333333333337</v>
      </c>
      <c r="S41" s="14">
        <f>-Rev_Exp!S152</f>
        <v>-227.08333333333337</v>
      </c>
      <c r="T41" s="14">
        <f>-Rev_Exp!T152</f>
        <v>-227.08333333333337</v>
      </c>
      <c r="U41" s="14">
        <f>-Rev_Exp!U152</f>
        <v>-227.08333333333337</v>
      </c>
      <c r="V41" s="14">
        <f>-Rev_Exp!V152</f>
        <v>-227.08333333333337</v>
      </c>
      <c r="W41" s="14">
        <f>-Rev_Exp!W152</f>
        <v>-227.08333333333337</v>
      </c>
      <c r="X41" s="14">
        <f>-Rev_Exp!X152</f>
        <v>-227.08333333333337</v>
      </c>
      <c r="Y41" s="14">
        <f>-Rev_Exp!Y152</f>
        <v>-227.08333333333337</v>
      </c>
      <c r="Z41" s="14">
        <f>-Rev_Exp!Z152</f>
        <v>-227.08333333333337</v>
      </c>
      <c r="AA41" s="14">
        <f>-Rev_Exp!AA152</f>
        <v>-227.08333333333337</v>
      </c>
      <c r="AB41" s="14">
        <f>-Rev_Exp!AB152</f>
        <v>-227.08333333333337</v>
      </c>
      <c r="AC41" s="14">
        <f>-Rev_Exp!AC152</f>
        <v>-227.08333333333337</v>
      </c>
      <c r="AD41" s="14">
        <f>-Rev_Exp!AD152</f>
        <v>-227.08333333333337</v>
      </c>
      <c r="AE41" s="14">
        <f>-Rev_Exp!AE152</f>
        <v>-227.08333333333337</v>
      </c>
      <c r="AF41" s="14">
        <f>-Rev_Exp!AF152</f>
        <v>-227.08333333333337</v>
      </c>
      <c r="AG41" s="14">
        <f>-Rev_Exp!AG152</f>
        <v>-227.08333333333337</v>
      </c>
      <c r="AH41" s="14">
        <f>-Rev_Exp!AH152</f>
        <v>-227.08333333333337</v>
      </c>
      <c r="AI41" s="14">
        <f>-Rev_Exp!AI152</f>
        <v>-227.08333333333337</v>
      </c>
      <c r="AJ41" s="14">
        <f>-Rev_Exp!AJ152</f>
        <v>-227.08333333333337</v>
      </c>
      <c r="AK41" s="14">
        <f>-Rev_Exp!AK152</f>
        <v>-227.08333333333337</v>
      </c>
      <c r="AL41" s="14">
        <f>-Rev_Exp!AL152</f>
        <v>-227.08333333333337</v>
      </c>
      <c r="AM41" s="14">
        <f>-Rev_Exp!AM152</f>
        <v>-227.08333333333337</v>
      </c>
      <c r="AN41" s="14">
        <f>-Rev_Exp!AN152</f>
        <v>-227.08333333333337</v>
      </c>
      <c r="AO41" s="14">
        <f>-Rev_Exp!AO152</f>
        <v>-227.08333333333337</v>
      </c>
      <c r="AP41" s="14">
        <f>-Rev_Exp!AP152</f>
        <v>-227.08333333333337</v>
      </c>
      <c r="AQ41" s="14">
        <f>-Rev_Exp!AQ152</f>
        <v>-227.08333333333337</v>
      </c>
      <c r="AR41" s="14">
        <f>-Rev_Exp!AR152</f>
        <v>-227.08333333333337</v>
      </c>
      <c r="AS41" s="14">
        <f>-Rev_Exp!AS152</f>
        <v>-227.08333333333337</v>
      </c>
    </row>
    <row r="42" spans="2:45" outlineLevel="2" x14ac:dyDescent="0.15">
      <c r="B42" s="107" t="str">
        <f>Rev_Exp!B153</f>
        <v>Staff Cost</v>
      </c>
      <c r="J42" s="14">
        <f>-Rev_Exp!J153</f>
        <v>0</v>
      </c>
      <c r="K42" s="14">
        <f>-Rev_Exp!K153</f>
        <v>0</v>
      </c>
      <c r="L42" s="14">
        <f>-Rev_Exp!L153</f>
        <v>0</v>
      </c>
      <c r="M42" s="14">
        <f>-Rev_Exp!M153</f>
        <v>0</v>
      </c>
      <c r="N42" s="14">
        <f>-Rev_Exp!N153</f>
        <v>0</v>
      </c>
      <c r="O42" s="14">
        <f>-Rev_Exp!O153</f>
        <v>0</v>
      </c>
      <c r="P42" s="14">
        <f>-Rev_Exp!P153</f>
        <v>-1115.1000000000001</v>
      </c>
      <c r="Q42" s="14">
        <f>-Rev_Exp!Q153</f>
        <v>-1115.1000000000001</v>
      </c>
      <c r="R42" s="14">
        <f>-Rev_Exp!R153</f>
        <v>-1168.2</v>
      </c>
      <c r="S42" s="14">
        <f>-Rev_Exp!S153</f>
        <v>-1221.3</v>
      </c>
      <c r="T42" s="14">
        <f>-Rev_Exp!T153</f>
        <v>-1062</v>
      </c>
      <c r="U42" s="14">
        <f>-Rev_Exp!U153</f>
        <v>-1221.3</v>
      </c>
      <c r="V42" s="14">
        <f>-Rev_Exp!V153</f>
        <v>-1168.2</v>
      </c>
      <c r="W42" s="14">
        <f>-Rev_Exp!W153</f>
        <v>-1115.1000000000001</v>
      </c>
      <c r="X42" s="14">
        <f>-Rev_Exp!X153</f>
        <v>-1221.3</v>
      </c>
      <c r="Y42" s="14">
        <f>-Rev_Exp!Y153</f>
        <v>-1115.1000000000001</v>
      </c>
      <c r="Z42" s="14">
        <f>-Rev_Exp!Z153</f>
        <v>-1168.2</v>
      </c>
      <c r="AA42" s="14">
        <f>-Rev_Exp!AA153</f>
        <v>-1221.3</v>
      </c>
      <c r="AB42" s="14">
        <f>-Rev_Exp!AB153</f>
        <v>-1062</v>
      </c>
      <c r="AC42" s="14">
        <f>-Rev_Exp!AC153</f>
        <v>-1115.1000000000001</v>
      </c>
      <c r="AD42" s="14">
        <f>-Rev_Exp!AD153</f>
        <v>-1168.2</v>
      </c>
      <c r="AE42" s="14">
        <f>-Rev_Exp!AE153</f>
        <v>-1168.2</v>
      </c>
      <c r="AF42" s="14">
        <f>-Rev_Exp!AF153</f>
        <v>-1115.1000000000001</v>
      </c>
      <c r="AG42" s="14">
        <f>-Rev_Exp!AG153</f>
        <v>-1221.3</v>
      </c>
      <c r="AH42" s="14">
        <f>-Rev_Exp!AH153</f>
        <v>-1115.1000000000001</v>
      </c>
      <c r="AI42" s="14">
        <f>-Rev_Exp!AI153</f>
        <v>-1168.2</v>
      </c>
      <c r="AJ42" s="14">
        <f>-Rev_Exp!AJ153</f>
        <v>-1221.3</v>
      </c>
      <c r="AK42" s="14">
        <f>-Rev_Exp!AK153</f>
        <v>-1062</v>
      </c>
      <c r="AL42" s="14">
        <f>-Rev_Exp!AL153</f>
        <v>-1221.3</v>
      </c>
      <c r="AM42" s="14">
        <f>-Rev_Exp!AM153</f>
        <v>-1168.2</v>
      </c>
      <c r="AN42" s="14">
        <f>-Rev_Exp!AN153</f>
        <v>-1062</v>
      </c>
      <c r="AO42" s="14">
        <f>-Rev_Exp!AO153</f>
        <v>-1168.2</v>
      </c>
      <c r="AP42" s="14">
        <f>-Rev_Exp!AP153</f>
        <v>-1168.2</v>
      </c>
      <c r="AQ42" s="14">
        <f>-Rev_Exp!AQ153</f>
        <v>-1115.1000000000001</v>
      </c>
      <c r="AR42" s="14">
        <f>-Rev_Exp!AR153</f>
        <v>-1168.2</v>
      </c>
      <c r="AS42" s="14">
        <f>-Rev_Exp!AS153</f>
        <v>-1221.3</v>
      </c>
    </row>
    <row r="43" spans="2:45" outlineLevel="2" x14ac:dyDescent="0.15">
      <c r="B43" s="107" t="str">
        <f>Rev_Exp!B154</f>
        <v>Utilities</v>
      </c>
      <c r="J43" s="14">
        <f>-Rev_Exp!J154</f>
        <v>-100</v>
      </c>
      <c r="K43" s="14">
        <f>-Rev_Exp!K154</f>
        <v>-100</v>
      </c>
      <c r="L43" s="14">
        <f>-Rev_Exp!L154</f>
        <v>-100</v>
      </c>
      <c r="M43" s="14">
        <f>-Rev_Exp!M154</f>
        <v>-100</v>
      </c>
      <c r="N43" s="14">
        <f>-Rev_Exp!N154</f>
        <v>-100</v>
      </c>
      <c r="O43" s="14">
        <f>-Rev_Exp!O154</f>
        <v>-100</v>
      </c>
      <c r="P43" s="14">
        <f>-Rev_Exp!P154</f>
        <v>-100</v>
      </c>
      <c r="Q43" s="14">
        <f>-Rev_Exp!Q154</f>
        <v>-100</v>
      </c>
      <c r="R43" s="14">
        <f>-Rev_Exp!R154</f>
        <v>-100</v>
      </c>
      <c r="S43" s="14">
        <f>-Rev_Exp!S154</f>
        <v>-100</v>
      </c>
      <c r="T43" s="14">
        <f>-Rev_Exp!T154</f>
        <v>-100</v>
      </c>
      <c r="U43" s="14">
        <f>-Rev_Exp!U154</f>
        <v>-100</v>
      </c>
      <c r="V43" s="14">
        <f>-Rev_Exp!V154</f>
        <v>-100</v>
      </c>
      <c r="W43" s="14">
        <f>-Rev_Exp!W154</f>
        <v>-100</v>
      </c>
      <c r="X43" s="14">
        <f>-Rev_Exp!X154</f>
        <v>-100</v>
      </c>
      <c r="Y43" s="14">
        <f>-Rev_Exp!Y154</f>
        <v>-100</v>
      </c>
      <c r="Z43" s="14">
        <f>-Rev_Exp!Z154</f>
        <v>-100</v>
      </c>
      <c r="AA43" s="14">
        <f>-Rev_Exp!AA154</f>
        <v>-100</v>
      </c>
      <c r="AB43" s="14">
        <f>-Rev_Exp!AB154</f>
        <v>-100</v>
      </c>
      <c r="AC43" s="14">
        <f>-Rev_Exp!AC154</f>
        <v>-100</v>
      </c>
      <c r="AD43" s="14">
        <f>-Rev_Exp!AD154</f>
        <v>-100</v>
      </c>
      <c r="AE43" s="14">
        <f>-Rev_Exp!AE154</f>
        <v>-100</v>
      </c>
      <c r="AF43" s="14">
        <f>-Rev_Exp!AF154</f>
        <v>-100</v>
      </c>
      <c r="AG43" s="14">
        <f>-Rev_Exp!AG154</f>
        <v>-100</v>
      </c>
      <c r="AH43" s="14">
        <f>-Rev_Exp!AH154</f>
        <v>-100</v>
      </c>
      <c r="AI43" s="14">
        <f>-Rev_Exp!AI154</f>
        <v>-100</v>
      </c>
      <c r="AJ43" s="14">
        <f>-Rev_Exp!AJ154</f>
        <v>-100</v>
      </c>
      <c r="AK43" s="14">
        <f>-Rev_Exp!AK154</f>
        <v>-100</v>
      </c>
      <c r="AL43" s="14">
        <f>-Rev_Exp!AL154</f>
        <v>-100</v>
      </c>
      <c r="AM43" s="14">
        <f>-Rev_Exp!AM154</f>
        <v>-100</v>
      </c>
      <c r="AN43" s="14">
        <f>-Rev_Exp!AN154</f>
        <v>-100</v>
      </c>
      <c r="AO43" s="14">
        <f>-Rev_Exp!AO154</f>
        <v>-100</v>
      </c>
      <c r="AP43" s="14">
        <f>-Rev_Exp!AP154</f>
        <v>-100</v>
      </c>
      <c r="AQ43" s="14">
        <f>-Rev_Exp!AQ154</f>
        <v>-100</v>
      </c>
      <c r="AR43" s="14">
        <f>-Rev_Exp!AR154</f>
        <v>-100</v>
      </c>
      <c r="AS43" s="14">
        <f>-Rev_Exp!AS154</f>
        <v>-100</v>
      </c>
    </row>
    <row r="44" spans="2:45" outlineLevel="2" x14ac:dyDescent="0.15">
      <c r="B44" s="107" t="str">
        <f>Rev_Exp!B155</f>
        <v>Insurance</v>
      </c>
      <c r="J44" s="14">
        <f>-Rev_Exp!J155</f>
        <v>-166.66666666666666</v>
      </c>
      <c r="K44" s="14">
        <f>-Rev_Exp!K155</f>
        <v>-166.66666666666666</v>
      </c>
      <c r="L44" s="14">
        <f>-Rev_Exp!L155</f>
        <v>-166.66666666666666</v>
      </c>
      <c r="M44" s="14">
        <f>-Rev_Exp!M155</f>
        <v>-166.66666666666666</v>
      </c>
      <c r="N44" s="14">
        <f>-Rev_Exp!N155</f>
        <v>-166.66666666666666</v>
      </c>
      <c r="O44" s="14">
        <f>-Rev_Exp!O155</f>
        <v>-166.66666666666666</v>
      </c>
      <c r="P44" s="14">
        <f>-Rev_Exp!P155</f>
        <v>-166.66666666666666</v>
      </c>
      <c r="Q44" s="14">
        <f>-Rev_Exp!Q155</f>
        <v>-166.66666666666666</v>
      </c>
      <c r="R44" s="14">
        <f>-Rev_Exp!R155</f>
        <v>-166.66666666666666</v>
      </c>
      <c r="S44" s="14">
        <f>-Rev_Exp!S155</f>
        <v>-166.66666666666666</v>
      </c>
      <c r="T44" s="14">
        <f>-Rev_Exp!T155</f>
        <v>-166.66666666666666</v>
      </c>
      <c r="U44" s="14">
        <f>-Rev_Exp!U155</f>
        <v>-166.66666666666666</v>
      </c>
      <c r="V44" s="14">
        <f>-Rev_Exp!V155</f>
        <v>-166.66666666666666</v>
      </c>
      <c r="W44" s="14">
        <f>-Rev_Exp!W155</f>
        <v>-166.66666666666666</v>
      </c>
      <c r="X44" s="14">
        <f>-Rev_Exp!X155</f>
        <v>-166.66666666666666</v>
      </c>
      <c r="Y44" s="14">
        <f>-Rev_Exp!Y155</f>
        <v>-166.66666666666666</v>
      </c>
      <c r="Z44" s="14">
        <f>-Rev_Exp!Z155</f>
        <v>-166.66666666666666</v>
      </c>
      <c r="AA44" s="14">
        <f>-Rev_Exp!AA155</f>
        <v>-166.66666666666666</v>
      </c>
      <c r="AB44" s="14">
        <f>-Rev_Exp!AB155</f>
        <v>-166.66666666666666</v>
      </c>
      <c r="AC44" s="14">
        <f>-Rev_Exp!AC155</f>
        <v>-166.66666666666666</v>
      </c>
      <c r="AD44" s="14">
        <f>-Rev_Exp!AD155</f>
        <v>-166.66666666666666</v>
      </c>
      <c r="AE44" s="14">
        <f>-Rev_Exp!AE155</f>
        <v>-166.66666666666666</v>
      </c>
      <c r="AF44" s="14">
        <f>-Rev_Exp!AF155</f>
        <v>-166.66666666666666</v>
      </c>
      <c r="AG44" s="14">
        <f>-Rev_Exp!AG155</f>
        <v>-166.66666666666666</v>
      </c>
      <c r="AH44" s="14">
        <f>-Rev_Exp!AH155</f>
        <v>-166.66666666666666</v>
      </c>
      <c r="AI44" s="14">
        <f>-Rev_Exp!AI155</f>
        <v>-166.66666666666666</v>
      </c>
      <c r="AJ44" s="14">
        <f>-Rev_Exp!AJ155</f>
        <v>-166.66666666666666</v>
      </c>
      <c r="AK44" s="14">
        <f>-Rev_Exp!AK155</f>
        <v>-166.66666666666666</v>
      </c>
      <c r="AL44" s="14">
        <f>-Rev_Exp!AL155</f>
        <v>-166.66666666666666</v>
      </c>
      <c r="AM44" s="14">
        <f>-Rev_Exp!AM155</f>
        <v>-166.66666666666666</v>
      </c>
      <c r="AN44" s="14">
        <f>-Rev_Exp!AN155</f>
        <v>-166.66666666666666</v>
      </c>
      <c r="AO44" s="14">
        <f>-Rev_Exp!AO155</f>
        <v>-166.66666666666666</v>
      </c>
      <c r="AP44" s="14">
        <f>-Rev_Exp!AP155</f>
        <v>-166.66666666666666</v>
      </c>
      <c r="AQ44" s="14">
        <f>-Rev_Exp!AQ155</f>
        <v>-166.66666666666666</v>
      </c>
      <c r="AR44" s="14">
        <f>-Rev_Exp!AR155</f>
        <v>-166.66666666666666</v>
      </c>
      <c r="AS44" s="14">
        <f>-Rev_Exp!AS155</f>
        <v>-166.66666666666666</v>
      </c>
    </row>
    <row r="45" spans="2:45" outlineLevel="2" x14ac:dyDescent="0.15">
      <c r="B45" s="107" t="str">
        <f>Rev_Exp!B156</f>
        <v>HEMA Insurance</v>
      </c>
      <c r="J45" s="14">
        <f>-Rev_Exp!J156</f>
        <v>-75</v>
      </c>
      <c r="K45" s="14">
        <f>-Rev_Exp!K156</f>
        <v>-77.5</v>
      </c>
      <c r="L45" s="14">
        <f>-Rev_Exp!L156</f>
        <v>-80</v>
      </c>
      <c r="M45" s="14">
        <f>-Rev_Exp!M156</f>
        <v>-82.5</v>
      </c>
      <c r="N45" s="14">
        <f>-Rev_Exp!N156</f>
        <v>-85</v>
      </c>
      <c r="O45" s="14">
        <f>-Rev_Exp!O156</f>
        <v>-87.5</v>
      </c>
      <c r="P45" s="14">
        <f>-Rev_Exp!P156</f>
        <v>-90</v>
      </c>
      <c r="Q45" s="14">
        <f>-Rev_Exp!Q156</f>
        <v>-92.5</v>
      </c>
      <c r="R45" s="14">
        <f>-Rev_Exp!R156</f>
        <v>-95</v>
      </c>
      <c r="S45" s="14">
        <f>-Rev_Exp!S156</f>
        <v>-97.5</v>
      </c>
      <c r="T45" s="14">
        <f>-Rev_Exp!T156</f>
        <v>-100</v>
      </c>
      <c r="U45" s="14">
        <f>-Rev_Exp!U156</f>
        <v>-102.5</v>
      </c>
      <c r="V45" s="14">
        <f>-Rev_Exp!V156</f>
        <v>-105</v>
      </c>
      <c r="W45" s="14">
        <f>-Rev_Exp!W156</f>
        <v>-107.5</v>
      </c>
      <c r="X45" s="14">
        <f>-Rev_Exp!X156</f>
        <v>-110</v>
      </c>
      <c r="Y45" s="14">
        <f>-Rev_Exp!Y156</f>
        <v>-112.5</v>
      </c>
      <c r="Z45" s="14">
        <f>-Rev_Exp!Z156</f>
        <v>-115</v>
      </c>
      <c r="AA45" s="14">
        <f>-Rev_Exp!AA156</f>
        <v>-117.5</v>
      </c>
      <c r="AB45" s="14">
        <f>-Rev_Exp!AB156</f>
        <v>-120</v>
      </c>
      <c r="AC45" s="14">
        <f>-Rev_Exp!AC156</f>
        <v>-122.5</v>
      </c>
      <c r="AD45" s="14">
        <f>-Rev_Exp!AD156</f>
        <v>-125</v>
      </c>
      <c r="AE45" s="14">
        <f>-Rev_Exp!AE156</f>
        <v>-127.5</v>
      </c>
      <c r="AF45" s="14">
        <f>-Rev_Exp!AF156</f>
        <v>-130</v>
      </c>
      <c r="AG45" s="14">
        <f>-Rev_Exp!AG156</f>
        <v>-132.5</v>
      </c>
      <c r="AH45" s="14">
        <f>-Rev_Exp!AH156</f>
        <v>-135</v>
      </c>
      <c r="AI45" s="14">
        <f>-Rev_Exp!AI156</f>
        <v>-137.5</v>
      </c>
      <c r="AJ45" s="14">
        <f>-Rev_Exp!AJ156</f>
        <v>-140</v>
      </c>
      <c r="AK45" s="14">
        <f>-Rev_Exp!AK156</f>
        <v>-142.5</v>
      </c>
      <c r="AL45" s="14">
        <f>-Rev_Exp!AL156</f>
        <v>-145</v>
      </c>
      <c r="AM45" s="14">
        <f>-Rev_Exp!AM156</f>
        <v>-147.5</v>
      </c>
      <c r="AN45" s="14">
        <f>-Rev_Exp!AN156</f>
        <v>-150</v>
      </c>
      <c r="AO45" s="14">
        <f>-Rev_Exp!AO156</f>
        <v>-152.5</v>
      </c>
      <c r="AP45" s="14">
        <f>-Rev_Exp!AP156</f>
        <v>-155</v>
      </c>
      <c r="AQ45" s="14">
        <f>-Rev_Exp!AQ156</f>
        <v>-157.5</v>
      </c>
      <c r="AR45" s="14">
        <f>-Rev_Exp!AR156</f>
        <v>-160</v>
      </c>
      <c r="AS45" s="14">
        <f>-Rev_Exp!AS156</f>
        <v>-162.5</v>
      </c>
    </row>
    <row r="46" spans="2:45" outlineLevel="2" x14ac:dyDescent="0.15">
      <c r="B46" s="107" t="str">
        <f>Rev_Exp!B157</f>
        <v>Credit Card Fees</v>
      </c>
      <c r="J46" s="23">
        <f>-Rev_Exp!J157</f>
        <v>-74.163362580645156</v>
      </c>
      <c r="K46" s="23">
        <f>-Rev_Exp!K157</f>
        <v>-120.12989721333329</v>
      </c>
      <c r="L46" s="23">
        <f>-Rev_Exp!L157</f>
        <v>-124.48247793548387</v>
      </c>
      <c r="M46" s="23">
        <f>-Rev_Exp!M157</f>
        <v>-148.23814866666666</v>
      </c>
      <c r="N46" s="23">
        <f>-Rev_Exp!N157</f>
        <v>-63.759475810752676</v>
      </c>
      <c r="O46" s="23">
        <f>-Rev_Exp!O157</f>
        <v>-115.81937683870966</v>
      </c>
      <c r="P46" s="23">
        <f>-Rev_Exp!P157</f>
        <v>-133.64009706666667</v>
      </c>
      <c r="Q46" s="23">
        <f>-Rev_Exp!Q157</f>
        <v>-132.98644787526879</v>
      </c>
      <c r="R46" s="23">
        <f>-Rev_Exp!R157</f>
        <v>-107.85430832</v>
      </c>
      <c r="S46" s="23">
        <f>-Rev_Exp!S157</f>
        <v>-125.27913800860213</v>
      </c>
      <c r="T46" s="23">
        <f>-Rev_Exp!T157</f>
        <v>-123.61917333333332</v>
      </c>
      <c r="U46" s="23">
        <f>-Rev_Exp!U157</f>
        <v>-114.60041403870966</v>
      </c>
      <c r="V46" s="23">
        <f>-Rev_Exp!V157</f>
        <v>-104.37090873118279</v>
      </c>
      <c r="W46" s="23">
        <f>-Rev_Exp!W157</f>
        <v>-170.90405097333331</v>
      </c>
      <c r="X46" s="23">
        <f>-Rev_Exp!X157</f>
        <v>-182.112937032258</v>
      </c>
      <c r="Y46" s="23">
        <f>-Rev_Exp!Y157</f>
        <v>-198.75128166666664</v>
      </c>
      <c r="Z46" s="23">
        <f>-Rev_Exp!Z157</f>
        <v>-93.726549281720409</v>
      </c>
      <c r="AA46" s="23">
        <f>-Rev_Exp!AA157</f>
        <v>-160.31859175483871</v>
      </c>
      <c r="AB46" s="23">
        <f>-Rev_Exp!AB157</f>
        <v>-173.55753066666665</v>
      </c>
      <c r="AC46" s="23">
        <f>-Rev_Exp!AC157</f>
        <v>-178.26962015913978</v>
      </c>
      <c r="AD46" s="23">
        <f>-Rev_Exp!AD157</f>
        <v>-144.24093199999999</v>
      </c>
      <c r="AE46" s="23">
        <f>-Rev_Exp!AE157</f>
        <v>-160.93149704086022</v>
      </c>
      <c r="AF46" s="23">
        <f>-Rev_Exp!AF157</f>
        <v>-169.39155493333334</v>
      </c>
      <c r="AG46" s="23">
        <f>-Rev_Exp!AG157</f>
        <v>-150.94297424516125</v>
      </c>
      <c r="AH46" s="23">
        <f>-Rev_Exp!AH157</f>
        <v>-132.86323647311829</v>
      </c>
      <c r="AI46" s="23">
        <f>-Rev_Exp!AI157</f>
        <v>-230.16700813333335</v>
      </c>
      <c r="AJ46" s="23">
        <f>-Rev_Exp!AJ157</f>
        <v>-234.99010167741935</v>
      </c>
      <c r="AK46" s="23">
        <f>-Rev_Exp!AK157</f>
        <v>-234.00666666666663</v>
      </c>
      <c r="AL46" s="23">
        <f>-Rev_Exp!AL157</f>
        <v>-125.15029981075264</v>
      </c>
      <c r="AM46" s="23">
        <f>-Rev_Exp!AM157</f>
        <v>-197.84485855483871</v>
      </c>
      <c r="AN46" s="23">
        <f>-Rev_Exp!AN157</f>
        <v>-209.62274666666667</v>
      </c>
      <c r="AO46" s="23">
        <f>-Rev_Exp!AO157</f>
        <v>-222.83848097204302</v>
      </c>
      <c r="AP46" s="23">
        <f>-Rev_Exp!AP157</f>
        <v>-171.82755567999999</v>
      </c>
      <c r="AQ46" s="23">
        <f>-Rev_Exp!AQ157</f>
        <v>-185.24813777634407</v>
      </c>
      <c r="AR46" s="23">
        <f>-Rev_Exp!AR157</f>
        <v>-209.14961173333336</v>
      </c>
      <c r="AS46" s="23">
        <f>-Rev_Exp!AS157</f>
        <v>-178.48553445161289</v>
      </c>
    </row>
    <row r="47" spans="2:45" outlineLevel="2" x14ac:dyDescent="0.15">
      <c r="B47" s="107" t="str">
        <f>Rev_Exp!B158</f>
        <v>Cleaning &amp; Other</v>
      </c>
      <c r="J47" s="24">
        <f>-Rev_Exp!J158</f>
        <v>-200</v>
      </c>
      <c r="K47" s="24">
        <f>-Rev_Exp!K158</f>
        <v>-200</v>
      </c>
      <c r="L47" s="24">
        <f>-Rev_Exp!L158</f>
        <v>-200</v>
      </c>
      <c r="M47" s="24">
        <f>-Rev_Exp!M158</f>
        <v>-200</v>
      </c>
      <c r="N47" s="24">
        <f>-Rev_Exp!N158</f>
        <v>-200</v>
      </c>
      <c r="O47" s="24">
        <f>-Rev_Exp!O158</f>
        <v>-200</v>
      </c>
      <c r="P47" s="24">
        <f>-Rev_Exp!P158</f>
        <v>-200</v>
      </c>
      <c r="Q47" s="24">
        <f>-Rev_Exp!Q158</f>
        <v>-200</v>
      </c>
      <c r="R47" s="24">
        <f>-Rev_Exp!R158</f>
        <v>-200</v>
      </c>
      <c r="S47" s="24">
        <f>-Rev_Exp!S158</f>
        <v>-200</v>
      </c>
      <c r="T47" s="24">
        <f>-Rev_Exp!T158</f>
        <v>-200</v>
      </c>
      <c r="U47" s="24">
        <f>-Rev_Exp!U158</f>
        <v>-200</v>
      </c>
      <c r="V47" s="24">
        <f>-Rev_Exp!V158</f>
        <v>-200</v>
      </c>
      <c r="W47" s="24">
        <f>-Rev_Exp!W158</f>
        <v>-200</v>
      </c>
      <c r="X47" s="24">
        <f>-Rev_Exp!X158</f>
        <v>-200</v>
      </c>
      <c r="Y47" s="24">
        <f>-Rev_Exp!Y158</f>
        <v>-200</v>
      </c>
      <c r="Z47" s="24">
        <f>-Rev_Exp!Z158</f>
        <v>-200</v>
      </c>
      <c r="AA47" s="24">
        <f>-Rev_Exp!AA158</f>
        <v>-200</v>
      </c>
      <c r="AB47" s="24">
        <f>-Rev_Exp!AB158</f>
        <v>-200</v>
      </c>
      <c r="AC47" s="24">
        <f>-Rev_Exp!AC158</f>
        <v>-200</v>
      </c>
      <c r="AD47" s="24">
        <f>-Rev_Exp!AD158</f>
        <v>-200</v>
      </c>
      <c r="AE47" s="24">
        <f>-Rev_Exp!AE158</f>
        <v>-200</v>
      </c>
      <c r="AF47" s="24">
        <f>-Rev_Exp!AF158</f>
        <v>-200</v>
      </c>
      <c r="AG47" s="24">
        <f>-Rev_Exp!AG158</f>
        <v>-200</v>
      </c>
      <c r="AH47" s="24">
        <f>-Rev_Exp!AH158</f>
        <v>-200</v>
      </c>
      <c r="AI47" s="24">
        <f>-Rev_Exp!AI158</f>
        <v>-200</v>
      </c>
      <c r="AJ47" s="24">
        <f>-Rev_Exp!AJ158</f>
        <v>-200</v>
      </c>
      <c r="AK47" s="24">
        <f>-Rev_Exp!AK158</f>
        <v>-200</v>
      </c>
      <c r="AL47" s="24">
        <f>-Rev_Exp!AL158</f>
        <v>-200</v>
      </c>
      <c r="AM47" s="24">
        <f>-Rev_Exp!AM158</f>
        <v>-200</v>
      </c>
      <c r="AN47" s="24">
        <f>-Rev_Exp!AN158</f>
        <v>-200</v>
      </c>
      <c r="AO47" s="24">
        <f>-Rev_Exp!AO158</f>
        <v>-200</v>
      </c>
      <c r="AP47" s="24">
        <f>-Rev_Exp!AP158</f>
        <v>-200</v>
      </c>
      <c r="AQ47" s="24">
        <f>-Rev_Exp!AQ158</f>
        <v>-200</v>
      </c>
      <c r="AR47" s="24">
        <f>-Rev_Exp!AR158</f>
        <v>-200</v>
      </c>
      <c r="AS47" s="24">
        <f>-Rev_Exp!AS158</f>
        <v>-200</v>
      </c>
    </row>
    <row r="48" spans="2:45" outlineLevel="2" x14ac:dyDescent="0.15">
      <c r="B48" s="107" t="s">
        <v>633</v>
      </c>
      <c r="J48" s="14">
        <f t="shared" ref="J48:AS48" si="15">SUM(J40:J47)</f>
        <v>-6676.2466959139792</v>
      </c>
      <c r="K48" s="14">
        <f t="shared" si="15"/>
        <v>-6724.7132305466675</v>
      </c>
      <c r="L48" s="14">
        <f t="shared" si="15"/>
        <v>-6731.5658112688179</v>
      </c>
      <c r="M48" s="14">
        <f t="shared" si="15"/>
        <v>-6757.8214820000003</v>
      </c>
      <c r="N48" s="14">
        <f t="shared" si="15"/>
        <v>-6675.8428091440865</v>
      </c>
      <c r="O48" s="14">
        <f t="shared" si="15"/>
        <v>-6730.402710172044</v>
      </c>
      <c r="P48" s="14">
        <f t="shared" si="15"/>
        <v>-7865.8234304000007</v>
      </c>
      <c r="Q48" s="14">
        <f t="shared" si="15"/>
        <v>-7867.6697812086031</v>
      </c>
      <c r="R48" s="14">
        <f t="shared" si="15"/>
        <v>-7898.137641653334</v>
      </c>
      <c r="S48" s="14">
        <f t="shared" si="15"/>
        <v>-7971.162471341936</v>
      </c>
      <c r="T48" s="14">
        <f t="shared" si="15"/>
        <v>-7812.7025066666674</v>
      </c>
      <c r="U48" s="14">
        <f t="shared" si="15"/>
        <v>-7965.4837473720436</v>
      </c>
      <c r="V48" s="14">
        <f t="shared" si="15"/>
        <v>-7904.6542420645164</v>
      </c>
      <c r="W48" s="14">
        <f t="shared" si="15"/>
        <v>-7920.5873843066674</v>
      </c>
      <c r="X48" s="14">
        <f t="shared" si="15"/>
        <v>-8040.496270365592</v>
      </c>
      <c r="Y48" s="14">
        <f t="shared" si="15"/>
        <v>-7953.434615000001</v>
      </c>
      <c r="Z48" s="14">
        <f t="shared" si="15"/>
        <v>-7904.0098826150543</v>
      </c>
      <c r="AA48" s="14">
        <f t="shared" si="15"/>
        <v>-8026.2019250881731</v>
      </c>
      <c r="AB48" s="14">
        <f t="shared" si="15"/>
        <v>-7882.6408640000009</v>
      </c>
      <c r="AC48" s="14">
        <f t="shared" si="15"/>
        <v>-7942.9529534924741</v>
      </c>
      <c r="AD48" s="14">
        <f t="shared" si="15"/>
        <v>-7964.5242653333335</v>
      </c>
      <c r="AE48" s="14">
        <f t="shared" si="15"/>
        <v>-7983.7148303741942</v>
      </c>
      <c r="AF48" s="14">
        <f t="shared" si="15"/>
        <v>-7941.5748882666676</v>
      </c>
      <c r="AG48" s="14">
        <f t="shared" si="15"/>
        <v>-8031.8263075784953</v>
      </c>
      <c r="AH48" s="14">
        <f t="shared" si="15"/>
        <v>-7910.0465698064527</v>
      </c>
      <c r="AI48" s="14">
        <f t="shared" si="15"/>
        <v>-8062.9503414666669</v>
      </c>
      <c r="AJ48" s="14">
        <f t="shared" si="15"/>
        <v>-8123.3734350107534</v>
      </c>
      <c r="AK48" s="14">
        <f t="shared" si="15"/>
        <v>-7965.59</v>
      </c>
      <c r="AL48" s="14">
        <f t="shared" si="15"/>
        <v>-8018.5336331440867</v>
      </c>
      <c r="AM48" s="14">
        <f t="shared" si="15"/>
        <v>-8040.6281918881723</v>
      </c>
      <c r="AN48" s="14">
        <f t="shared" si="15"/>
        <v>-7948.7060800000008</v>
      </c>
      <c r="AO48" s="14">
        <f t="shared" si="15"/>
        <v>-8070.6218143053766</v>
      </c>
      <c r="AP48" s="14">
        <f t="shared" si="15"/>
        <v>-8022.1108890133337</v>
      </c>
      <c r="AQ48" s="14">
        <f t="shared" si="15"/>
        <v>-7984.9314711096786</v>
      </c>
      <c r="AR48" s="14">
        <f t="shared" si="15"/>
        <v>-8064.4329450666673</v>
      </c>
      <c r="AS48" s="14">
        <f t="shared" si="15"/>
        <v>-8089.3688677849468</v>
      </c>
    </row>
    <row r="49" spans="2:45" ht="6" customHeight="1" outlineLevel="2" x14ac:dyDescent="0.15"/>
    <row r="50" spans="2:45" outlineLevel="2" x14ac:dyDescent="0.15">
      <c r="B50" s="107" t="str">
        <f>Rev_Exp!B200</f>
        <v>Other Expenses Category</v>
      </c>
      <c r="J50" s="24">
        <f>-Rev_Exp!J200</f>
        <v>0</v>
      </c>
      <c r="K50" s="24">
        <f>-Rev_Exp!K200</f>
        <v>0</v>
      </c>
      <c r="L50" s="24">
        <f>-Rev_Exp!L200</f>
        <v>0</v>
      </c>
      <c r="M50" s="24">
        <f>-Rev_Exp!M200</f>
        <v>0</v>
      </c>
      <c r="N50" s="24">
        <f>-Rev_Exp!N200</f>
        <v>0</v>
      </c>
      <c r="O50" s="24">
        <f>-Rev_Exp!O200</f>
        <v>0</v>
      </c>
      <c r="P50" s="24">
        <f>-Rev_Exp!P200</f>
        <v>0</v>
      </c>
      <c r="Q50" s="24">
        <f>-Rev_Exp!Q200</f>
        <v>0</v>
      </c>
      <c r="R50" s="24">
        <f>-Rev_Exp!R200</f>
        <v>0</v>
      </c>
      <c r="S50" s="24">
        <f>-Rev_Exp!S200</f>
        <v>0</v>
      </c>
      <c r="T50" s="24">
        <f>-Rev_Exp!T200</f>
        <v>0</v>
      </c>
      <c r="U50" s="24">
        <f>-Rev_Exp!U200</f>
        <v>0</v>
      </c>
      <c r="V50" s="24">
        <f>-Rev_Exp!V200</f>
        <v>0</v>
      </c>
      <c r="W50" s="24">
        <f>-Rev_Exp!W200</f>
        <v>0</v>
      </c>
      <c r="X50" s="24">
        <f>-Rev_Exp!X200</f>
        <v>0</v>
      </c>
      <c r="Y50" s="24">
        <f>-Rev_Exp!Y200</f>
        <v>0</v>
      </c>
      <c r="Z50" s="24">
        <f>-Rev_Exp!Z200</f>
        <v>0</v>
      </c>
      <c r="AA50" s="24">
        <f>-Rev_Exp!AA200</f>
        <v>0</v>
      </c>
      <c r="AB50" s="24">
        <f>-Rev_Exp!AB200</f>
        <v>0</v>
      </c>
      <c r="AC50" s="24">
        <f>-Rev_Exp!AC200</f>
        <v>0</v>
      </c>
      <c r="AD50" s="24">
        <f>-Rev_Exp!AD200</f>
        <v>0</v>
      </c>
      <c r="AE50" s="24">
        <f>-Rev_Exp!AE200</f>
        <v>0</v>
      </c>
      <c r="AF50" s="24">
        <f>-Rev_Exp!AF200</f>
        <v>0</v>
      </c>
      <c r="AG50" s="24">
        <f>-Rev_Exp!AG200</f>
        <v>0</v>
      </c>
      <c r="AH50" s="24">
        <f>-Rev_Exp!AH200</f>
        <v>0</v>
      </c>
      <c r="AI50" s="24">
        <f>-Rev_Exp!AI200</f>
        <v>0</v>
      </c>
      <c r="AJ50" s="24">
        <f>-Rev_Exp!AJ200</f>
        <v>0</v>
      </c>
      <c r="AK50" s="24">
        <f>-Rev_Exp!AK200</f>
        <v>0</v>
      </c>
      <c r="AL50" s="24">
        <f>-Rev_Exp!AL200</f>
        <v>0</v>
      </c>
      <c r="AM50" s="24">
        <f>-Rev_Exp!AM200</f>
        <v>0</v>
      </c>
      <c r="AN50" s="24">
        <f>-Rev_Exp!AN200</f>
        <v>0</v>
      </c>
      <c r="AO50" s="24">
        <f>-Rev_Exp!AO200</f>
        <v>0</v>
      </c>
      <c r="AP50" s="24">
        <f>-Rev_Exp!AP200</f>
        <v>0</v>
      </c>
      <c r="AQ50" s="24">
        <f>-Rev_Exp!AQ200</f>
        <v>0</v>
      </c>
      <c r="AR50" s="24">
        <f>-Rev_Exp!AR200</f>
        <v>0</v>
      </c>
      <c r="AS50" s="24">
        <f>-Rev_Exp!AS200</f>
        <v>0</v>
      </c>
    </row>
    <row r="51" spans="2:45" outlineLevel="2" x14ac:dyDescent="0.15">
      <c r="B51" s="107" t="s">
        <v>634</v>
      </c>
      <c r="J51" s="14">
        <f t="shared" ref="J51:AS51" si="16">SUM(J50:J50)</f>
        <v>0</v>
      </c>
      <c r="K51" s="14">
        <f t="shared" si="16"/>
        <v>0</v>
      </c>
      <c r="L51" s="14">
        <f t="shared" si="16"/>
        <v>0</v>
      </c>
      <c r="M51" s="14">
        <f t="shared" si="16"/>
        <v>0</v>
      </c>
      <c r="N51" s="14">
        <f t="shared" si="16"/>
        <v>0</v>
      </c>
      <c r="O51" s="14">
        <f t="shared" si="16"/>
        <v>0</v>
      </c>
      <c r="P51" s="14">
        <f t="shared" si="16"/>
        <v>0</v>
      </c>
      <c r="Q51" s="14">
        <f t="shared" si="16"/>
        <v>0</v>
      </c>
      <c r="R51" s="14">
        <f t="shared" si="16"/>
        <v>0</v>
      </c>
      <c r="S51" s="14">
        <f t="shared" si="16"/>
        <v>0</v>
      </c>
      <c r="T51" s="14">
        <f t="shared" si="16"/>
        <v>0</v>
      </c>
      <c r="U51" s="14">
        <f t="shared" si="16"/>
        <v>0</v>
      </c>
      <c r="V51" s="14">
        <f t="shared" si="16"/>
        <v>0</v>
      </c>
      <c r="W51" s="14">
        <f t="shared" si="16"/>
        <v>0</v>
      </c>
      <c r="X51" s="14">
        <f t="shared" si="16"/>
        <v>0</v>
      </c>
      <c r="Y51" s="14">
        <f t="shared" si="16"/>
        <v>0</v>
      </c>
      <c r="Z51" s="14">
        <f t="shared" si="16"/>
        <v>0</v>
      </c>
      <c r="AA51" s="14">
        <f t="shared" si="16"/>
        <v>0</v>
      </c>
      <c r="AB51" s="14">
        <f t="shared" si="16"/>
        <v>0</v>
      </c>
      <c r="AC51" s="14">
        <f t="shared" si="16"/>
        <v>0</v>
      </c>
      <c r="AD51" s="14">
        <f t="shared" si="16"/>
        <v>0</v>
      </c>
      <c r="AE51" s="14">
        <f t="shared" si="16"/>
        <v>0</v>
      </c>
      <c r="AF51" s="14">
        <f t="shared" si="16"/>
        <v>0</v>
      </c>
      <c r="AG51" s="14">
        <f t="shared" si="16"/>
        <v>0</v>
      </c>
      <c r="AH51" s="14">
        <f t="shared" si="16"/>
        <v>0</v>
      </c>
      <c r="AI51" s="14">
        <f t="shared" si="16"/>
        <v>0</v>
      </c>
      <c r="AJ51" s="14">
        <f t="shared" si="16"/>
        <v>0</v>
      </c>
      <c r="AK51" s="14">
        <f t="shared" si="16"/>
        <v>0</v>
      </c>
      <c r="AL51" s="14">
        <f t="shared" si="16"/>
        <v>0</v>
      </c>
      <c r="AM51" s="14">
        <f t="shared" si="16"/>
        <v>0</v>
      </c>
      <c r="AN51" s="14">
        <f t="shared" si="16"/>
        <v>0</v>
      </c>
      <c r="AO51" s="14">
        <f t="shared" si="16"/>
        <v>0</v>
      </c>
      <c r="AP51" s="14">
        <f t="shared" si="16"/>
        <v>0</v>
      </c>
      <c r="AQ51" s="14">
        <f t="shared" si="16"/>
        <v>0</v>
      </c>
      <c r="AR51" s="14">
        <f t="shared" si="16"/>
        <v>0</v>
      </c>
      <c r="AS51" s="14">
        <f t="shared" si="16"/>
        <v>0</v>
      </c>
    </row>
    <row r="52" spans="2:45" ht="6" customHeight="1" outlineLevel="2" x14ac:dyDescent="0.1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row>
    <row r="53" spans="2:45" outlineLevel="1" x14ac:dyDescent="0.15">
      <c r="B53" s="107" t="str">
        <f>B35</f>
        <v>Net Operating Expenses</v>
      </c>
      <c r="J53" s="14">
        <f t="shared" ref="J53:AS53" si="17">J38+J48+J51</f>
        <v>-6676.2466959139792</v>
      </c>
      <c r="K53" s="14">
        <f t="shared" si="17"/>
        <v>-6724.7132305466675</v>
      </c>
      <c r="L53" s="14">
        <f t="shared" si="17"/>
        <v>-6731.5658112688179</v>
      </c>
      <c r="M53" s="14">
        <f t="shared" si="17"/>
        <v>-6757.8214820000003</v>
      </c>
      <c r="N53" s="14">
        <f t="shared" si="17"/>
        <v>-6675.8428091440865</v>
      </c>
      <c r="O53" s="14">
        <f t="shared" si="17"/>
        <v>-6730.402710172044</v>
      </c>
      <c r="P53" s="14">
        <f t="shared" si="17"/>
        <v>-7865.8234304000007</v>
      </c>
      <c r="Q53" s="14">
        <f t="shared" si="17"/>
        <v>-7867.6697812086031</v>
      </c>
      <c r="R53" s="14">
        <f t="shared" si="17"/>
        <v>-7898.137641653334</v>
      </c>
      <c r="S53" s="14">
        <f t="shared" si="17"/>
        <v>-7971.162471341936</v>
      </c>
      <c r="T53" s="14">
        <f t="shared" si="17"/>
        <v>-7812.7025066666674</v>
      </c>
      <c r="U53" s="14">
        <f t="shared" si="17"/>
        <v>-7965.4837473720436</v>
      </c>
      <c r="V53" s="14">
        <f t="shared" si="17"/>
        <v>-7904.6542420645164</v>
      </c>
      <c r="W53" s="14">
        <f t="shared" si="17"/>
        <v>-7920.5873843066674</v>
      </c>
      <c r="X53" s="14">
        <f t="shared" si="17"/>
        <v>-8040.496270365592</v>
      </c>
      <c r="Y53" s="14">
        <f t="shared" si="17"/>
        <v>-7953.434615000001</v>
      </c>
      <c r="Z53" s="14">
        <f t="shared" si="17"/>
        <v>-7904.0098826150543</v>
      </c>
      <c r="AA53" s="14">
        <f t="shared" si="17"/>
        <v>-8026.2019250881731</v>
      </c>
      <c r="AB53" s="14">
        <f t="shared" si="17"/>
        <v>-7882.6408640000009</v>
      </c>
      <c r="AC53" s="14">
        <f t="shared" si="17"/>
        <v>-7942.9529534924741</v>
      </c>
      <c r="AD53" s="14">
        <f t="shared" si="17"/>
        <v>-7964.5242653333335</v>
      </c>
      <c r="AE53" s="14">
        <f t="shared" si="17"/>
        <v>-7983.7148303741942</v>
      </c>
      <c r="AF53" s="14">
        <f t="shared" si="17"/>
        <v>-7941.5748882666676</v>
      </c>
      <c r="AG53" s="14">
        <f t="shared" si="17"/>
        <v>-8031.8263075784953</v>
      </c>
      <c r="AH53" s="14">
        <f t="shared" si="17"/>
        <v>-7910.0465698064527</v>
      </c>
      <c r="AI53" s="14">
        <f t="shared" si="17"/>
        <v>-8062.9503414666669</v>
      </c>
      <c r="AJ53" s="14">
        <f t="shared" si="17"/>
        <v>-8123.3734350107534</v>
      </c>
      <c r="AK53" s="14">
        <f t="shared" si="17"/>
        <v>-7965.59</v>
      </c>
      <c r="AL53" s="14">
        <f t="shared" si="17"/>
        <v>-8018.5336331440867</v>
      </c>
      <c r="AM53" s="14">
        <f t="shared" si="17"/>
        <v>-8040.6281918881723</v>
      </c>
      <c r="AN53" s="14">
        <f t="shared" si="17"/>
        <v>-7948.7060800000008</v>
      </c>
      <c r="AO53" s="14">
        <f t="shared" si="17"/>
        <v>-8070.6218143053766</v>
      </c>
      <c r="AP53" s="14">
        <f t="shared" si="17"/>
        <v>-8022.1108890133337</v>
      </c>
      <c r="AQ53" s="14">
        <f t="shared" si="17"/>
        <v>-7984.9314711096786</v>
      </c>
      <c r="AR53" s="14">
        <f t="shared" si="17"/>
        <v>-8064.4329450666673</v>
      </c>
      <c r="AS53" s="14">
        <f t="shared" si="17"/>
        <v>-8089.3688677849468</v>
      </c>
    </row>
    <row r="54" spans="2:45" hidden="1" outlineLevel="2" x14ac:dyDescent="0.15"/>
    <row r="55" spans="2:45" outlineLevel="1" collapsed="1" x14ac:dyDescent="0.15">
      <c r="B55" s="16" t="s">
        <v>72</v>
      </c>
      <c r="J55" s="18">
        <f t="shared" ref="J55:AS55" si="18">J33+J53</f>
        <v>-4159.4996275268823</v>
      </c>
      <c r="K55" s="18">
        <f t="shared" si="18"/>
        <v>-2082.529655440002</v>
      </c>
      <c r="L55" s="18">
        <f t="shared" si="18"/>
        <v>-1929.2708153118283</v>
      </c>
      <c r="M55" s="18">
        <f t="shared" si="18"/>
        <v>-892.34384933333331</v>
      </c>
      <c r="N55" s="18">
        <f t="shared" si="18"/>
        <v>-4564.5890296258076</v>
      </c>
      <c r="O55" s="18">
        <f t="shared" si="18"/>
        <v>-2354.3421542795713</v>
      </c>
      <c r="P55" s="18">
        <f t="shared" si="18"/>
        <v>-2620.0539285333334</v>
      </c>
      <c r="Q55" s="18">
        <f t="shared" si="18"/>
        <v>-2652.6989809806464</v>
      </c>
      <c r="R55" s="18">
        <f t="shared" si="18"/>
        <v>-3844.5069748266669</v>
      </c>
      <c r="S55" s="18">
        <f t="shared" si="18"/>
        <v>-3171.5459527139792</v>
      </c>
      <c r="T55" s="18">
        <f t="shared" si="18"/>
        <v>-2988.6059200000009</v>
      </c>
      <c r="U55" s="18">
        <f t="shared" si="18"/>
        <v>-3647.4748878795708</v>
      </c>
      <c r="V55" s="18">
        <f t="shared" si="18"/>
        <v>-4118.3165446881721</v>
      </c>
      <c r="W55" s="18">
        <f t="shared" si="18"/>
        <v>-1115.6185543200008</v>
      </c>
      <c r="X55" s="18">
        <f t="shared" si="18"/>
        <v>-811.14888034408796</v>
      </c>
      <c r="Y55" s="18">
        <f t="shared" si="18"/>
        <v>96.589796666665279</v>
      </c>
      <c r="Z55" s="18">
        <f t="shared" si="18"/>
        <v>-4600.74635571613</v>
      </c>
      <c r="AA55" s="18">
        <f t="shared" si="18"/>
        <v>-1778.147464318281</v>
      </c>
      <c r="AB55" s="18">
        <f t="shared" si="18"/>
        <v>-922.4245653333337</v>
      </c>
      <c r="AC55" s="18">
        <f t="shared" si="18"/>
        <v>-911.67270454193658</v>
      </c>
      <c r="AD55" s="18">
        <f t="shared" si="18"/>
        <v>-2502.871282666667</v>
      </c>
      <c r="AE55" s="18">
        <f t="shared" si="18"/>
        <v>-1775.5244023913983</v>
      </c>
      <c r="AF55" s="18">
        <f t="shared" si="18"/>
        <v>-1312.7033808000006</v>
      </c>
      <c r="AG55" s="18">
        <f t="shared" si="18"/>
        <v>-2317.3299770150552</v>
      </c>
      <c r="AH55" s="18">
        <f t="shared" si="18"/>
        <v>-2921.3145472688175</v>
      </c>
      <c r="AI55" s="18">
        <f t="shared" si="18"/>
        <v>1242.2364776000013</v>
      </c>
      <c r="AJ55" s="18">
        <f t="shared" si="18"/>
        <v>1353.4523341075273</v>
      </c>
      <c r="AK55" s="18">
        <f t="shared" si="18"/>
        <v>1594.7166666666653</v>
      </c>
      <c r="AL55" s="18">
        <f t="shared" si="18"/>
        <v>-3467.5347416258082</v>
      </c>
      <c r="AM55" s="18">
        <f t="shared" si="18"/>
        <v>-295.23468271827915</v>
      </c>
      <c r="AN55" s="18">
        <f t="shared" si="18"/>
        <v>418.64762666666593</v>
      </c>
      <c r="AO55" s="18">
        <f t="shared" si="18"/>
        <v>791.93374198709807</v>
      </c>
      <c r="AP55" s="18">
        <f t="shared" si="18"/>
        <v>-1447.275590506666</v>
      </c>
      <c r="AQ55" s="18">
        <f t="shared" si="18"/>
        <v>-762.31341743655958</v>
      </c>
      <c r="AR55" s="18">
        <f t="shared" si="18"/>
        <v>180.10238080000181</v>
      </c>
      <c r="AS55" s="18">
        <f t="shared" si="18"/>
        <v>-1268.4450661505389</v>
      </c>
    </row>
    <row r="56" spans="2:45" hidden="1" outlineLevel="2" x14ac:dyDescent="0.15"/>
    <row r="57" spans="2:45" hidden="1" outlineLevel="2" x14ac:dyDescent="0.15">
      <c r="B57" s="16" t="s">
        <v>75</v>
      </c>
    </row>
    <row r="58" spans="2:45" hidden="1" outlineLevel="2" x14ac:dyDescent="0.15">
      <c r="B58" s="107" t="str">
        <f>Assets!B79</f>
        <v>Fencing Equipment</v>
      </c>
      <c r="J58" s="23">
        <f ca="1">Assets!J79</f>
        <v>-69.444444444444443</v>
      </c>
      <c r="K58" s="23">
        <f ca="1">Assets!K79</f>
        <v>-138.88888888888889</v>
      </c>
      <c r="L58" s="23">
        <f ca="1">Assets!L79</f>
        <v>-138.88888888888889</v>
      </c>
      <c r="M58" s="23">
        <f ca="1">Assets!M79</f>
        <v>-138.88888888888889</v>
      </c>
      <c r="N58" s="23">
        <f ca="1">Assets!N79</f>
        <v>-138.88888888888889</v>
      </c>
      <c r="O58" s="23">
        <f ca="1">Assets!O79</f>
        <v>-138.88888888888889</v>
      </c>
      <c r="P58" s="23">
        <f ca="1">Assets!P79</f>
        <v>-138.88888888888889</v>
      </c>
      <c r="Q58" s="23">
        <f ca="1">Assets!Q79</f>
        <v>-138.88888888888889</v>
      </c>
      <c r="R58" s="23">
        <f ca="1">Assets!R79</f>
        <v>-138.88888888888889</v>
      </c>
      <c r="S58" s="23">
        <f ca="1">Assets!S79</f>
        <v>-138.88888888888889</v>
      </c>
      <c r="T58" s="23">
        <f ca="1">Assets!T79</f>
        <v>-138.88888888888889</v>
      </c>
      <c r="U58" s="23">
        <f ca="1">Assets!U79</f>
        <v>-138.88888888888889</v>
      </c>
      <c r="V58" s="23">
        <f ca="1">Assets!V79</f>
        <v>-138.88888888888889</v>
      </c>
      <c r="W58" s="23">
        <f ca="1">Assets!W79</f>
        <v>-138.88888888888889</v>
      </c>
      <c r="X58" s="23">
        <f ca="1">Assets!X79</f>
        <v>-138.88888888888889</v>
      </c>
      <c r="Y58" s="23">
        <f ca="1">Assets!Y79</f>
        <v>-138.88888888888889</v>
      </c>
      <c r="Z58" s="23">
        <f ca="1">Assets!Z79</f>
        <v>-138.88888888888889</v>
      </c>
      <c r="AA58" s="23">
        <f ca="1">Assets!AA79</f>
        <v>-138.88888888888889</v>
      </c>
      <c r="AB58" s="23">
        <f ca="1">Assets!AB79</f>
        <v>-138.88888888888889</v>
      </c>
      <c r="AC58" s="23">
        <f ca="1">Assets!AC79</f>
        <v>-138.88888888888889</v>
      </c>
      <c r="AD58" s="23">
        <f ca="1">Assets!AD79</f>
        <v>-138.88888888888889</v>
      </c>
      <c r="AE58" s="23">
        <f ca="1">Assets!AE79</f>
        <v>-138.88888888888889</v>
      </c>
      <c r="AF58" s="23">
        <f ca="1">Assets!AF79</f>
        <v>-138.88888888888889</v>
      </c>
      <c r="AG58" s="23">
        <f ca="1">Assets!AG79</f>
        <v>-138.88888888888889</v>
      </c>
      <c r="AH58" s="23">
        <f ca="1">Assets!AH79</f>
        <v>-138.88888888888889</v>
      </c>
      <c r="AI58" s="23">
        <f ca="1">Assets!AI79</f>
        <v>-138.88888888888889</v>
      </c>
      <c r="AJ58" s="23">
        <f ca="1">Assets!AJ79</f>
        <v>-138.88888888888889</v>
      </c>
      <c r="AK58" s="23">
        <f ca="1">Assets!AK79</f>
        <v>-138.88888888888889</v>
      </c>
      <c r="AL58" s="23">
        <f ca="1">Assets!AL79</f>
        <v>-138.88888888888889</v>
      </c>
      <c r="AM58" s="23">
        <f ca="1">Assets!AM79</f>
        <v>-138.88888888888889</v>
      </c>
      <c r="AN58" s="23">
        <f ca="1">Assets!AN79</f>
        <v>-138.88888888888889</v>
      </c>
      <c r="AO58" s="23">
        <f ca="1">Assets!AO79</f>
        <v>-138.88888888888889</v>
      </c>
      <c r="AP58" s="23">
        <f ca="1">Assets!AP79</f>
        <v>-138.88888888888889</v>
      </c>
      <c r="AQ58" s="23">
        <f ca="1">Assets!AQ79</f>
        <v>-138.88888888888889</v>
      </c>
      <c r="AR58" s="23">
        <f ca="1">Assets!AR79</f>
        <v>-138.88888888888889</v>
      </c>
      <c r="AS58" s="23">
        <f ca="1">Assets!AS79</f>
        <v>-138.88888888888889</v>
      </c>
    </row>
    <row r="59" spans="2:45" hidden="1" outlineLevel="2" collapsed="1" x14ac:dyDescent="0.15">
      <c r="B59" s="107" t="str">
        <f>Assets!B80</f>
        <v>Leashold Improvements</v>
      </c>
      <c r="J59" s="24">
        <f ca="1">Assets!J80</f>
        <v>-2883.5277777777778</v>
      </c>
      <c r="K59" s="24">
        <f ca="1">Assets!K80</f>
        <v>-5661.3055555555557</v>
      </c>
      <c r="L59" s="24">
        <f ca="1">Assets!L80</f>
        <v>-5661.3055555555557</v>
      </c>
      <c r="M59" s="24">
        <f ca="1">Assets!M80</f>
        <v>-5661.3055555555557</v>
      </c>
      <c r="N59" s="24">
        <f ca="1">Assets!N80</f>
        <v>-5661.3055555555557</v>
      </c>
      <c r="O59" s="24">
        <f ca="1">Assets!O80</f>
        <v>-5661.3055555555557</v>
      </c>
      <c r="P59" s="24">
        <f ca="1">Assets!P80</f>
        <v>-5661.3055555555557</v>
      </c>
      <c r="Q59" s="24">
        <f ca="1">Assets!Q80</f>
        <v>-5661.3055555555557</v>
      </c>
      <c r="R59" s="24">
        <f ca="1">Assets!R80</f>
        <v>-5661.3055555555557</v>
      </c>
      <c r="S59" s="24">
        <f ca="1">Assets!S80</f>
        <v>-5661.3055555555557</v>
      </c>
      <c r="T59" s="24">
        <f ca="1">Assets!T80</f>
        <v>-5661.3055555555557</v>
      </c>
      <c r="U59" s="24">
        <f ca="1">Assets!U80</f>
        <v>-5661.3055555555557</v>
      </c>
      <c r="V59" s="24">
        <f ca="1">Assets!V80</f>
        <v>-5661.3055555555557</v>
      </c>
      <c r="W59" s="24">
        <f ca="1">Assets!W80</f>
        <v>-5661.3055555555557</v>
      </c>
      <c r="X59" s="24">
        <f ca="1">Assets!X80</f>
        <v>-5661.3055555555557</v>
      </c>
      <c r="Y59" s="24">
        <f ca="1">Assets!Y80</f>
        <v>-5661.3055555555557</v>
      </c>
      <c r="Z59" s="24">
        <f ca="1">Assets!Z80</f>
        <v>-5661.3055555555557</v>
      </c>
      <c r="AA59" s="24">
        <f ca="1">Assets!AA80</f>
        <v>-5661.3055555555557</v>
      </c>
      <c r="AB59" s="24">
        <f ca="1">Assets!AB80</f>
        <v>-5661.3055555555557</v>
      </c>
      <c r="AC59" s="24">
        <f ca="1">Assets!AC80</f>
        <v>-5661.3055555555557</v>
      </c>
      <c r="AD59" s="24">
        <f ca="1">Assets!AD80</f>
        <v>-5661.3055555555557</v>
      </c>
      <c r="AE59" s="24">
        <f ca="1">Assets!AE80</f>
        <v>-5661.3055555555557</v>
      </c>
      <c r="AF59" s="24">
        <f ca="1">Assets!AF80</f>
        <v>-5661.3055555555557</v>
      </c>
      <c r="AG59" s="24">
        <f ca="1">Assets!AG80</f>
        <v>-5661.3055555555557</v>
      </c>
      <c r="AH59" s="24">
        <f ca="1">Assets!AH80</f>
        <v>-5555.5555555555566</v>
      </c>
      <c r="AI59" s="24">
        <f ca="1">Assets!AI80</f>
        <v>-5555.5555555555557</v>
      </c>
      <c r="AJ59" s="24">
        <f ca="1">Assets!AJ80</f>
        <v>-5555.5555555555557</v>
      </c>
      <c r="AK59" s="24">
        <f ca="1">Assets!AK80</f>
        <v>-5555.5555555555557</v>
      </c>
      <c r="AL59" s="24">
        <f ca="1">Assets!AL80</f>
        <v>-5555.5555555555557</v>
      </c>
      <c r="AM59" s="24">
        <f ca="1">Assets!AM80</f>
        <v>-5555.5555555555557</v>
      </c>
      <c r="AN59" s="24">
        <f ca="1">Assets!AN80</f>
        <v>-5555.5555555555557</v>
      </c>
      <c r="AO59" s="24">
        <f ca="1">Assets!AO80</f>
        <v>-5555.5555555555557</v>
      </c>
      <c r="AP59" s="24">
        <f ca="1">Assets!AP80</f>
        <v>-5555.5555555555557</v>
      </c>
      <c r="AQ59" s="24">
        <f ca="1">Assets!AQ80</f>
        <v>-5555.5555555555557</v>
      </c>
      <c r="AR59" s="24">
        <f ca="1">Assets!AR80</f>
        <v>-5555.5555555555557</v>
      </c>
      <c r="AS59" s="24">
        <f ca="1">Assets!AS80</f>
        <v>-5555.5555555555557</v>
      </c>
    </row>
    <row r="60" spans="2:45" hidden="1" outlineLevel="2" x14ac:dyDescent="0.15">
      <c r="B60" s="107" t="s">
        <v>635</v>
      </c>
      <c r="J60" s="14">
        <f t="shared" ref="J60:AS60" ca="1" si="19">SUM(J58:J59)</f>
        <v>-2952.9722222222222</v>
      </c>
      <c r="K60" s="14">
        <f t="shared" ca="1" si="19"/>
        <v>-5800.1944444444443</v>
      </c>
      <c r="L60" s="14">
        <f t="shared" ca="1" si="19"/>
        <v>-5800.1944444444443</v>
      </c>
      <c r="M60" s="14">
        <f t="shared" ca="1" si="19"/>
        <v>-5800.1944444444443</v>
      </c>
      <c r="N60" s="14">
        <f t="shared" ca="1" si="19"/>
        <v>-5800.1944444444443</v>
      </c>
      <c r="O60" s="14">
        <f t="shared" ca="1" si="19"/>
        <v>-5800.1944444444443</v>
      </c>
      <c r="P60" s="14">
        <f t="shared" ca="1" si="19"/>
        <v>-5800.1944444444443</v>
      </c>
      <c r="Q60" s="14">
        <f t="shared" ca="1" si="19"/>
        <v>-5800.1944444444443</v>
      </c>
      <c r="R60" s="14">
        <f t="shared" ca="1" si="19"/>
        <v>-5800.1944444444443</v>
      </c>
      <c r="S60" s="14">
        <f t="shared" ca="1" si="19"/>
        <v>-5800.1944444444443</v>
      </c>
      <c r="T60" s="14">
        <f t="shared" ca="1" si="19"/>
        <v>-5800.1944444444443</v>
      </c>
      <c r="U60" s="14">
        <f t="shared" ca="1" si="19"/>
        <v>-5800.1944444444443</v>
      </c>
      <c r="V60" s="14">
        <f t="shared" ca="1" si="19"/>
        <v>-5800.1944444444443</v>
      </c>
      <c r="W60" s="14">
        <f t="shared" ca="1" si="19"/>
        <v>-5800.1944444444443</v>
      </c>
      <c r="X60" s="14">
        <f t="shared" ca="1" si="19"/>
        <v>-5800.1944444444443</v>
      </c>
      <c r="Y60" s="14">
        <f t="shared" ca="1" si="19"/>
        <v>-5800.1944444444443</v>
      </c>
      <c r="Z60" s="14">
        <f t="shared" ca="1" si="19"/>
        <v>-5800.1944444444443</v>
      </c>
      <c r="AA60" s="14">
        <f t="shared" ca="1" si="19"/>
        <v>-5800.1944444444443</v>
      </c>
      <c r="AB60" s="14">
        <f t="shared" ca="1" si="19"/>
        <v>-5800.1944444444443</v>
      </c>
      <c r="AC60" s="14">
        <f t="shared" ca="1" si="19"/>
        <v>-5800.1944444444443</v>
      </c>
      <c r="AD60" s="14">
        <f t="shared" ca="1" si="19"/>
        <v>-5800.1944444444443</v>
      </c>
      <c r="AE60" s="14">
        <f t="shared" ca="1" si="19"/>
        <v>-5800.1944444444443</v>
      </c>
      <c r="AF60" s="14">
        <f t="shared" ca="1" si="19"/>
        <v>-5800.1944444444443</v>
      </c>
      <c r="AG60" s="14">
        <f t="shared" ca="1" si="19"/>
        <v>-5800.1944444444443</v>
      </c>
      <c r="AH60" s="14">
        <f t="shared" ca="1" si="19"/>
        <v>-5694.4444444444453</v>
      </c>
      <c r="AI60" s="14">
        <f t="shared" ca="1" si="19"/>
        <v>-5694.4444444444443</v>
      </c>
      <c r="AJ60" s="14">
        <f t="shared" ca="1" si="19"/>
        <v>-5694.4444444444443</v>
      </c>
      <c r="AK60" s="14">
        <f t="shared" ca="1" si="19"/>
        <v>-5694.4444444444443</v>
      </c>
      <c r="AL60" s="14">
        <f t="shared" ca="1" si="19"/>
        <v>-5694.4444444444443</v>
      </c>
      <c r="AM60" s="14">
        <f t="shared" ca="1" si="19"/>
        <v>-5694.4444444444443</v>
      </c>
      <c r="AN60" s="14">
        <f t="shared" ca="1" si="19"/>
        <v>-5694.4444444444443</v>
      </c>
      <c r="AO60" s="14">
        <f t="shared" ca="1" si="19"/>
        <v>-5694.4444444444443</v>
      </c>
      <c r="AP60" s="14">
        <f t="shared" ca="1" si="19"/>
        <v>-5694.4444444444443</v>
      </c>
      <c r="AQ60" s="14">
        <f t="shared" ca="1" si="19"/>
        <v>-5694.4444444444443</v>
      </c>
      <c r="AR60" s="14">
        <f t="shared" ca="1" si="19"/>
        <v>-5694.4444444444443</v>
      </c>
      <c r="AS60" s="14">
        <f t="shared" ca="1" si="19"/>
        <v>-5694.4444444444443</v>
      </c>
    </row>
    <row r="61" spans="2:45" ht="6" hidden="1" customHeight="1" outlineLevel="2" x14ac:dyDescent="0.1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row>
    <row r="62" spans="2:45" outlineLevel="1" collapsed="1" x14ac:dyDescent="0.15">
      <c r="B62" s="107" t="str">
        <f>"Total "&amp;B57</f>
        <v>Total Depreciation &amp; Amortisation</v>
      </c>
      <c r="J62" s="14">
        <f t="shared" ref="J62:AS62" ca="1" si="20">J60</f>
        <v>-2952.9722222222222</v>
      </c>
      <c r="K62" s="14">
        <f t="shared" ca="1" si="20"/>
        <v>-5800.1944444444443</v>
      </c>
      <c r="L62" s="14">
        <f t="shared" ca="1" si="20"/>
        <v>-5800.1944444444443</v>
      </c>
      <c r="M62" s="14">
        <f t="shared" ca="1" si="20"/>
        <v>-5800.1944444444443</v>
      </c>
      <c r="N62" s="14">
        <f t="shared" ca="1" si="20"/>
        <v>-5800.1944444444443</v>
      </c>
      <c r="O62" s="14">
        <f t="shared" ca="1" si="20"/>
        <v>-5800.1944444444443</v>
      </c>
      <c r="P62" s="14">
        <f t="shared" ca="1" si="20"/>
        <v>-5800.1944444444443</v>
      </c>
      <c r="Q62" s="14">
        <f t="shared" ca="1" si="20"/>
        <v>-5800.1944444444443</v>
      </c>
      <c r="R62" s="14">
        <f t="shared" ca="1" si="20"/>
        <v>-5800.1944444444443</v>
      </c>
      <c r="S62" s="14">
        <f t="shared" ca="1" si="20"/>
        <v>-5800.1944444444443</v>
      </c>
      <c r="T62" s="14">
        <f t="shared" ca="1" si="20"/>
        <v>-5800.1944444444443</v>
      </c>
      <c r="U62" s="14">
        <f t="shared" ca="1" si="20"/>
        <v>-5800.1944444444443</v>
      </c>
      <c r="V62" s="14">
        <f t="shared" ca="1" si="20"/>
        <v>-5800.1944444444443</v>
      </c>
      <c r="W62" s="14">
        <f t="shared" ca="1" si="20"/>
        <v>-5800.1944444444443</v>
      </c>
      <c r="X62" s="14">
        <f t="shared" ca="1" si="20"/>
        <v>-5800.1944444444443</v>
      </c>
      <c r="Y62" s="14">
        <f t="shared" ca="1" si="20"/>
        <v>-5800.1944444444443</v>
      </c>
      <c r="Z62" s="14">
        <f t="shared" ca="1" si="20"/>
        <v>-5800.1944444444443</v>
      </c>
      <c r="AA62" s="14">
        <f t="shared" ca="1" si="20"/>
        <v>-5800.1944444444443</v>
      </c>
      <c r="AB62" s="14">
        <f t="shared" ca="1" si="20"/>
        <v>-5800.1944444444443</v>
      </c>
      <c r="AC62" s="14">
        <f t="shared" ca="1" si="20"/>
        <v>-5800.1944444444443</v>
      </c>
      <c r="AD62" s="14">
        <f t="shared" ca="1" si="20"/>
        <v>-5800.1944444444443</v>
      </c>
      <c r="AE62" s="14">
        <f t="shared" ca="1" si="20"/>
        <v>-5800.1944444444443</v>
      </c>
      <c r="AF62" s="14">
        <f t="shared" ca="1" si="20"/>
        <v>-5800.1944444444443</v>
      </c>
      <c r="AG62" s="14">
        <f t="shared" ca="1" si="20"/>
        <v>-5800.1944444444443</v>
      </c>
      <c r="AH62" s="14">
        <f t="shared" ca="1" si="20"/>
        <v>-5694.4444444444453</v>
      </c>
      <c r="AI62" s="14">
        <f t="shared" ca="1" si="20"/>
        <v>-5694.4444444444443</v>
      </c>
      <c r="AJ62" s="14">
        <f t="shared" ca="1" si="20"/>
        <v>-5694.4444444444443</v>
      </c>
      <c r="AK62" s="14">
        <f t="shared" ca="1" si="20"/>
        <v>-5694.4444444444443</v>
      </c>
      <c r="AL62" s="14">
        <f t="shared" ca="1" si="20"/>
        <v>-5694.4444444444443</v>
      </c>
      <c r="AM62" s="14">
        <f t="shared" ca="1" si="20"/>
        <v>-5694.4444444444443</v>
      </c>
      <c r="AN62" s="14">
        <f t="shared" ca="1" si="20"/>
        <v>-5694.4444444444443</v>
      </c>
      <c r="AO62" s="14">
        <f t="shared" ca="1" si="20"/>
        <v>-5694.4444444444443</v>
      </c>
      <c r="AP62" s="14">
        <f t="shared" ca="1" si="20"/>
        <v>-5694.4444444444443</v>
      </c>
      <c r="AQ62" s="14">
        <f t="shared" ca="1" si="20"/>
        <v>-5694.4444444444443</v>
      </c>
      <c r="AR62" s="14">
        <f t="shared" ca="1" si="20"/>
        <v>-5694.4444444444443</v>
      </c>
      <c r="AS62" s="14">
        <f t="shared" ca="1" si="20"/>
        <v>-5694.4444444444443</v>
      </c>
    </row>
    <row r="63" spans="2:45" hidden="1" outlineLevel="2" x14ac:dyDescent="0.15"/>
    <row r="64" spans="2:45" outlineLevel="1" collapsed="1" x14ac:dyDescent="0.15">
      <c r="B64" s="16" t="s">
        <v>76</v>
      </c>
      <c r="J64" s="18">
        <f t="shared" ref="J64:AS64" ca="1" si="21">J55+J62</f>
        <v>-7112.4718497491049</v>
      </c>
      <c r="K64" s="18">
        <f t="shared" ca="1" si="21"/>
        <v>-7882.7240998844463</v>
      </c>
      <c r="L64" s="18">
        <f t="shared" ca="1" si="21"/>
        <v>-7729.4652597562726</v>
      </c>
      <c r="M64" s="18">
        <f t="shared" ca="1" si="21"/>
        <v>-6692.5382937777777</v>
      </c>
      <c r="N64" s="18">
        <f t="shared" ca="1" si="21"/>
        <v>-10364.783474070253</v>
      </c>
      <c r="O64" s="18">
        <f t="shared" ca="1" si="21"/>
        <v>-8154.5365987240157</v>
      </c>
      <c r="P64" s="18">
        <f t="shared" ca="1" si="21"/>
        <v>-8420.2483729777778</v>
      </c>
      <c r="Q64" s="18">
        <f t="shared" ca="1" si="21"/>
        <v>-8452.8934254250908</v>
      </c>
      <c r="R64" s="18">
        <f t="shared" ca="1" si="21"/>
        <v>-9644.7014192711104</v>
      </c>
      <c r="S64" s="18">
        <f t="shared" ca="1" si="21"/>
        <v>-8971.7403971584245</v>
      </c>
      <c r="T64" s="18">
        <f t="shared" ca="1" si="21"/>
        <v>-8788.8003644444452</v>
      </c>
      <c r="U64" s="18">
        <f t="shared" ca="1" si="21"/>
        <v>-9447.6693323240142</v>
      </c>
      <c r="V64" s="18">
        <f t="shared" ca="1" si="21"/>
        <v>-9918.5109891326174</v>
      </c>
      <c r="W64" s="18">
        <f t="shared" ca="1" si="21"/>
        <v>-6915.8129987644452</v>
      </c>
      <c r="X64" s="18">
        <f t="shared" ca="1" si="21"/>
        <v>-6611.3433247885323</v>
      </c>
      <c r="Y64" s="18">
        <f t="shared" ca="1" si="21"/>
        <v>-5703.6046477777791</v>
      </c>
      <c r="Z64" s="18">
        <f t="shared" ca="1" si="21"/>
        <v>-10400.940800160573</v>
      </c>
      <c r="AA64" s="18">
        <f t="shared" ca="1" si="21"/>
        <v>-7578.3419087627253</v>
      </c>
      <c r="AB64" s="18">
        <f t="shared" ca="1" si="21"/>
        <v>-6722.619009777778</v>
      </c>
      <c r="AC64" s="18">
        <f t="shared" ca="1" si="21"/>
        <v>-6711.8671489863809</v>
      </c>
      <c r="AD64" s="18">
        <f t="shared" ca="1" si="21"/>
        <v>-8303.0657271111122</v>
      </c>
      <c r="AE64" s="18">
        <f t="shared" ca="1" si="21"/>
        <v>-7575.7188468358427</v>
      </c>
      <c r="AF64" s="18">
        <f t="shared" ca="1" si="21"/>
        <v>-7112.8978252444449</v>
      </c>
      <c r="AG64" s="18">
        <f t="shared" ca="1" si="21"/>
        <v>-8117.5244214594995</v>
      </c>
      <c r="AH64" s="18">
        <f t="shared" ca="1" si="21"/>
        <v>-8615.7589917132627</v>
      </c>
      <c r="AI64" s="18">
        <f t="shared" ca="1" si="21"/>
        <v>-4452.207966844443</v>
      </c>
      <c r="AJ64" s="18">
        <f t="shared" ca="1" si="21"/>
        <v>-4340.992110336917</v>
      </c>
      <c r="AK64" s="18">
        <f t="shared" ca="1" si="21"/>
        <v>-4099.727777777779</v>
      </c>
      <c r="AL64" s="18">
        <f t="shared" ca="1" si="21"/>
        <v>-9161.9791860702535</v>
      </c>
      <c r="AM64" s="18">
        <f t="shared" ca="1" si="21"/>
        <v>-5989.6791271627235</v>
      </c>
      <c r="AN64" s="18">
        <f t="shared" ca="1" si="21"/>
        <v>-5275.7968177777784</v>
      </c>
      <c r="AO64" s="18">
        <f t="shared" ca="1" si="21"/>
        <v>-4902.5107024573463</v>
      </c>
      <c r="AP64" s="18">
        <f t="shared" ca="1" si="21"/>
        <v>-7141.7200349511104</v>
      </c>
      <c r="AQ64" s="18">
        <f t="shared" ca="1" si="21"/>
        <v>-6456.7578618810039</v>
      </c>
      <c r="AR64" s="18">
        <f t="shared" ca="1" si="21"/>
        <v>-5514.3420636444425</v>
      </c>
      <c r="AS64" s="18">
        <f t="shared" ca="1" si="21"/>
        <v>-6962.8895105949832</v>
      </c>
    </row>
    <row r="65" spans="2:45" hidden="1" outlineLevel="2" x14ac:dyDescent="0.15"/>
    <row r="66" spans="2:45" hidden="1" outlineLevel="2" x14ac:dyDescent="0.15">
      <c r="B66" s="107" t="s">
        <v>127</v>
      </c>
      <c r="J66" s="14">
        <f>Other!J31</f>
        <v>0</v>
      </c>
      <c r="K66" s="14">
        <f ca="1">Other!K31</f>
        <v>0</v>
      </c>
      <c r="L66" s="14">
        <f ca="1">Other!L31</f>
        <v>0</v>
      </c>
      <c r="M66" s="14">
        <f ca="1">Other!M31</f>
        <v>0</v>
      </c>
      <c r="N66" s="14">
        <f ca="1">Other!N31</f>
        <v>0</v>
      </c>
      <c r="O66" s="14">
        <f ca="1">Other!O31</f>
        <v>0</v>
      </c>
      <c r="P66" s="14">
        <f ca="1">Other!P31</f>
        <v>0</v>
      </c>
      <c r="Q66" s="14">
        <f ca="1">Other!Q31</f>
        <v>0</v>
      </c>
      <c r="R66" s="14">
        <f ca="1">Other!R31</f>
        <v>0</v>
      </c>
      <c r="S66" s="14">
        <f ca="1">Other!S31</f>
        <v>0</v>
      </c>
      <c r="T66" s="14">
        <f ca="1">Other!T31</f>
        <v>0</v>
      </c>
      <c r="U66" s="14">
        <f ca="1">Other!U31</f>
        <v>0</v>
      </c>
      <c r="V66" s="14">
        <f ca="1">Other!V31</f>
        <v>0</v>
      </c>
      <c r="W66" s="14">
        <f ca="1">Other!W31</f>
        <v>0</v>
      </c>
      <c r="X66" s="14">
        <f ca="1">Other!X31</f>
        <v>0</v>
      </c>
      <c r="Y66" s="14">
        <f ca="1">Other!Y31</f>
        <v>0</v>
      </c>
      <c r="Z66" s="14">
        <f ca="1">Other!Z31</f>
        <v>0</v>
      </c>
      <c r="AA66" s="14">
        <f ca="1">Other!AA31</f>
        <v>0</v>
      </c>
      <c r="AB66" s="14">
        <f ca="1">Other!AB31</f>
        <v>0</v>
      </c>
      <c r="AC66" s="14">
        <f ca="1">Other!AC31</f>
        <v>0</v>
      </c>
      <c r="AD66" s="14">
        <f ca="1">Other!AD31</f>
        <v>0</v>
      </c>
      <c r="AE66" s="14">
        <f ca="1">Other!AE31</f>
        <v>0</v>
      </c>
      <c r="AF66" s="14">
        <f ca="1">Other!AF31</f>
        <v>0</v>
      </c>
      <c r="AG66" s="14">
        <f ca="1">Other!AG31</f>
        <v>0</v>
      </c>
      <c r="AH66" s="14">
        <f ca="1">Other!AH31</f>
        <v>0</v>
      </c>
      <c r="AI66" s="14">
        <f ca="1">Other!AI31</f>
        <v>0</v>
      </c>
      <c r="AJ66" s="14">
        <f ca="1">Other!AJ31</f>
        <v>0</v>
      </c>
      <c r="AK66" s="14">
        <f ca="1">Other!AK31</f>
        <v>0</v>
      </c>
      <c r="AL66" s="14">
        <f ca="1">Other!AL31</f>
        <v>0</v>
      </c>
      <c r="AM66" s="14">
        <f ca="1">Other!AM31</f>
        <v>0</v>
      </c>
      <c r="AN66" s="14">
        <f ca="1">Other!AN31</f>
        <v>0</v>
      </c>
      <c r="AO66" s="14">
        <f ca="1">Other!AO31</f>
        <v>0</v>
      </c>
      <c r="AP66" s="14">
        <f ca="1">Other!AP31</f>
        <v>0</v>
      </c>
      <c r="AQ66" s="14">
        <f ca="1">Other!AQ31</f>
        <v>0</v>
      </c>
      <c r="AR66" s="14">
        <f ca="1">Other!AR31</f>
        <v>0</v>
      </c>
      <c r="AS66" s="14">
        <f ca="1">Other!AS31</f>
        <v>0</v>
      </c>
    </row>
    <row r="67" spans="2:45" ht="6" hidden="1" customHeight="1" outlineLevel="2" x14ac:dyDescent="0.15"/>
    <row r="68" spans="2:45" hidden="1" outlineLevel="2" x14ac:dyDescent="0.15">
      <c r="B68" s="107" t="str">
        <f>Capital!I44</f>
        <v>Operating Grants</v>
      </c>
      <c r="J68" s="23">
        <f>-Capital!J44</f>
        <v>0</v>
      </c>
      <c r="K68" s="23">
        <f>-Capital!K44</f>
        <v>0</v>
      </c>
      <c r="L68" s="23">
        <f>-Capital!L44</f>
        <v>0</v>
      </c>
      <c r="M68" s="23">
        <f>-Capital!M44</f>
        <v>0</v>
      </c>
      <c r="N68" s="23">
        <f>-Capital!N44</f>
        <v>0</v>
      </c>
      <c r="O68" s="23">
        <f>-Capital!O44</f>
        <v>0</v>
      </c>
      <c r="P68" s="23">
        <f>-Capital!P44</f>
        <v>0</v>
      </c>
      <c r="Q68" s="23">
        <f>-Capital!Q44</f>
        <v>0</v>
      </c>
      <c r="R68" s="23">
        <f>-Capital!R44</f>
        <v>0</v>
      </c>
      <c r="S68" s="23">
        <f>-Capital!S44</f>
        <v>0</v>
      </c>
      <c r="T68" s="23">
        <f>-Capital!T44</f>
        <v>0</v>
      </c>
      <c r="U68" s="23">
        <f>-Capital!U44</f>
        <v>0</v>
      </c>
      <c r="V68" s="23">
        <f>-Capital!V44</f>
        <v>0</v>
      </c>
      <c r="W68" s="23">
        <f>-Capital!W44</f>
        <v>0</v>
      </c>
      <c r="X68" s="23">
        <f>-Capital!X44</f>
        <v>0</v>
      </c>
      <c r="Y68" s="23">
        <f>-Capital!Y44</f>
        <v>0</v>
      </c>
      <c r="Z68" s="23">
        <f>-Capital!Z44</f>
        <v>0</v>
      </c>
      <c r="AA68" s="23">
        <f>-Capital!AA44</f>
        <v>0</v>
      </c>
      <c r="AB68" s="23">
        <f>-Capital!AB44</f>
        <v>0</v>
      </c>
      <c r="AC68" s="23">
        <f>-Capital!AC44</f>
        <v>0</v>
      </c>
      <c r="AD68" s="23">
        <f>-Capital!AD44</f>
        <v>0</v>
      </c>
      <c r="AE68" s="23">
        <f>-Capital!AE44</f>
        <v>0</v>
      </c>
      <c r="AF68" s="23">
        <f>-Capital!AF44</f>
        <v>0</v>
      </c>
      <c r="AG68" s="23">
        <f>-Capital!AG44</f>
        <v>0</v>
      </c>
      <c r="AH68" s="23">
        <f>-Capital!AH44</f>
        <v>0</v>
      </c>
      <c r="AI68" s="23">
        <f>-Capital!AI44</f>
        <v>0</v>
      </c>
      <c r="AJ68" s="23">
        <f>-Capital!AJ44</f>
        <v>0</v>
      </c>
      <c r="AK68" s="23">
        <f>-Capital!AK44</f>
        <v>0</v>
      </c>
      <c r="AL68" s="23">
        <f>-Capital!AL44</f>
        <v>0</v>
      </c>
      <c r="AM68" s="23">
        <f>-Capital!AM44</f>
        <v>0</v>
      </c>
      <c r="AN68" s="23">
        <f>-Capital!AN44</f>
        <v>0</v>
      </c>
      <c r="AO68" s="23">
        <f>-Capital!AO44</f>
        <v>0</v>
      </c>
      <c r="AP68" s="23">
        <f>-Capital!AP44</f>
        <v>0</v>
      </c>
      <c r="AQ68" s="23">
        <f>-Capital!AQ44</f>
        <v>0</v>
      </c>
      <c r="AR68" s="23">
        <f>-Capital!AR44</f>
        <v>0</v>
      </c>
      <c r="AS68" s="23">
        <f>-Capital!AS44</f>
        <v>0</v>
      </c>
    </row>
    <row r="69" spans="2:45" hidden="1" outlineLevel="2" collapsed="1" x14ac:dyDescent="0.15">
      <c r="B69" s="107" t="str">
        <f>Capital!I70</f>
        <v>CAPEX Grant</v>
      </c>
      <c r="J69" s="24">
        <f>-Capital!J70</f>
        <v>0</v>
      </c>
      <c r="K69" s="24">
        <f>-Capital!K70</f>
        <v>0</v>
      </c>
      <c r="L69" s="24">
        <f>-Capital!L70</f>
        <v>0</v>
      </c>
      <c r="M69" s="24">
        <f>-Capital!M70</f>
        <v>0</v>
      </c>
      <c r="N69" s="24">
        <f>-Capital!N70</f>
        <v>0</v>
      </c>
      <c r="O69" s="24">
        <f>-Capital!O70</f>
        <v>0</v>
      </c>
      <c r="P69" s="24">
        <f>-Capital!P70</f>
        <v>0</v>
      </c>
      <c r="Q69" s="24">
        <f>-Capital!Q70</f>
        <v>0</v>
      </c>
      <c r="R69" s="24">
        <f>-Capital!R70</f>
        <v>0</v>
      </c>
      <c r="S69" s="24">
        <f>-Capital!S70</f>
        <v>0</v>
      </c>
      <c r="T69" s="24">
        <f>-Capital!T70</f>
        <v>0</v>
      </c>
      <c r="U69" s="24">
        <f>-Capital!U70</f>
        <v>0</v>
      </c>
      <c r="V69" s="24">
        <f>-Capital!V70</f>
        <v>0</v>
      </c>
      <c r="W69" s="24">
        <f>-Capital!W70</f>
        <v>0</v>
      </c>
      <c r="X69" s="24">
        <f>-Capital!X70</f>
        <v>0</v>
      </c>
      <c r="Y69" s="24">
        <f>-Capital!Y70</f>
        <v>0</v>
      </c>
      <c r="Z69" s="24">
        <f>-Capital!Z70</f>
        <v>0</v>
      </c>
      <c r="AA69" s="24">
        <f>-Capital!AA70</f>
        <v>0</v>
      </c>
      <c r="AB69" s="24">
        <f>-Capital!AB70</f>
        <v>0</v>
      </c>
      <c r="AC69" s="24">
        <f>-Capital!AC70</f>
        <v>0</v>
      </c>
      <c r="AD69" s="24">
        <f>-Capital!AD70</f>
        <v>0</v>
      </c>
      <c r="AE69" s="24">
        <f>-Capital!AE70</f>
        <v>0</v>
      </c>
      <c r="AF69" s="24">
        <f>-Capital!AF70</f>
        <v>0</v>
      </c>
      <c r="AG69" s="24">
        <f>-Capital!AG70</f>
        <v>0</v>
      </c>
      <c r="AH69" s="24">
        <f>-Capital!AH70</f>
        <v>0</v>
      </c>
      <c r="AI69" s="24">
        <f>-Capital!AI70</f>
        <v>0</v>
      </c>
      <c r="AJ69" s="24">
        <f>-Capital!AJ70</f>
        <v>0</v>
      </c>
      <c r="AK69" s="24">
        <f>-Capital!AK70</f>
        <v>0</v>
      </c>
      <c r="AL69" s="24">
        <f>-Capital!AL70</f>
        <v>0</v>
      </c>
      <c r="AM69" s="24">
        <f>-Capital!AM70</f>
        <v>0</v>
      </c>
      <c r="AN69" s="24">
        <f>-Capital!AN70</f>
        <v>0</v>
      </c>
      <c r="AO69" s="24">
        <f>-Capital!AO70</f>
        <v>0</v>
      </c>
      <c r="AP69" s="24">
        <f>-Capital!AP70</f>
        <v>0</v>
      </c>
      <c r="AQ69" s="24">
        <f>-Capital!AQ70</f>
        <v>0</v>
      </c>
      <c r="AR69" s="24">
        <f>-Capital!AR70</f>
        <v>0</v>
      </c>
      <c r="AS69" s="24">
        <f>-Capital!AS70</f>
        <v>0</v>
      </c>
    </row>
    <row r="70" spans="2:45" hidden="1" outlineLevel="2" x14ac:dyDescent="0.15">
      <c r="B70" s="107" t="s">
        <v>636</v>
      </c>
      <c r="J70" s="14">
        <f t="shared" ref="J70:AS70" si="22">SUM(J68:J69)</f>
        <v>0</v>
      </c>
      <c r="K70" s="14">
        <f t="shared" si="22"/>
        <v>0</v>
      </c>
      <c r="L70" s="14">
        <f t="shared" si="22"/>
        <v>0</v>
      </c>
      <c r="M70" s="14">
        <f t="shared" si="22"/>
        <v>0</v>
      </c>
      <c r="N70" s="14">
        <f t="shared" si="22"/>
        <v>0</v>
      </c>
      <c r="O70" s="14">
        <f t="shared" si="22"/>
        <v>0</v>
      </c>
      <c r="P70" s="14">
        <f t="shared" si="22"/>
        <v>0</v>
      </c>
      <c r="Q70" s="14">
        <f t="shared" si="22"/>
        <v>0</v>
      </c>
      <c r="R70" s="14">
        <f t="shared" si="22"/>
        <v>0</v>
      </c>
      <c r="S70" s="14">
        <f t="shared" si="22"/>
        <v>0</v>
      </c>
      <c r="T70" s="14">
        <f t="shared" si="22"/>
        <v>0</v>
      </c>
      <c r="U70" s="14">
        <f t="shared" si="22"/>
        <v>0</v>
      </c>
      <c r="V70" s="14">
        <f t="shared" si="22"/>
        <v>0</v>
      </c>
      <c r="W70" s="14">
        <f t="shared" si="22"/>
        <v>0</v>
      </c>
      <c r="X70" s="14">
        <f t="shared" si="22"/>
        <v>0</v>
      </c>
      <c r="Y70" s="14">
        <f t="shared" si="22"/>
        <v>0</v>
      </c>
      <c r="Z70" s="14">
        <f t="shared" si="22"/>
        <v>0</v>
      </c>
      <c r="AA70" s="14">
        <f t="shared" si="22"/>
        <v>0</v>
      </c>
      <c r="AB70" s="14">
        <f t="shared" si="22"/>
        <v>0</v>
      </c>
      <c r="AC70" s="14">
        <f t="shared" si="22"/>
        <v>0</v>
      </c>
      <c r="AD70" s="14">
        <f t="shared" si="22"/>
        <v>0</v>
      </c>
      <c r="AE70" s="14">
        <f t="shared" si="22"/>
        <v>0</v>
      </c>
      <c r="AF70" s="14">
        <f t="shared" si="22"/>
        <v>0</v>
      </c>
      <c r="AG70" s="14">
        <f t="shared" si="22"/>
        <v>0</v>
      </c>
      <c r="AH70" s="14">
        <f t="shared" si="22"/>
        <v>0</v>
      </c>
      <c r="AI70" s="14">
        <f t="shared" si="22"/>
        <v>0</v>
      </c>
      <c r="AJ70" s="14">
        <f t="shared" si="22"/>
        <v>0</v>
      </c>
      <c r="AK70" s="14">
        <f t="shared" si="22"/>
        <v>0</v>
      </c>
      <c r="AL70" s="14">
        <f t="shared" si="22"/>
        <v>0</v>
      </c>
      <c r="AM70" s="14">
        <f t="shared" si="22"/>
        <v>0</v>
      </c>
      <c r="AN70" s="14">
        <f t="shared" si="22"/>
        <v>0</v>
      </c>
      <c r="AO70" s="14">
        <f t="shared" si="22"/>
        <v>0</v>
      </c>
      <c r="AP70" s="14">
        <f t="shared" si="22"/>
        <v>0</v>
      </c>
      <c r="AQ70" s="14">
        <f t="shared" si="22"/>
        <v>0</v>
      </c>
      <c r="AR70" s="14">
        <f t="shared" si="22"/>
        <v>0</v>
      </c>
      <c r="AS70" s="14">
        <f t="shared" si="22"/>
        <v>0</v>
      </c>
    </row>
    <row r="71" spans="2:45" ht="6" hidden="1" customHeight="1" outlineLevel="2" x14ac:dyDescent="0.1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row>
    <row r="72" spans="2:45" outlineLevel="1" collapsed="1" x14ac:dyDescent="0.15">
      <c r="B72" s="107" t="s">
        <v>78</v>
      </c>
      <c r="J72" s="14">
        <f t="shared" ref="J72:AS72" si="23">J66+J70</f>
        <v>0</v>
      </c>
      <c r="K72" s="14">
        <f t="shared" ca="1" si="23"/>
        <v>0</v>
      </c>
      <c r="L72" s="14">
        <f t="shared" ca="1" si="23"/>
        <v>0</v>
      </c>
      <c r="M72" s="14">
        <f t="shared" ca="1" si="23"/>
        <v>0</v>
      </c>
      <c r="N72" s="14">
        <f t="shared" ca="1" si="23"/>
        <v>0</v>
      </c>
      <c r="O72" s="14">
        <f t="shared" ca="1" si="23"/>
        <v>0</v>
      </c>
      <c r="P72" s="14">
        <f t="shared" ca="1" si="23"/>
        <v>0</v>
      </c>
      <c r="Q72" s="14">
        <f t="shared" ca="1" si="23"/>
        <v>0</v>
      </c>
      <c r="R72" s="14">
        <f t="shared" ca="1" si="23"/>
        <v>0</v>
      </c>
      <c r="S72" s="14">
        <f t="shared" ca="1" si="23"/>
        <v>0</v>
      </c>
      <c r="T72" s="14">
        <f t="shared" ca="1" si="23"/>
        <v>0</v>
      </c>
      <c r="U72" s="14">
        <f t="shared" ca="1" si="23"/>
        <v>0</v>
      </c>
      <c r="V72" s="14">
        <f t="shared" ca="1" si="23"/>
        <v>0</v>
      </c>
      <c r="W72" s="14">
        <f t="shared" ca="1" si="23"/>
        <v>0</v>
      </c>
      <c r="X72" s="14">
        <f t="shared" ca="1" si="23"/>
        <v>0</v>
      </c>
      <c r="Y72" s="14">
        <f t="shared" ca="1" si="23"/>
        <v>0</v>
      </c>
      <c r="Z72" s="14">
        <f t="shared" ca="1" si="23"/>
        <v>0</v>
      </c>
      <c r="AA72" s="14">
        <f t="shared" ca="1" si="23"/>
        <v>0</v>
      </c>
      <c r="AB72" s="14">
        <f t="shared" ca="1" si="23"/>
        <v>0</v>
      </c>
      <c r="AC72" s="14">
        <f t="shared" ca="1" si="23"/>
        <v>0</v>
      </c>
      <c r="AD72" s="14">
        <f t="shared" ca="1" si="23"/>
        <v>0</v>
      </c>
      <c r="AE72" s="14">
        <f t="shared" ca="1" si="23"/>
        <v>0</v>
      </c>
      <c r="AF72" s="14">
        <f t="shared" ca="1" si="23"/>
        <v>0</v>
      </c>
      <c r="AG72" s="14">
        <f t="shared" ca="1" si="23"/>
        <v>0</v>
      </c>
      <c r="AH72" s="14">
        <f t="shared" ca="1" si="23"/>
        <v>0</v>
      </c>
      <c r="AI72" s="14">
        <f t="shared" ca="1" si="23"/>
        <v>0</v>
      </c>
      <c r="AJ72" s="14">
        <f t="shared" ca="1" si="23"/>
        <v>0</v>
      </c>
      <c r="AK72" s="14">
        <f t="shared" ca="1" si="23"/>
        <v>0</v>
      </c>
      <c r="AL72" s="14">
        <f t="shared" ca="1" si="23"/>
        <v>0</v>
      </c>
      <c r="AM72" s="14">
        <f t="shared" ca="1" si="23"/>
        <v>0</v>
      </c>
      <c r="AN72" s="14">
        <f t="shared" ca="1" si="23"/>
        <v>0</v>
      </c>
      <c r="AO72" s="14">
        <f t="shared" ca="1" si="23"/>
        <v>0</v>
      </c>
      <c r="AP72" s="14">
        <f t="shared" ca="1" si="23"/>
        <v>0</v>
      </c>
      <c r="AQ72" s="14">
        <f t="shared" ca="1" si="23"/>
        <v>0</v>
      </c>
      <c r="AR72" s="14">
        <f t="shared" ca="1" si="23"/>
        <v>0</v>
      </c>
      <c r="AS72" s="14">
        <f t="shared" ca="1" si="23"/>
        <v>0</v>
      </c>
    </row>
    <row r="73" spans="2:45" hidden="1" outlineLevel="2" x14ac:dyDescent="0.15"/>
    <row r="74" spans="2:45" outlineLevel="1" collapsed="1" x14ac:dyDescent="0.15">
      <c r="B74" s="16" t="s">
        <v>79</v>
      </c>
      <c r="J74" s="18">
        <f t="shared" ref="J74:AS74" ca="1" si="24">J64+J72</f>
        <v>-7112.4718497491049</v>
      </c>
      <c r="K74" s="18">
        <f t="shared" ca="1" si="24"/>
        <v>-7882.7240998844463</v>
      </c>
      <c r="L74" s="18">
        <f t="shared" ca="1" si="24"/>
        <v>-7729.4652597562726</v>
      </c>
      <c r="M74" s="18">
        <f t="shared" ca="1" si="24"/>
        <v>-6692.5382937777777</v>
      </c>
      <c r="N74" s="18">
        <f t="shared" ca="1" si="24"/>
        <v>-10364.783474070253</v>
      </c>
      <c r="O74" s="18">
        <f t="shared" ca="1" si="24"/>
        <v>-8154.5365987240157</v>
      </c>
      <c r="P74" s="18">
        <f t="shared" ca="1" si="24"/>
        <v>-8420.2483729777778</v>
      </c>
      <c r="Q74" s="18">
        <f t="shared" ca="1" si="24"/>
        <v>-8452.8934254250908</v>
      </c>
      <c r="R74" s="18">
        <f t="shared" ca="1" si="24"/>
        <v>-9644.7014192711104</v>
      </c>
      <c r="S74" s="18">
        <f t="shared" ca="1" si="24"/>
        <v>-8971.7403971584245</v>
      </c>
      <c r="T74" s="18">
        <f t="shared" ca="1" si="24"/>
        <v>-8788.8003644444452</v>
      </c>
      <c r="U74" s="18">
        <f t="shared" ca="1" si="24"/>
        <v>-9447.6693323240142</v>
      </c>
      <c r="V74" s="18">
        <f t="shared" ca="1" si="24"/>
        <v>-9918.5109891326174</v>
      </c>
      <c r="W74" s="18">
        <f t="shared" ca="1" si="24"/>
        <v>-6915.8129987644452</v>
      </c>
      <c r="X74" s="18">
        <f t="shared" ca="1" si="24"/>
        <v>-6611.3433247885323</v>
      </c>
      <c r="Y74" s="18">
        <f t="shared" ca="1" si="24"/>
        <v>-5703.6046477777791</v>
      </c>
      <c r="Z74" s="18">
        <f t="shared" ca="1" si="24"/>
        <v>-10400.940800160573</v>
      </c>
      <c r="AA74" s="18">
        <f t="shared" ca="1" si="24"/>
        <v>-7578.3419087627253</v>
      </c>
      <c r="AB74" s="18">
        <f t="shared" ca="1" si="24"/>
        <v>-6722.619009777778</v>
      </c>
      <c r="AC74" s="18">
        <f t="shared" ca="1" si="24"/>
        <v>-6711.8671489863809</v>
      </c>
      <c r="AD74" s="18">
        <f t="shared" ca="1" si="24"/>
        <v>-8303.0657271111122</v>
      </c>
      <c r="AE74" s="18">
        <f t="shared" ca="1" si="24"/>
        <v>-7575.7188468358427</v>
      </c>
      <c r="AF74" s="18">
        <f t="shared" ca="1" si="24"/>
        <v>-7112.8978252444449</v>
      </c>
      <c r="AG74" s="18">
        <f t="shared" ca="1" si="24"/>
        <v>-8117.5244214594995</v>
      </c>
      <c r="AH74" s="18">
        <f t="shared" ca="1" si="24"/>
        <v>-8615.7589917132627</v>
      </c>
      <c r="AI74" s="18">
        <f t="shared" ca="1" si="24"/>
        <v>-4452.207966844443</v>
      </c>
      <c r="AJ74" s="18">
        <f t="shared" ca="1" si="24"/>
        <v>-4340.992110336917</v>
      </c>
      <c r="AK74" s="18">
        <f t="shared" ca="1" si="24"/>
        <v>-4099.727777777779</v>
      </c>
      <c r="AL74" s="18">
        <f t="shared" ca="1" si="24"/>
        <v>-9161.9791860702535</v>
      </c>
      <c r="AM74" s="18">
        <f t="shared" ca="1" si="24"/>
        <v>-5989.6791271627235</v>
      </c>
      <c r="AN74" s="18">
        <f t="shared" ca="1" si="24"/>
        <v>-5275.7968177777784</v>
      </c>
      <c r="AO74" s="18">
        <f t="shared" ca="1" si="24"/>
        <v>-4902.5107024573463</v>
      </c>
      <c r="AP74" s="18">
        <f t="shared" ca="1" si="24"/>
        <v>-7141.7200349511104</v>
      </c>
      <c r="AQ74" s="18">
        <f t="shared" ca="1" si="24"/>
        <v>-6456.7578618810039</v>
      </c>
      <c r="AR74" s="18">
        <f t="shared" ca="1" si="24"/>
        <v>-5514.3420636444425</v>
      </c>
      <c r="AS74" s="18">
        <f t="shared" ca="1" si="24"/>
        <v>-6962.8895105949832</v>
      </c>
    </row>
    <row r="75" spans="2:45" hidden="1" outlineLevel="2" x14ac:dyDescent="0.15"/>
    <row r="76" spans="2:45" outlineLevel="1" collapsed="1" x14ac:dyDescent="0.15">
      <c r="B76" s="107" t="s">
        <v>81</v>
      </c>
      <c r="J76" s="14">
        <f ca="1">-Tax!J374</f>
        <v>0</v>
      </c>
      <c r="K76" s="14">
        <f ca="1">-Tax!K374</f>
        <v>0</v>
      </c>
      <c r="L76" s="14">
        <f ca="1">-Tax!L374</f>
        <v>0</v>
      </c>
      <c r="M76" s="14">
        <f ca="1">-Tax!M374</f>
        <v>0</v>
      </c>
      <c r="N76" s="14">
        <f ca="1">-Tax!N374</f>
        <v>0</v>
      </c>
      <c r="O76" s="14">
        <f ca="1">-Tax!O374</f>
        <v>0</v>
      </c>
      <c r="P76" s="14">
        <f ca="1">-Tax!P374</f>
        <v>0</v>
      </c>
      <c r="Q76" s="14">
        <f ca="1">-Tax!Q374</f>
        <v>0</v>
      </c>
      <c r="R76" s="14">
        <f ca="1">-Tax!R374</f>
        <v>0</v>
      </c>
      <c r="S76" s="14">
        <f ca="1">-Tax!S374</f>
        <v>0</v>
      </c>
      <c r="T76" s="14">
        <f ca="1">-Tax!T374</f>
        <v>0</v>
      </c>
      <c r="U76" s="14">
        <f ca="1">-Tax!U374</f>
        <v>0</v>
      </c>
      <c r="V76" s="14">
        <f ca="1">-Tax!V374</f>
        <v>0</v>
      </c>
      <c r="W76" s="14">
        <f ca="1">-Tax!W374</f>
        <v>0</v>
      </c>
      <c r="X76" s="14">
        <f ca="1">-Tax!X374</f>
        <v>0</v>
      </c>
      <c r="Y76" s="14">
        <f ca="1">-Tax!Y374</f>
        <v>0</v>
      </c>
      <c r="Z76" s="14">
        <f ca="1">-Tax!Z374</f>
        <v>0</v>
      </c>
      <c r="AA76" s="14">
        <f ca="1">-Tax!AA374</f>
        <v>0</v>
      </c>
      <c r="AB76" s="14">
        <f ca="1">-Tax!AB374</f>
        <v>0</v>
      </c>
      <c r="AC76" s="14">
        <f ca="1">-Tax!AC374</f>
        <v>0</v>
      </c>
      <c r="AD76" s="14">
        <f ca="1">-Tax!AD374</f>
        <v>0</v>
      </c>
      <c r="AE76" s="14">
        <f ca="1">-Tax!AE374</f>
        <v>0</v>
      </c>
      <c r="AF76" s="14">
        <f ca="1">-Tax!AF374</f>
        <v>0</v>
      </c>
      <c r="AG76" s="14">
        <f ca="1">-Tax!AG374</f>
        <v>0</v>
      </c>
      <c r="AH76" s="14">
        <f ca="1">-Tax!AH374</f>
        <v>0</v>
      </c>
      <c r="AI76" s="14">
        <f ca="1">-Tax!AI374</f>
        <v>0</v>
      </c>
      <c r="AJ76" s="14">
        <f ca="1">-Tax!AJ374</f>
        <v>0</v>
      </c>
      <c r="AK76" s="14">
        <f ca="1">-Tax!AK374</f>
        <v>0</v>
      </c>
      <c r="AL76" s="14">
        <f ca="1">-Tax!AL374</f>
        <v>0</v>
      </c>
      <c r="AM76" s="14">
        <f ca="1">-Tax!AM374</f>
        <v>0</v>
      </c>
      <c r="AN76" s="14">
        <f ca="1">-Tax!AN374</f>
        <v>0</v>
      </c>
      <c r="AO76" s="14">
        <f ca="1">-Tax!AO374</f>
        <v>0</v>
      </c>
      <c r="AP76" s="14">
        <f ca="1">-Tax!AP374</f>
        <v>0</v>
      </c>
      <c r="AQ76" s="14">
        <f ca="1">-Tax!AQ374</f>
        <v>0</v>
      </c>
      <c r="AR76" s="14">
        <f ca="1">-Tax!AR374</f>
        <v>0</v>
      </c>
      <c r="AS76" s="14">
        <f ca="1">-Tax!AS374</f>
        <v>0</v>
      </c>
    </row>
    <row r="77" spans="2:45" hidden="1" outlineLevel="2" x14ac:dyDescent="0.15"/>
    <row r="78" spans="2:45" ht="13" outlineLevel="1" collapsed="1" thickBot="1" x14ac:dyDescent="0.2">
      <c r="B78" s="16" t="s">
        <v>83</v>
      </c>
      <c r="J78" s="20">
        <f t="shared" ref="J78:AS78" ca="1" si="25">J74+J76</f>
        <v>-7112.4718497491049</v>
      </c>
      <c r="K78" s="20">
        <f t="shared" ca="1" si="25"/>
        <v>-7882.7240998844463</v>
      </c>
      <c r="L78" s="20">
        <f t="shared" ca="1" si="25"/>
        <v>-7729.4652597562726</v>
      </c>
      <c r="M78" s="20">
        <f t="shared" ca="1" si="25"/>
        <v>-6692.5382937777777</v>
      </c>
      <c r="N78" s="20">
        <f t="shared" ca="1" si="25"/>
        <v>-10364.783474070253</v>
      </c>
      <c r="O78" s="20">
        <f t="shared" ca="1" si="25"/>
        <v>-8154.5365987240157</v>
      </c>
      <c r="P78" s="20">
        <f t="shared" ca="1" si="25"/>
        <v>-8420.2483729777778</v>
      </c>
      <c r="Q78" s="20">
        <f t="shared" ca="1" si="25"/>
        <v>-8452.8934254250908</v>
      </c>
      <c r="R78" s="20">
        <f t="shared" ca="1" si="25"/>
        <v>-9644.7014192711104</v>
      </c>
      <c r="S78" s="20">
        <f t="shared" ca="1" si="25"/>
        <v>-8971.7403971584245</v>
      </c>
      <c r="T78" s="20">
        <f t="shared" ca="1" si="25"/>
        <v>-8788.8003644444452</v>
      </c>
      <c r="U78" s="20">
        <f t="shared" ca="1" si="25"/>
        <v>-9447.6693323240142</v>
      </c>
      <c r="V78" s="20">
        <f t="shared" ca="1" si="25"/>
        <v>-9918.5109891326174</v>
      </c>
      <c r="W78" s="20">
        <f t="shared" ca="1" si="25"/>
        <v>-6915.8129987644452</v>
      </c>
      <c r="X78" s="20">
        <f t="shared" ca="1" si="25"/>
        <v>-6611.3433247885323</v>
      </c>
      <c r="Y78" s="20">
        <f t="shared" ca="1" si="25"/>
        <v>-5703.6046477777791</v>
      </c>
      <c r="Z78" s="20">
        <f t="shared" ca="1" si="25"/>
        <v>-10400.940800160573</v>
      </c>
      <c r="AA78" s="20">
        <f t="shared" ca="1" si="25"/>
        <v>-7578.3419087627253</v>
      </c>
      <c r="AB78" s="20">
        <f t="shared" ca="1" si="25"/>
        <v>-6722.619009777778</v>
      </c>
      <c r="AC78" s="20">
        <f t="shared" ca="1" si="25"/>
        <v>-6711.8671489863809</v>
      </c>
      <c r="AD78" s="20">
        <f t="shared" ca="1" si="25"/>
        <v>-8303.0657271111122</v>
      </c>
      <c r="AE78" s="20">
        <f t="shared" ca="1" si="25"/>
        <v>-7575.7188468358427</v>
      </c>
      <c r="AF78" s="20">
        <f t="shared" ca="1" si="25"/>
        <v>-7112.8978252444449</v>
      </c>
      <c r="AG78" s="20">
        <f t="shared" ca="1" si="25"/>
        <v>-8117.5244214594995</v>
      </c>
      <c r="AH78" s="20">
        <f t="shared" ca="1" si="25"/>
        <v>-8615.7589917132627</v>
      </c>
      <c r="AI78" s="20">
        <f t="shared" ca="1" si="25"/>
        <v>-4452.207966844443</v>
      </c>
      <c r="AJ78" s="20">
        <f t="shared" ca="1" si="25"/>
        <v>-4340.992110336917</v>
      </c>
      <c r="AK78" s="20">
        <f t="shared" ca="1" si="25"/>
        <v>-4099.727777777779</v>
      </c>
      <c r="AL78" s="20">
        <f t="shared" ca="1" si="25"/>
        <v>-9161.9791860702535</v>
      </c>
      <c r="AM78" s="20">
        <f t="shared" ca="1" si="25"/>
        <v>-5989.6791271627235</v>
      </c>
      <c r="AN78" s="20">
        <f t="shared" ca="1" si="25"/>
        <v>-5275.7968177777784</v>
      </c>
      <c r="AO78" s="20">
        <f t="shared" ca="1" si="25"/>
        <v>-4902.5107024573463</v>
      </c>
      <c r="AP78" s="20">
        <f t="shared" ca="1" si="25"/>
        <v>-7141.7200349511104</v>
      </c>
      <c r="AQ78" s="20">
        <f t="shared" ca="1" si="25"/>
        <v>-6456.7578618810039</v>
      </c>
      <c r="AR78" s="20">
        <f t="shared" ca="1" si="25"/>
        <v>-5514.3420636444425</v>
      </c>
      <c r="AS78" s="20">
        <f t="shared" ca="1" si="25"/>
        <v>-6962.8895105949832</v>
      </c>
    </row>
    <row r="79" spans="2:45" ht="6" customHeight="1" outlineLevel="1" thickTop="1" x14ac:dyDescent="0.15"/>
    <row r="80" spans="2:45" outlineLevel="1" x14ac:dyDescent="0.15">
      <c r="B80" s="107" t="s">
        <v>306</v>
      </c>
      <c r="I80" s="22">
        <f ca="1">IF(ISERROR(SUM(J80:AS80)),1,MIN(SUM(J80:AS80),1))</f>
        <v>0</v>
      </c>
      <c r="J80" s="17">
        <f t="shared" ref="J80:AS80" ca="1" si="26">IF(ISERROR(J78),1,0)</f>
        <v>0</v>
      </c>
      <c r="K80" s="17">
        <f t="shared" ca="1" si="26"/>
        <v>0</v>
      </c>
      <c r="L80" s="17">
        <f t="shared" ca="1" si="26"/>
        <v>0</v>
      </c>
      <c r="M80" s="17">
        <f t="shared" ca="1" si="26"/>
        <v>0</v>
      </c>
      <c r="N80" s="17">
        <f t="shared" ca="1" si="26"/>
        <v>0</v>
      </c>
      <c r="O80" s="17">
        <f t="shared" ca="1" si="26"/>
        <v>0</v>
      </c>
      <c r="P80" s="17">
        <f t="shared" ca="1" si="26"/>
        <v>0</v>
      </c>
      <c r="Q80" s="17">
        <f t="shared" ca="1" si="26"/>
        <v>0</v>
      </c>
      <c r="R80" s="17">
        <f t="shared" ca="1" si="26"/>
        <v>0</v>
      </c>
      <c r="S80" s="17">
        <f t="shared" ca="1" si="26"/>
        <v>0</v>
      </c>
      <c r="T80" s="17">
        <f t="shared" ca="1" si="26"/>
        <v>0</v>
      </c>
      <c r="U80" s="17">
        <f t="shared" ca="1" si="26"/>
        <v>0</v>
      </c>
      <c r="V80" s="17">
        <f t="shared" ca="1" si="26"/>
        <v>0</v>
      </c>
      <c r="W80" s="17">
        <f t="shared" ca="1" si="26"/>
        <v>0</v>
      </c>
      <c r="X80" s="17">
        <f t="shared" ca="1" si="26"/>
        <v>0</v>
      </c>
      <c r="Y80" s="17">
        <f t="shared" ca="1" si="26"/>
        <v>0</v>
      </c>
      <c r="Z80" s="17">
        <f t="shared" ca="1" si="26"/>
        <v>0</v>
      </c>
      <c r="AA80" s="17">
        <f t="shared" ca="1" si="26"/>
        <v>0</v>
      </c>
      <c r="AB80" s="17">
        <f t="shared" ca="1" si="26"/>
        <v>0</v>
      </c>
      <c r="AC80" s="17">
        <f t="shared" ca="1" si="26"/>
        <v>0</v>
      </c>
      <c r="AD80" s="17">
        <f t="shared" ca="1" si="26"/>
        <v>0</v>
      </c>
      <c r="AE80" s="17">
        <f t="shared" ca="1" si="26"/>
        <v>0</v>
      </c>
      <c r="AF80" s="17">
        <f t="shared" ca="1" si="26"/>
        <v>0</v>
      </c>
      <c r="AG80" s="17">
        <f t="shared" ca="1" si="26"/>
        <v>0</v>
      </c>
      <c r="AH80" s="17">
        <f t="shared" ca="1" si="26"/>
        <v>0</v>
      </c>
      <c r="AI80" s="17">
        <f t="shared" ca="1" si="26"/>
        <v>0</v>
      </c>
      <c r="AJ80" s="17">
        <f t="shared" ca="1" si="26"/>
        <v>0</v>
      </c>
      <c r="AK80" s="17">
        <f t="shared" ca="1" si="26"/>
        <v>0</v>
      </c>
      <c r="AL80" s="17">
        <f t="shared" ca="1" si="26"/>
        <v>0</v>
      </c>
      <c r="AM80" s="17">
        <f t="shared" ca="1" si="26"/>
        <v>0</v>
      </c>
      <c r="AN80" s="17">
        <f t="shared" ca="1" si="26"/>
        <v>0</v>
      </c>
      <c r="AO80" s="17">
        <f t="shared" ca="1" si="26"/>
        <v>0</v>
      </c>
      <c r="AP80" s="17">
        <f t="shared" ca="1" si="26"/>
        <v>0</v>
      </c>
      <c r="AQ80" s="17">
        <f t="shared" ca="1" si="26"/>
        <v>0</v>
      </c>
      <c r="AR80" s="17">
        <f t="shared" ca="1" si="26"/>
        <v>0</v>
      </c>
      <c r="AS80" s="17">
        <f t="shared" ca="1" si="26"/>
        <v>0</v>
      </c>
    </row>
    <row r="82" spans="2:45" x14ac:dyDescent="0.15">
      <c r="B82" s="1" t="s">
        <v>88</v>
      </c>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row>
    <row r="83" spans="2:45" outlineLevel="1" x14ac:dyDescent="0.15"/>
    <row r="84" spans="2:45" hidden="1" outlineLevel="2" x14ac:dyDescent="0.15">
      <c r="C84" s="107" t="s">
        <v>176</v>
      </c>
      <c r="J84" s="14">
        <f>IF(J$8=1,OBS!J6,I86)</f>
        <v>11206</v>
      </c>
      <c r="K84" s="14">
        <f ca="1">IF(K$8=1,OBS!K6,J86)</f>
        <v>56366.869850494637</v>
      </c>
      <c r="L84" s="14">
        <f ca="1">IF(L$8=1,OBS!L6,K86)</f>
        <v>44565.745398407664</v>
      </c>
      <c r="M84" s="14">
        <f ca="1">IF(M$8=1,OBS!M6,L86)</f>
        <v>93791.017492155705</v>
      </c>
      <c r="N84" s="14">
        <f ca="1">IF(N$8=1,OBS!N6,M86)</f>
        <v>99434.209346422373</v>
      </c>
      <c r="O84" s="14">
        <f ca="1">IF(O$8=1,OBS!O6,N86)</f>
        <v>77892.898421634411</v>
      </c>
      <c r="P84" s="14">
        <f ca="1">IF(P$8=1,OBS!P6,O86)</f>
        <v>86016.935079136339</v>
      </c>
      <c r="Q84" s="14">
        <f ca="1">IF(Q$8=1,OBS!Q6,P86)</f>
        <v>90029.52162581333</v>
      </c>
      <c r="R84" s="14">
        <f ca="1">IF(R$8=1,OBS!R6,Q86)</f>
        <v>69976.570193967302</v>
      </c>
      <c r="S84" s="14">
        <f ca="1">IF(S$8=1,OBS!S6,R86)</f>
        <v>76726.490789144591</v>
      </c>
      <c r="T84" s="14">
        <f ca="1">IF(T$8=1,OBS!T6,S86)</f>
        <v>79679.59382603319</v>
      </c>
      <c r="U84" s="14">
        <f ca="1">IF(U$8=1,OBS!U6,T86)</f>
        <v>59829.112587495554</v>
      </c>
      <c r="V84" s="14">
        <f ca="1">IF(V$8=1,OBS!V6,U86)</f>
        <v>66932.032226762138</v>
      </c>
      <c r="W84" s="14">
        <f ca="1">IF(W$8=1,OBS!W6,V86)</f>
        <v>68782.986123983646</v>
      </c>
      <c r="X84" s="14">
        <f ca="1">IF(X$8=1,OBS!X6,W86)</f>
        <v>50936.458049791559</v>
      </c>
      <c r="Y84" s="14">
        <f ca="1">IF(Y$8=1,OBS!Y6,X86)</f>
        <v>60985.385742811166</v>
      </c>
      <c r="Z84" s="14">
        <f ca="1">IF(Z$8=1,OBS!Z6,Y86)</f>
        <v>67534.682810026221</v>
      </c>
      <c r="AA84" s="14">
        <f ca="1">IF(AA$8=1,OBS!AA6,Z86)</f>
        <v>45599.886950905355</v>
      </c>
      <c r="AB84" s="14">
        <f ca="1">IF(AB$8=1,OBS!AB6,AA86)</f>
        <v>54709.440588498903</v>
      </c>
      <c r="AC84" s="14">
        <f ca="1">IF(AC$8=1,OBS!AC6,AB86)</f>
        <v>60582.755592301051</v>
      </c>
      <c r="AD84" s="14">
        <f ca="1">IF(AD$8=1,OBS!AD6,AC86)</f>
        <v>42430.339608888578</v>
      </c>
      <c r="AE84" s="14">
        <f ca="1">IF(AE$8=1,OBS!AE6,AD86)</f>
        <v>50545.550148553099</v>
      </c>
      <c r="AF84" s="14">
        <f ca="1">IF(AF$8=1,OBS!AF6,AE86)</f>
        <v>55150.308436000843</v>
      </c>
      <c r="AG84" s="14">
        <f ca="1">IF(AG$8=1,OBS!AG6,AF86)</f>
        <v>36669.491088300201</v>
      </c>
      <c r="AH84" s="14">
        <f ca="1">IF(AH$8=1,OBS!AH6,AG86)</f>
        <v>45162.729399252457</v>
      </c>
      <c r="AI84" s="14">
        <f ca="1">IF(AI$8=1,OBS!AI6,AH86)</f>
        <v>48349.556505764289</v>
      </c>
      <c r="AJ84" s="14">
        <f ca="1">IF(AJ$8=1,OBS!AJ6,AI86)</f>
        <v>32660.58119464085</v>
      </c>
      <c r="AK84" s="14">
        <f ca="1">IF(AK$8=1,OBS!AK6,AJ86)</f>
        <v>44822.294238204726</v>
      </c>
      <c r="AL84" s="14">
        <f ca="1">IF(AL$8=1,OBS!AL6,AK86)</f>
        <v>53015.100646806874</v>
      </c>
      <c r="AM84" s="14">
        <f ca="1">IF(AM$8=1,OBS!AM6,AL86)</f>
        <v>32120.85810328343</v>
      </c>
      <c r="AN84" s="14">
        <f ca="1">IF(AN$8=1,OBS!AN6,AM86)</f>
        <v>42736.430529151818</v>
      </c>
      <c r="AO84" s="14">
        <f ca="1">IF(AO$8=1,OBS!AO6,AN86)</f>
        <v>50142.804681753965</v>
      </c>
      <c r="AP84" s="14">
        <f ca="1">IF(AP$8=1,OBS!AP6,AO86)</f>
        <v>33324.732340449875</v>
      </c>
      <c r="AQ84" s="14">
        <f ca="1">IF(AQ$8=1,OBS!AQ6,AP86)</f>
        <v>42517.262348519042</v>
      </c>
      <c r="AR84" s="14">
        <f ca="1">IF(AR$8=1,OBS!AR6,AQ86)</f>
        <v>48200.992636860552</v>
      </c>
      <c r="AS84" s="14">
        <f ca="1">IF(AS$8=1,OBS!AS6,AR86)</f>
        <v>31045.245095313883</v>
      </c>
    </row>
    <row r="85" spans="2:45" hidden="1" outlineLevel="2" x14ac:dyDescent="0.15">
      <c r="C85" s="107" t="s">
        <v>637</v>
      </c>
      <c r="J85" s="24">
        <f t="shared" ref="J85:AS85" ca="1" si="27">J271</f>
        <v>45160.869850494637</v>
      </c>
      <c r="K85" s="24">
        <f t="shared" ca="1" si="27"/>
        <v>-11801.124452086973</v>
      </c>
      <c r="L85" s="24">
        <f t="shared" ca="1" si="27"/>
        <v>49225.272093748041</v>
      </c>
      <c r="M85" s="24">
        <f t="shared" ca="1" si="27"/>
        <v>5643.1918542666654</v>
      </c>
      <c r="N85" s="24">
        <f t="shared" ca="1" si="27"/>
        <v>-21541.310924787958</v>
      </c>
      <c r="O85" s="24">
        <f t="shared" ca="1" si="27"/>
        <v>8124.0366575019361</v>
      </c>
      <c r="P85" s="24">
        <f t="shared" ca="1" si="27"/>
        <v>4012.5865466769901</v>
      </c>
      <c r="Q85" s="24">
        <f t="shared" ca="1" si="27"/>
        <v>-20052.951431846024</v>
      </c>
      <c r="R85" s="24">
        <f t="shared" ca="1" si="27"/>
        <v>6749.9205951772892</v>
      </c>
      <c r="S85" s="24">
        <f t="shared" ca="1" si="27"/>
        <v>2953.1030368886022</v>
      </c>
      <c r="T85" s="24">
        <f t="shared" ca="1" si="27"/>
        <v>-19850.481238537635</v>
      </c>
      <c r="U85" s="24">
        <f t="shared" ca="1" si="27"/>
        <v>7102.9196392665808</v>
      </c>
      <c r="V85" s="24">
        <f t="shared" ca="1" si="27"/>
        <v>1850.9538972215059</v>
      </c>
      <c r="W85" s="24">
        <f t="shared" ca="1" si="27"/>
        <v>-17846.528074192091</v>
      </c>
      <c r="X85" s="24">
        <f t="shared" ca="1" si="27"/>
        <v>10048.92769301961</v>
      </c>
      <c r="Y85" s="24">
        <f t="shared" ca="1" si="27"/>
        <v>6549.2970672150523</v>
      </c>
      <c r="Z85" s="24">
        <f t="shared" ca="1" si="27"/>
        <v>-21934.795859120866</v>
      </c>
      <c r="AA85" s="24">
        <f t="shared" ca="1" si="27"/>
        <v>9109.553637593548</v>
      </c>
      <c r="AB85" s="24">
        <f t="shared" ca="1" si="27"/>
        <v>5873.3150038021504</v>
      </c>
      <c r="AC85" s="24">
        <f t="shared" ca="1" si="27"/>
        <v>-18152.415983412469</v>
      </c>
      <c r="AD85" s="24">
        <f t="shared" ca="1" si="27"/>
        <v>8115.2105396645175</v>
      </c>
      <c r="AE85" s="24">
        <f t="shared" ca="1" si="27"/>
        <v>4604.758287447743</v>
      </c>
      <c r="AF85" s="24">
        <f t="shared" ca="1" si="27"/>
        <v>-18480.817347700642</v>
      </c>
      <c r="AG85" s="24">
        <f t="shared" ca="1" si="27"/>
        <v>8493.2383109522543</v>
      </c>
      <c r="AH85" s="24">
        <f t="shared" ca="1" si="27"/>
        <v>3186.8271065118288</v>
      </c>
      <c r="AI85" s="24">
        <f t="shared" ca="1" si="27"/>
        <v>-15688.97531112344</v>
      </c>
      <c r="AJ85" s="24">
        <f t="shared" ca="1" si="27"/>
        <v>12161.713043563876</v>
      </c>
      <c r="AK85" s="24">
        <f t="shared" ca="1" si="27"/>
        <v>8192.8064086021495</v>
      </c>
      <c r="AL85" s="24">
        <f t="shared" ca="1" si="27"/>
        <v>-20894.242543523444</v>
      </c>
      <c r="AM85" s="24">
        <f t="shared" ca="1" si="27"/>
        <v>10615.572425868388</v>
      </c>
      <c r="AN85" s="24">
        <f t="shared" ca="1" si="27"/>
        <v>7406.3741526021504</v>
      </c>
      <c r="AO85" s="24">
        <f t="shared" ca="1" si="27"/>
        <v>-16818.072341304087</v>
      </c>
      <c r="AP85" s="24">
        <f t="shared" ca="1" si="27"/>
        <v>9192.5300080691632</v>
      </c>
      <c r="AQ85" s="24">
        <f t="shared" ca="1" si="27"/>
        <v>5683.7302883415068</v>
      </c>
      <c r="AR85" s="24">
        <f t="shared" ca="1" si="27"/>
        <v>-17155.747541546669</v>
      </c>
      <c r="AS85" s="24">
        <f t="shared" ca="1" si="27"/>
        <v>9648.8869740185801</v>
      </c>
    </row>
    <row r="86" spans="2:45" outlineLevel="1" collapsed="1" x14ac:dyDescent="0.15">
      <c r="B86" s="107" t="s">
        <v>89</v>
      </c>
      <c r="J86" s="14">
        <f t="shared" ref="J86:AS86" ca="1" si="28">SUM(J84:J85)</f>
        <v>56366.869850494637</v>
      </c>
      <c r="K86" s="14">
        <f t="shared" ca="1" si="28"/>
        <v>44565.745398407664</v>
      </c>
      <c r="L86" s="14">
        <f t="shared" ca="1" si="28"/>
        <v>93791.017492155705</v>
      </c>
      <c r="M86" s="14">
        <f t="shared" ca="1" si="28"/>
        <v>99434.209346422373</v>
      </c>
      <c r="N86" s="14">
        <f t="shared" ca="1" si="28"/>
        <v>77892.898421634411</v>
      </c>
      <c r="O86" s="14">
        <f t="shared" ca="1" si="28"/>
        <v>86016.935079136339</v>
      </c>
      <c r="P86" s="14">
        <f t="shared" ca="1" si="28"/>
        <v>90029.52162581333</v>
      </c>
      <c r="Q86" s="14">
        <f t="shared" ca="1" si="28"/>
        <v>69976.570193967302</v>
      </c>
      <c r="R86" s="14">
        <f t="shared" ca="1" si="28"/>
        <v>76726.490789144591</v>
      </c>
      <c r="S86" s="14">
        <f t="shared" ca="1" si="28"/>
        <v>79679.59382603319</v>
      </c>
      <c r="T86" s="14">
        <f t="shared" ca="1" si="28"/>
        <v>59829.112587495554</v>
      </c>
      <c r="U86" s="14">
        <f t="shared" ca="1" si="28"/>
        <v>66932.032226762138</v>
      </c>
      <c r="V86" s="14">
        <f t="shared" ca="1" si="28"/>
        <v>68782.986123983646</v>
      </c>
      <c r="W86" s="14">
        <f t="shared" ca="1" si="28"/>
        <v>50936.458049791559</v>
      </c>
      <c r="X86" s="14">
        <f t="shared" ca="1" si="28"/>
        <v>60985.385742811166</v>
      </c>
      <c r="Y86" s="14">
        <f t="shared" ca="1" si="28"/>
        <v>67534.682810026221</v>
      </c>
      <c r="Z86" s="14">
        <f t="shared" ca="1" si="28"/>
        <v>45599.886950905355</v>
      </c>
      <c r="AA86" s="14">
        <f t="shared" ca="1" si="28"/>
        <v>54709.440588498903</v>
      </c>
      <c r="AB86" s="14">
        <f t="shared" ca="1" si="28"/>
        <v>60582.755592301051</v>
      </c>
      <c r="AC86" s="14">
        <f t="shared" ca="1" si="28"/>
        <v>42430.339608888578</v>
      </c>
      <c r="AD86" s="14">
        <f t="shared" ca="1" si="28"/>
        <v>50545.550148553099</v>
      </c>
      <c r="AE86" s="14">
        <f t="shared" ca="1" si="28"/>
        <v>55150.308436000843</v>
      </c>
      <c r="AF86" s="14">
        <f t="shared" ca="1" si="28"/>
        <v>36669.491088300201</v>
      </c>
      <c r="AG86" s="14">
        <f t="shared" ca="1" si="28"/>
        <v>45162.729399252457</v>
      </c>
      <c r="AH86" s="14">
        <f t="shared" ca="1" si="28"/>
        <v>48349.556505764289</v>
      </c>
      <c r="AI86" s="14">
        <f t="shared" ca="1" si="28"/>
        <v>32660.58119464085</v>
      </c>
      <c r="AJ86" s="14">
        <f t="shared" ca="1" si="28"/>
        <v>44822.294238204726</v>
      </c>
      <c r="AK86" s="14">
        <f t="shared" ca="1" si="28"/>
        <v>53015.100646806874</v>
      </c>
      <c r="AL86" s="14">
        <f t="shared" ca="1" si="28"/>
        <v>32120.85810328343</v>
      </c>
      <c r="AM86" s="14">
        <f t="shared" ca="1" si="28"/>
        <v>42736.430529151818</v>
      </c>
      <c r="AN86" s="14">
        <f t="shared" ca="1" si="28"/>
        <v>50142.804681753965</v>
      </c>
      <c r="AO86" s="14">
        <f t="shared" ca="1" si="28"/>
        <v>33324.732340449875</v>
      </c>
      <c r="AP86" s="14">
        <f t="shared" ca="1" si="28"/>
        <v>42517.262348519042</v>
      </c>
      <c r="AQ86" s="14">
        <f t="shared" ca="1" si="28"/>
        <v>48200.992636860552</v>
      </c>
      <c r="AR86" s="14">
        <f t="shared" ca="1" si="28"/>
        <v>31045.245095313883</v>
      </c>
      <c r="AS86" s="14">
        <f t="shared" ca="1" si="28"/>
        <v>40694.132069332467</v>
      </c>
    </row>
    <row r="87" spans="2:45" ht="6" hidden="1" customHeight="1" outlineLevel="2" x14ac:dyDescent="0.15"/>
    <row r="88" spans="2:45" hidden="1" outlineLevel="2" x14ac:dyDescent="0.15">
      <c r="B88" s="107" t="str">
        <f>WC!B72</f>
        <v>Trade Debtors</v>
      </c>
      <c r="J88" s="24">
        <f>WC!J72</f>
        <v>0</v>
      </c>
      <c r="K88" s="24">
        <f>WC!K72</f>
        <v>0</v>
      </c>
      <c r="L88" s="24">
        <f>WC!L72</f>
        <v>0</v>
      </c>
      <c r="M88" s="24">
        <f>WC!M72</f>
        <v>0</v>
      </c>
      <c r="N88" s="24">
        <f>WC!N72</f>
        <v>0</v>
      </c>
      <c r="O88" s="24">
        <f>WC!O72</f>
        <v>0</v>
      </c>
      <c r="P88" s="24">
        <f>WC!P72</f>
        <v>0</v>
      </c>
      <c r="Q88" s="24">
        <f>WC!Q72</f>
        <v>0</v>
      </c>
      <c r="R88" s="24">
        <f>WC!R72</f>
        <v>0</v>
      </c>
      <c r="S88" s="24">
        <f>WC!S72</f>
        <v>0</v>
      </c>
      <c r="T88" s="24">
        <f>WC!T72</f>
        <v>0</v>
      </c>
      <c r="U88" s="24">
        <f>WC!U72</f>
        <v>0</v>
      </c>
      <c r="V88" s="24">
        <f>WC!V72</f>
        <v>0</v>
      </c>
      <c r="W88" s="24">
        <f>WC!W72</f>
        <v>0</v>
      </c>
      <c r="X88" s="24">
        <f>WC!X72</f>
        <v>0</v>
      </c>
      <c r="Y88" s="24">
        <f>WC!Y72</f>
        <v>0</v>
      </c>
      <c r="Z88" s="24">
        <f>WC!Z72</f>
        <v>0</v>
      </c>
      <c r="AA88" s="24">
        <f>WC!AA72</f>
        <v>0</v>
      </c>
      <c r="AB88" s="24">
        <f>WC!AB72</f>
        <v>0</v>
      </c>
      <c r="AC88" s="24">
        <f>WC!AC72</f>
        <v>0</v>
      </c>
      <c r="AD88" s="24">
        <f>WC!AD72</f>
        <v>0</v>
      </c>
      <c r="AE88" s="24">
        <f>WC!AE72</f>
        <v>0</v>
      </c>
      <c r="AF88" s="24">
        <f>WC!AF72</f>
        <v>0</v>
      </c>
      <c r="AG88" s="24">
        <f>WC!AG72</f>
        <v>0</v>
      </c>
      <c r="AH88" s="24">
        <f>WC!AH72</f>
        <v>0</v>
      </c>
      <c r="AI88" s="24">
        <f>WC!AI72</f>
        <v>0</v>
      </c>
      <c r="AJ88" s="24">
        <f>WC!AJ72</f>
        <v>0</v>
      </c>
      <c r="AK88" s="24">
        <f>WC!AK72</f>
        <v>0</v>
      </c>
      <c r="AL88" s="24">
        <f>WC!AL72</f>
        <v>0</v>
      </c>
      <c r="AM88" s="24">
        <f>WC!AM72</f>
        <v>0</v>
      </c>
      <c r="AN88" s="24">
        <f>WC!AN72</f>
        <v>0</v>
      </c>
      <c r="AO88" s="24">
        <f>WC!AO72</f>
        <v>0</v>
      </c>
      <c r="AP88" s="24">
        <f>WC!AP72</f>
        <v>0</v>
      </c>
      <c r="AQ88" s="24">
        <f>WC!AQ72</f>
        <v>0</v>
      </c>
      <c r="AR88" s="24">
        <f>WC!AR72</f>
        <v>0</v>
      </c>
      <c r="AS88" s="24">
        <f>WC!AS72</f>
        <v>0</v>
      </c>
    </row>
    <row r="89" spans="2:45" outlineLevel="1" collapsed="1" x14ac:dyDescent="0.15">
      <c r="B89" s="107" t="s">
        <v>90</v>
      </c>
      <c r="J89" s="14">
        <f t="shared" ref="J89:AS89" si="29">SUM(J88:J88)</f>
        <v>0</v>
      </c>
      <c r="K89" s="14">
        <f t="shared" si="29"/>
        <v>0</v>
      </c>
      <c r="L89" s="14">
        <f t="shared" si="29"/>
        <v>0</v>
      </c>
      <c r="M89" s="14">
        <f t="shared" si="29"/>
        <v>0</v>
      </c>
      <c r="N89" s="14">
        <f t="shared" si="29"/>
        <v>0</v>
      </c>
      <c r="O89" s="14">
        <f t="shared" si="29"/>
        <v>0</v>
      </c>
      <c r="P89" s="14">
        <f t="shared" si="29"/>
        <v>0</v>
      </c>
      <c r="Q89" s="14">
        <f t="shared" si="29"/>
        <v>0</v>
      </c>
      <c r="R89" s="14">
        <f t="shared" si="29"/>
        <v>0</v>
      </c>
      <c r="S89" s="14">
        <f t="shared" si="29"/>
        <v>0</v>
      </c>
      <c r="T89" s="14">
        <f t="shared" si="29"/>
        <v>0</v>
      </c>
      <c r="U89" s="14">
        <f t="shared" si="29"/>
        <v>0</v>
      </c>
      <c r="V89" s="14">
        <f t="shared" si="29"/>
        <v>0</v>
      </c>
      <c r="W89" s="14">
        <f t="shared" si="29"/>
        <v>0</v>
      </c>
      <c r="X89" s="14">
        <f t="shared" si="29"/>
        <v>0</v>
      </c>
      <c r="Y89" s="14">
        <f t="shared" si="29"/>
        <v>0</v>
      </c>
      <c r="Z89" s="14">
        <f t="shared" si="29"/>
        <v>0</v>
      </c>
      <c r="AA89" s="14">
        <f t="shared" si="29"/>
        <v>0</v>
      </c>
      <c r="AB89" s="14">
        <f t="shared" si="29"/>
        <v>0</v>
      </c>
      <c r="AC89" s="14">
        <f t="shared" si="29"/>
        <v>0</v>
      </c>
      <c r="AD89" s="14">
        <f t="shared" si="29"/>
        <v>0</v>
      </c>
      <c r="AE89" s="14">
        <f t="shared" si="29"/>
        <v>0</v>
      </c>
      <c r="AF89" s="14">
        <f t="shared" si="29"/>
        <v>0</v>
      </c>
      <c r="AG89" s="14">
        <f t="shared" si="29"/>
        <v>0</v>
      </c>
      <c r="AH89" s="14">
        <f t="shared" si="29"/>
        <v>0</v>
      </c>
      <c r="AI89" s="14">
        <f t="shared" si="29"/>
        <v>0</v>
      </c>
      <c r="AJ89" s="14">
        <f t="shared" si="29"/>
        <v>0</v>
      </c>
      <c r="AK89" s="14">
        <f t="shared" si="29"/>
        <v>0</v>
      </c>
      <c r="AL89" s="14">
        <f t="shared" si="29"/>
        <v>0</v>
      </c>
      <c r="AM89" s="14">
        <f t="shared" si="29"/>
        <v>0</v>
      </c>
      <c r="AN89" s="14">
        <f t="shared" si="29"/>
        <v>0</v>
      </c>
      <c r="AO89" s="14">
        <f t="shared" si="29"/>
        <v>0</v>
      </c>
      <c r="AP89" s="14">
        <f t="shared" si="29"/>
        <v>0</v>
      </c>
      <c r="AQ89" s="14">
        <f t="shared" si="29"/>
        <v>0</v>
      </c>
      <c r="AR89" s="14">
        <f t="shared" si="29"/>
        <v>0</v>
      </c>
      <c r="AS89" s="14">
        <f t="shared" si="29"/>
        <v>0</v>
      </c>
    </row>
    <row r="90" spans="2:45" ht="6" hidden="1" customHeight="1" outlineLevel="2" x14ac:dyDescent="0.15"/>
    <row r="91" spans="2:45" hidden="1" outlineLevel="2" x14ac:dyDescent="0.15">
      <c r="B91" s="107" t="str">
        <f>WC!B130</f>
        <v>Inventory</v>
      </c>
      <c r="J91" s="24">
        <f ca="1">WC!J130</f>
        <v>0</v>
      </c>
      <c r="K91" s="24">
        <f ca="1">WC!K130</f>
        <v>0</v>
      </c>
      <c r="L91" s="24">
        <f ca="1">WC!L130</f>
        <v>0</v>
      </c>
      <c r="M91" s="24">
        <f ca="1">WC!M130</f>
        <v>0</v>
      </c>
      <c r="N91" s="24">
        <f ca="1">WC!N130</f>
        <v>0</v>
      </c>
      <c r="O91" s="24">
        <f ca="1">WC!O130</f>
        <v>0</v>
      </c>
      <c r="P91" s="24">
        <f ca="1">WC!P130</f>
        <v>0</v>
      </c>
      <c r="Q91" s="24">
        <f ca="1">WC!Q130</f>
        <v>0</v>
      </c>
      <c r="R91" s="24">
        <f ca="1">WC!R130</f>
        <v>0</v>
      </c>
      <c r="S91" s="24">
        <f ca="1">WC!S130</f>
        <v>0</v>
      </c>
      <c r="T91" s="24">
        <f ca="1">WC!T130</f>
        <v>0</v>
      </c>
      <c r="U91" s="24">
        <f ca="1">WC!U130</f>
        <v>0</v>
      </c>
      <c r="V91" s="24">
        <f ca="1">WC!V130</f>
        <v>0</v>
      </c>
      <c r="W91" s="24">
        <f ca="1">WC!W130</f>
        <v>0</v>
      </c>
      <c r="X91" s="24">
        <f ca="1">WC!X130</f>
        <v>0</v>
      </c>
      <c r="Y91" s="24">
        <f ca="1">WC!Y130</f>
        <v>0</v>
      </c>
      <c r="Z91" s="24">
        <f ca="1">WC!Z130</f>
        <v>0</v>
      </c>
      <c r="AA91" s="24">
        <f ca="1">WC!AA130</f>
        <v>0</v>
      </c>
      <c r="AB91" s="24">
        <f ca="1">WC!AB130</f>
        <v>0</v>
      </c>
      <c r="AC91" s="24">
        <f ca="1">WC!AC130</f>
        <v>0</v>
      </c>
      <c r="AD91" s="24">
        <f ca="1">WC!AD130</f>
        <v>0</v>
      </c>
      <c r="AE91" s="24">
        <f ca="1">WC!AE130</f>
        <v>0</v>
      </c>
      <c r="AF91" s="24">
        <f ca="1">WC!AF130</f>
        <v>0</v>
      </c>
      <c r="AG91" s="24">
        <f ca="1">WC!AG130</f>
        <v>0</v>
      </c>
      <c r="AH91" s="24">
        <f ca="1">WC!AH130</f>
        <v>0</v>
      </c>
      <c r="AI91" s="24">
        <f ca="1">WC!AI130</f>
        <v>0</v>
      </c>
      <c r="AJ91" s="24">
        <f ca="1">WC!AJ130</f>
        <v>0</v>
      </c>
      <c r="AK91" s="24">
        <f ca="1">WC!AK130</f>
        <v>0</v>
      </c>
      <c r="AL91" s="24">
        <f ca="1">WC!AL130</f>
        <v>0</v>
      </c>
      <c r="AM91" s="24">
        <f ca="1">WC!AM130</f>
        <v>0</v>
      </c>
      <c r="AN91" s="24">
        <f ca="1">WC!AN130</f>
        <v>0</v>
      </c>
      <c r="AO91" s="24">
        <f ca="1">WC!AO130</f>
        <v>0</v>
      </c>
      <c r="AP91" s="24">
        <f ca="1">WC!AP130</f>
        <v>0</v>
      </c>
      <c r="AQ91" s="24">
        <f ca="1">WC!AQ130</f>
        <v>0</v>
      </c>
      <c r="AR91" s="24">
        <f ca="1">WC!AR130</f>
        <v>0</v>
      </c>
      <c r="AS91" s="24">
        <f ca="1">WC!AS130</f>
        <v>0</v>
      </c>
    </row>
    <row r="92" spans="2:45" outlineLevel="1" collapsed="1" x14ac:dyDescent="0.15">
      <c r="B92" s="107" t="s">
        <v>91</v>
      </c>
      <c r="J92" s="14">
        <f t="shared" ref="J92:AS92" ca="1" si="30">SUM(J91:J91)</f>
        <v>0</v>
      </c>
      <c r="K92" s="14">
        <f t="shared" ca="1" si="30"/>
        <v>0</v>
      </c>
      <c r="L92" s="14">
        <f t="shared" ca="1" si="30"/>
        <v>0</v>
      </c>
      <c r="M92" s="14">
        <f t="shared" ca="1" si="30"/>
        <v>0</v>
      </c>
      <c r="N92" s="14">
        <f t="shared" ca="1" si="30"/>
        <v>0</v>
      </c>
      <c r="O92" s="14">
        <f t="shared" ca="1" si="30"/>
        <v>0</v>
      </c>
      <c r="P92" s="14">
        <f t="shared" ca="1" si="30"/>
        <v>0</v>
      </c>
      <c r="Q92" s="14">
        <f t="shared" ca="1" si="30"/>
        <v>0</v>
      </c>
      <c r="R92" s="14">
        <f t="shared" ca="1" si="30"/>
        <v>0</v>
      </c>
      <c r="S92" s="14">
        <f t="shared" ca="1" si="30"/>
        <v>0</v>
      </c>
      <c r="T92" s="14">
        <f t="shared" ca="1" si="30"/>
        <v>0</v>
      </c>
      <c r="U92" s="14">
        <f t="shared" ca="1" si="30"/>
        <v>0</v>
      </c>
      <c r="V92" s="14">
        <f t="shared" ca="1" si="30"/>
        <v>0</v>
      </c>
      <c r="W92" s="14">
        <f t="shared" ca="1" si="30"/>
        <v>0</v>
      </c>
      <c r="X92" s="14">
        <f t="shared" ca="1" si="30"/>
        <v>0</v>
      </c>
      <c r="Y92" s="14">
        <f t="shared" ca="1" si="30"/>
        <v>0</v>
      </c>
      <c r="Z92" s="14">
        <f t="shared" ca="1" si="30"/>
        <v>0</v>
      </c>
      <c r="AA92" s="14">
        <f t="shared" ca="1" si="30"/>
        <v>0</v>
      </c>
      <c r="AB92" s="14">
        <f t="shared" ca="1" si="30"/>
        <v>0</v>
      </c>
      <c r="AC92" s="14">
        <f t="shared" ca="1" si="30"/>
        <v>0</v>
      </c>
      <c r="AD92" s="14">
        <f t="shared" ca="1" si="30"/>
        <v>0</v>
      </c>
      <c r="AE92" s="14">
        <f t="shared" ca="1" si="30"/>
        <v>0</v>
      </c>
      <c r="AF92" s="14">
        <f t="shared" ca="1" si="30"/>
        <v>0</v>
      </c>
      <c r="AG92" s="14">
        <f t="shared" ca="1" si="30"/>
        <v>0</v>
      </c>
      <c r="AH92" s="14">
        <f t="shared" ca="1" si="30"/>
        <v>0</v>
      </c>
      <c r="AI92" s="14">
        <f t="shared" ca="1" si="30"/>
        <v>0</v>
      </c>
      <c r="AJ92" s="14">
        <f t="shared" ca="1" si="30"/>
        <v>0</v>
      </c>
      <c r="AK92" s="14">
        <f t="shared" ca="1" si="30"/>
        <v>0</v>
      </c>
      <c r="AL92" s="14">
        <f t="shared" ca="1" si="30"/>
        <v>0</v>
      </c>
      <c r="AM92" s="14">
        <f t="shared" ca="1" si="30"/>
        <v>0</v>
      </c>
      <c r="AN92" s="14">
        <f t="shared" ca="1" si="30"/>
        <v>0</v>
      </c>
      <c r="AO92" s="14">
        <f t="shared" ca="1" si="30"/>
        <v>0</v>
      </c>
      <c r="AP92" s="14">
        <f t="shared" ca="1" si="30"/>
        <v>0</v>
      </c>
      <c r="AQ92" s="14">
        <f t="shared" ca="1" si="30"/>
        <v>0</v>
      </c>
      <c r="AR92" s="14">
        <f t="shared" ca="1" si="30"/>
        <v>0</v>
      </c>
      <c r="AS92" s="14">
        <f t="shared" ca="1" si="30"/>
        <v>0</v>
      </c>
    </row>
    <row r="93" spans="2:45" ht="6" hidden="1" customHeight="1" outlineLevel="2" x14ac:dyDescent="0.15"/>
    <row r="94" spans="2:45" hidden="1" outlineLevel="2" x14ac:dyDescent="0.15">
      <c r="B94" s="107" t="str">
        <f>Other!B58</f>
        <v>Other Current Assets</v>
      </c>
      <c r="J94" s="24">
        <f>Other!J58</f>
        <v>0</v>
      </c>
      <c r="K94" s="24">
        <f>Other!K58</f>
        <v>0</v>
      </c>
      <c r="L94" s="24">
        <f>Other!L58</f>
        <v>0</v>
      </c>
      <c r="M94" s="24">
        <f>Other!M58</f>
        <v>0</v>
      </c>
      <c r="N94" s="24">
        <f>Other!N58</f>
        <v>0</v>
      </c>
      <c r="O94" s="24">
        <f>Other!O58</f>
        <v>0</v>
      </c>
      <c r="P94" s="24">
        <f>Other!P58</f>
        <v>0</v>
      </c>
      <c r="Q94" s="24">
        <f>Other!Q58</f>
        <v>0</v>
      </c>
      <c r="R94" s="24">
        <f>Other!R58</f>
        <v>0</v>
      </c>
      <c r="S94" s="24">
        <f>Other!S58</f>
        <v>0</v>
      </c>
      <c r="T94" s="24">
        <f>Other!T58</f>
        <v>0</v>
      </c>
      <c r="U94" s="24">
        <f>Other!U58</f>
        <v>0</v>
      </c>
      <c r="V94" s="24">
        <f>Other!V58</f>
        <v>0</v>
      </c>
      <c r="W94" s="24">
        <f>Other!W58</f>
        <v>0</v>
      </c>
      <c r="X94" s="24">
        <f>Other!X58</f>
        <v>0</v>
      </c>
      <c r="Y94" s="24">
        <f>Other!Y58</f>
        <v>0</v>
      </c>
      <c r="Z94" s="24">
        <f>Other!Z58</f>
        <v>0</v>
      </c>
      <c r="AA94" s="24">
        <f>Other!AA58</f>
        <v>0</v>
      </c>
      <c r="AB94" s="24">
        <f>Other!AB58</f>
        <v>0</v>
      </c>
      <c r="AC94" s="24">
        <f>Other!AC58</f>
        <v>0</v>
      </c>
      <c r="AD94" s="24">
        <f>Other!AD58</f>
        <v>0</v>
      </c>
      <c r="AE94" s="24">
        <f>Other!AE58</f>
        <v>0</v>
      </c>
      <c r="AF94" s="24">
        <f>Other!AF58</f>
        <v>0</v>
      </c>
      <c r="AG94" s="24">
        <f>Other!AG58</f>
        <v>0</v>
      </c>
      <c r="AH94" s="24">
        <f>Other!AH58</f>
        <v>0</v>
      </c>
      <c r="AI94" s="24">
        <f>Other!AI58</f>
        <v>0</v>
      </c>
      <c r="AJ94" s="24">
        <f>Other!AJ58</f>
        <v>0</v>
      </c>
      <c r="AK94" s="24">
        <f>Other!AK58</f>
        <v>0</v>
      </c>
      <c r="AL94" s="24">
        <f>Other!AL58</f>
        <v>0</v>
      </c>
      <c r="AM94" s="24">
        <f>Other!AM58</f>
        <v>0</v>
      </c>
      <c r="AN94" s="24">
        <f>Other!AN58</f>
        <v>0</v>
      </c>
      <c r="AO94" s="24">
        <f>Other!AO58</f>
        <v>0</v>
      </c>
      <c r="AP94" s="24">
        <f>Other!AP58</f>
        <v>0</v>
      </c>
      <c r="AQ94" s="24">
        <f>Other!AQ58</f>
        <v>0</v>
      </c>
      <c r="AR94" s="24">
        <f>Other!AR58</f>
        <v>0</v>
      </c>
      <c r="AS94" s="24">
        <f>Other!AS58</f>
        <v>0</v>
      </c>
    </row>
    <row r="95" spans="2:45" outlineLevel="1" collapsed="1" x14ac:dyDescent="0.15">
      <c r="B95" s="107" t="s">
        <v>92</v>
      </c>
      <c r="J95" s="14">
        <f t="shared" ref="J95:AS95" si="31">SUM(J94:J94)</f>
        <v>0</v>
      </c>
      <c r="K95" s="14">
        <f t="shared" si="31"/>
        <v>0</v>
      </c>
      <c r="L95" s="14">
        <f t="shared" si="31"/>
        <v>0</v>
      </c>
      <c r="M95" s="14">
        <f t="shared" si="31"/>
        <v>0</v>
      </c>
      <c r="N95" s="14">
        <f t="shared" si="31"/>
        <v>0</v>
      </c>
      <c r="O95" s="14">
        <f t="shared" si="31"/>
        <v>0</v>
      </c>
      <c r="P95" s="14">
        <f t="shared" si="31"/>
        <v>0</v>
      </c>
      <c r="Q95" s="14">
        <f t="shared" si="31"/>
        <v>0</v>
      </c>
      <c r="R95" s="14">
        <f t="shared" si="31"/>
        <v>0</v>
      </c>
      <c r="S95" s="14">
        <f t="shared" si="31"/>
        <v>0</v>
      </c>
      <c r="T95" s="14">
        <f t="shared" si="31"/>
        <v>0</v>
      </c>
      <c r="U95" s="14">
        <f t="shared" si="31"/>
        <v>0</v>
      </c>
      <c r="V95" s="14">
        <f t="shared" si="31"/>
        <v>0</v>
      </c>
      <c r="W95" s="14">
        <f t="shared" si="31"/>
        <v>0</v>
      </c>
      <c r="X95" s="14">
        <f t="shared" si="31"/>
        <v>0</v>
      </c>
      <c r="Y95" s="14">
        <f t="shared" si="31"/>
        <v>0</v>
      </c>
      <c r="Z95" s="14">
        <f t="shared" si="31"/>
        <v>0</v>
      </c>
      <c r="AA95" s="14">
        <f t="shared" si="31"/>
        <v>0</v>
      </c>
      <c r="AB95" s="14">
        <f t="shared" si="31"/>
        <v>0</v>
      </c>
      <c r="AC95" s="14">
        <f t="shared" si="31"/>
        <v>0</v>
      </c>
      <c r="AD95" s="14">
        <f t="shared" si="31"/>
        <v>0</v>
      </c>
      <c r="AE95" s="14">
        <f t="shared" si="31"/>
        <v>0</v>
      </c>
      <c r="AF95" s="14">
        <f t="shared" si="31"/>
        <v>0</v>
      </c>
      <c r="AG95" s="14">
        <f t="shared" si="31"/>
        <v>0</v>
      </c>
      <c r="AH95" s="14">
        <f t="shared" si="31"/>
        <v>0</v>
      </c>
      <c r="AI95" s="14">
        <f t="shared" si="31"/>
        <v>0</v>
      </c>
      <c r="AJ95" s="14">
        <f t="shared" si="31"/>
        <v>0</v>
      </c>
      <c r="AK95" s="14">
        <f t="shared" si="31"/>
        <v>0</v>
      </c>
      <c r="AL95" s="14">
        <f t="shared" si="31"/>
        <v>0</v>
      </c>
      <c r="AM95" s="14">
        <f t="shared" si="31"/>
        <v>0</v>
      </c>
      <c r="AN95" s="14">
        <f t="shared" si="31"/>
        <v>0</v>
      </c>
      <c r="AO95" s="14">
        <f t="shared" si="31"/>
        <v>0</v>
      </c>
      <c r="AP95" s="14">
        <f t="shared" si="31"/>
        <v>0</v>
      </c>
      <c r="AQ95" s="14">
        <f t="shared" si="31"/>
        <v>0</v>
      </c>
      <c r="AR95" s="14">
        <f t="shared" si="31"/>
        <v>0</v>
      </c>
      <c r="AS95" s="14">
        <f t="shared" si="31"/>
        <v>0</v>
      </c>
    </row>
    <row r="96" spans="2:45" ht="6" hidden="1" customHeight="1" outlineLevel="2" x14ac:dyDescent="0.15"/>
    <row r="97" spans="2:45" outlineLevel="1" collapsed="1" x14ac:dyDescent="0.15">
      <c r="B97" s="16" t="s">
        <v>283</v>
      </c>
      <c r="J97" s="18">
        <f t="shared" ref="J97:AS97" ca="1" si="32">J86+J89+J92+J95</f>
        <v>56366.869850494637</v>
      </c>
      <c r="K97" s="18">
        <f t="shared" ca="1" si="32"/>
        <v>44565.745398407664</v>
      </c>
      <c r="L97" s="18">
        <f t="shared" ca="1" si="32"/>
        <v>93791.017492155705</v>
      </c>
      <c r="M97" s="18">
        <f t="shared" ca="1" si="32"/>
        <v>99434.209346422373</v>
      </c>
      <c r="N97" s="18">
        <f t="shared" ca="1" si="32"/>
        <v>77892.898421634411</v>
      </c>
      <c r="O97" s="18">
        <f t="shared" ca="1" si="32"/>
        <v>86016.935079136339</v>
      </c>
      <c r="P97" s="18">
        <f t="shared" ca="1" si="32"/>
        <v>90029.52162581333</v>
      </c>
      <c r="Q97" s="18">
        <f t="shared" ca="1" si="32"/>
        <v>69976.570193967302</v>
      </c>
      <c r="R97" s="18">
        <f t="shared" ca="1" si="32"/>
        <v>76726.490789144591</v>
      </c>
      <c r="S97" s="18">
        <f t="shared" ca="1" si="32"/>
        <v>79679.59382603319</v>
      </c>
      <c r="T97" s="18">
        <f t="shared" ca="1" si="32"/>
        <v>59829.112587495554</v>
      </c>
      <c r="U97" s="18">
        <f t="shared" ca="1" si="32"/>
        <v>66932.032226762138</v>
      </c>
      <c r="V97" s="18">
        <f t="shared" ca="1" si="32"/>
        <v>68782.986123983646</v>
      </c>
      <c r="W97" s="18">
        <f t="shared" ca="1" si="32"/>
        <v>50936.458049791559</v>
      </c>
      <c r="X97" s="18">
        <f t="shared" ca="1" si="32"/>
        <v>60985.385742811166</v>
      </c>
      <c r="Y97" s="18">
        <f t="shared" ca="1" si="32"/>
        <v>67534.682810026221</v>
      </c>
      <c r="Z97" s="18">
        <f t="shared" ca="1" si="32"/>
        <v>45599.886950905355</v>
      </c>
      <c r="AA97" s="18">
        <f t="shared" ca="1" si="32"/>
        <v>54709.440588498903</v>
      </c>
      <c r="AB97" s="18">
        <f t="shared" ca="1" si="32"/>
        <v>60582.755592301051</v>
      </c>
      <c r="AC97" s="18">
        <f t="shared" ca="1" si="32"/>
        <v>42430.339608888578</v>
      </c>
      <c r="AD97" s="18">
        <f t="shared" ca="1" si="32"/>
        <v>50545.550148553099</v>
      </c>
      <c r="AE97" s="18">
        <f t="shared" ca="1" si="32"/>
        <v>55150.308436000843</v>
      </c>
      <c r="AF97" s="18">
        <f t="shared" ca="1" si="32"/>
        <v>36669.491088300201</v>
      </c>
      <c r="AG97" s="18">
        <f t="shared" ca="1" si="32"/>
        <v>45162.729399252457</v>
      </c>
      <c r="AH97" s="18">
        <f t="shared" ca="1" si="32"/>
        <v>48349.556505764289</v>
      </c>
      <c r="AI97" s="18">
        <f t="shared" ca="1" si="32"/>
        <v>32660.58119464085</v>
      </c>
      <c r="AJ97" s="18">
        <f t="shared" ca="1" si="32"/>
        <v>44822.294238204726</v>
      </c>
      <c r="AK97" s="18">
        <f t="shared" ca="1" si="32"/>
        <v>53015.100646806874</v>
      </c>
      <c r="AL97" s="18">
        <f t="shared" ca="1" si="32"/>
        <v>32120.85810328343</v>
      </c>
      <c r="AM97" s="18">
        <f t="shared" ca="1" si="32"/>
        <v>42736.430529151818</v>
      </c>
      <c r="AN97" s="18">
        <f t="shared" ca="1" si="32"/>
        <v>50142.804681753965</v>
      </c>
      <c r="AO97" s="18">
        <f t="shared" ca="1" si="32"/>
        <v>33324.732340449875</v>
      </c>
      <c r="AP97" s="18">
        <f t="shared" ca="1" si="32"/>
        <v>42517.262348519042</v>
      </c>
      <c r="AQ97" s="18">
        <f t="shared" ca="1" si="32"/>
        <v>48200.992636860552</v>
      </c>
      <c r="AR97" s="18">
        <f t="shared" ca="1" si="32"/>
        <v>31045.245095313883</v>
      </c>
      <c r="AS97" s="18">
        <f t="shared" ca="1" si="32"/>
        <v>40694.132069332467</v>
      </c>
    </row>
    <row r="98" spans="2:45" ht="6" customHeight="1" outlineLevel="1" x14ac:dyDescent="0.15"/>
    <row r="99" spans="2:45" hidden="1" outlineLevel="2" x14ac:dyDescent="0.15">
      <c r="B99" s="107" t="str">
        <f>Assets!B83</f>
        <v>Fencing Equipment</v>
      </c>
      <c r="J99" s="23">
        <f ca="1">Assets!J83</f>
        <v>9930.5555555555547</v>
      </c>
      <c r="K99" s="23">
        <f ca="1">Assets!K83</f>
        <v>9791.6666666666661</v>
      </c>
      <c r="L99" s="23">
        <f ca="1">Assets!L83</f>
        <v>9652.7777777777774</v>
      </c>
      <c r="M99" s="23">
        <f ca="1">Assets!M83</f>
        <v>9513.8888888888887</v>
      </c>
      <c r="N99" s="23">
        <f ca="1">Assets!N83</f>
        <v>9375</v>
      </c>
      <c r="O99" s="23">
        <f ca="1">Assets!O83</f>
        <v>9236.1111111111113</v>
      </c>
      <c r="P99" s="23">
        <f ca="1">Assets!P83</f>
        <v>9097.2222222222226</v>
      </c>
      <c r="Q99" s="23">
        <f ca="1">Assets!Q83</f>
        <v>8958.3333333333339</v>
      </c>
      <c r="R99" s="23">
        <f ca="1">Assets!R83</f>
        <v>8819.4444444444453</v>
      </c>
      <c r="S99" s="23">
        <f ca="1">Assets!S83</f>
        <v>8680.5555555555566</v>
      </c>
      <c r="T99" s="23">
        <f ca="1">Assets!T83</f>
        <v>8541.6666666666679</v>
      </c>
      <c r="U99" s="23">
        <f ca="1">Assets!U83</f>
        <v>8402.7777777777792</v>
      </c>
      <c r="V99" s="23">
        <f ca="1">Assets!V83</f>
        <v>8263.8888888888905</v>
      </c>
      <c r="W99" s="23">
        <f ca="1">Assets!W83</f>
        <v>8125.0000000000018</v>
      </c>
      <c r="X99" s="23">
        <f ca="1">Assets!X83</f>
        <v>7986.1111111111131</v>
      </c>
      <c r="Y99" s="23">
        <f ca="1">Assets!Y83</f>
        <v>7847.2222222222244</v>
      </c>
      <c r="Z99" s="23">
        <f ca="1">Assets!Z83</f>
        <v>7708.3333333333358</v>
      </c>
      <c r="AA99" s="23">
        <f ca="1">Assets!AA83</f>
        <v>7569.4444444444471</v>
      </c>
      <c r="AB99" s="23">
        <f ca="1">Assets!AB83</f>
        <v>7430.5555555555584</v>
      </c>
      <c r="AC99" s="23">
        <f ca="1">Assets!AC83</f>
        <v>7291.6666666666697</v>
      </c>
      <c r="AD99" s="23">
        <f ca="1">Assets!AD83</f>
        <v>7152.777777777781</v>
      </c>
      <c r="AE99" s="23">
        <f ca="1">Assets!AE83</f>
        <v>7013.8888888888923</v>
      </c>
      <c r="AF99" s="23">
        <f ca="1">Assets!AF83</f>
        <v>6875.0000000000036</v>
      </c>
      <c r="AG99" s="23">
        <f ca="1">Assets!AG83</f>
        <v>6736.111111111115</v>
      </c>
      <c r="AH99" s="23">
        <f ca="1">Assets!AH83</f>
        <v>6597.2222222222263</v>
      </c>
      <c r="AI99" s="23">
        <f ca="1">Assets!AI83</f>
        <v>6458.3333333333376</v>
      </c>
      <c r="AJ99" s="23">
        <f ca="1">Assets!AJ83</f>
        <v>6319.4444444444489</v>
      </c>
      <c r="AK99" s="23">
        <f ca="1">Assets!AK83</f>
        <v>6180.5555555555602</v>
      </c>
      <c r="AL99" s="23">
        <f ca="1">Assets!AL83</f>
        <v>6041.6666666666715</v>
      </c>
      <c r="AM99" s="23">
        <f ca="1">Assets!AM83</f>
        <v>5902.7777777777828</v>
      </c>
      <c r="AN99" s="23">
        <f ca="1">Assets!AN83</f>
        <v>5763.8888888888941</v>
      </c>
      <c r="AO99" s="23">
        <f ca="1">Assets!AO83</f>
        <v>5625.0000000000055</v>
      </c>
      <c r="AP99" s="23">
        <f ca="1">Assets!AP83</f>
        <v>5486.1111111111168</v>
      </c>
      <c r="AQ99" s="23">
        <f ca="1">Assets!AQ83</f>
        <v>5347.2222222222281</v>
      </c>
      <c r="AR99" s="23">
        <f ca="1">Assets!AR83</f>
        <v>5208.3333333333394</v>
      </c>
      <c r="AS99" s="23">
        <f ca="1">Assets!AS83</f>
        <v>5069.4444444444507</v>
      </c>
    </row>
    <row r="100" spans="2:45" hidden="1" outlineLevel="2" collapsed="1" x14ac:dyDescent="0.15">
      <c r="B100" s="107" t="str">
        <f>Assets!B84</f>
        <v>Leashold Improvements</v>
      </c>
      <c r="J100" s="24">
        <f ca="1">Assets!J84</f>
        <v>199654.47222222222</v>
      </c>
      <c r="K100" s="24">
        <f ca="1">Assets!K84</f>
        <v>193993.16666666666</v>
      </c>
      <c r="L100" s="24">
        <f ca="1">Assets!L84</f>
        <v>188331.86111111109</v>
      </c>
      <c r="M100" s="24">
        <f ca="1">Assets!M84</f>
        <v>182670.55555555553</v>
      </c>
      <c r="N100" s="24">
        <f ca="1">Assets!N84</f>
        <v>177009.24999999997</v>
      </c>
      <c r="O100" s="24">
        <f ca="1">Assets!O84</f>
        <v>171347.94444444441</v>
      </c>
      <c r="P100" s="24">
        <f ca="1">Assets!P84</f>
        <v>165686.63888888885</v>
      </c>
      <c r="Q100" s="24">
        <f ca="1">Assets!Q84</f>
        <v>160025.33333333328</v>
      </c>
      <c r="R100" s="24">
        <f ca="1">Assets!R84</f>
        <v>154364.02777777772</v>
      </c>
      <c r="S100" s="24">
        <f ca="1">Assets!S84</f>
        <v>148702.72222222216</v>
      </c>
      <c r="T100" s="24">
        <f ca="1">Assets!T84</f>
        <v>143041.4166666666</v>
      </c>
      <c r="U100" s="24">
        <f ca="1">Assets!U84</f>
        <v>137380.11111111104</v>
      </c>
      <c r="V100" s="24">
        <f ca="1">Assets!V84</f>
        <v>131718.80555555547</v>
      </c>
      <c r="W100" s="24">
        <f ca="1">Assets!W84</f>
        <v>126057.49999999991</v>
      </c>
      <c r="X100" s="24">
        <f ca="1">Assets!X84</f>
        <v>120396.19444444435</v>
      </c>
      <c r="Y100" s="24">
        <f ca="1">Assets!Y84</f>
        <v>114734.88888888879</v>
      </c>
      <c r="Z100" s="24">
        <f ca="1">Assets!Z84</f>
        <v>109073.58333333323</v>
      </c>
      <c r="AA100" s="24">
        <f ca="1">Assets!AA84</f>
        <v>103412.27777777766</v>
      </c>
      <c r="AB100" s="24">
        <f ca="1">Assets!AB84</f>
        <v>97750.972222222103</v>
      </c>
      <c r="AC100" s="24">
        <f ca="1">Assets!AC84</f>
        <v>92089.666666666541</v>
      </c>
      <c r="AD100" s="24">
        <f ca="1">Assets!AD84</f>
        <v>86428.361111110979</v>
      </c>
      <c r="AE100" s="24">
        <f ca="1">Assets!AE84</f>
        <v>80767.055555555417</v>
      </c>
      <c r="AF100" s="24">
        <f ca="1">Assets!AF84</f>
        <v>75105.749999999854</v>
      </c>
      <c r="AG100" s="24">
        <f ca="1">Assets!AG84</f>
        <v>69444.444444444292</v>
      </c>
      <c r="AH100" s="24">
        <f ca="1">Assets!AH84</f>
        <v>63888.888888888738</v>
      </c>
      <c r="AI100" s="24">
        <f ca="1">Assets!AI84</f>
        <v>58333.333333333183</v>
      </c>
      <c r="AJ100" s="24">
        <f ca="1">Assets!AJ84</f>
        <v>52777.777777777628</v>
      </c>
      <c r="AK100" s="24">
        <f ca="1">Assets!AK84</f>
        <v>47222.222222222073</v>
      </c>
      <c r="AL100" s="24">
        <f ca="1">Assets!AL84</f>
        <v>41666.666666666519</v>
      </c>
      <c r="AM100" s="24">
        <f ca="1">Assets!AM84</f>
        <v>36111.111111110964</v>
      </c>
      <c r="AN100" s="24">
        <f ca="1">Assets!AN84</f>
        <v>30555.555555555409</v>
      </c>
      <c r="AO100" s="24">
        <f ca="1">Assets!AO84</f>
        <v>24999.999999999854</v>
      </c>
      <c r="AP100" s="24">
        <f ca="1">Assets!AP84</f>
        <v>19444.4444444443</v>
      </c>
      <c r="AQ100" s="24">
        <f ca="1">Assets!AQ84</f>
        <v>13888.888888888745</v>
      </c>
      <c r="AR100" s="24">
        <f ca="1">Assets!AR84</f>
        <v>8333.3333333331902</v>
      </c>
      <c r="AS100" s="24">
        <f ca="1">Assets!AS84</f>
        <v>2777.7777777776346</v>
      </c>
    </row>
    <row r="101" spans="2:45" outlineLevel="1" collapsed="1" x14ac:dyDescent="0.15">
      <c r="B101" s="107" t="s">
        <v>94</v>
      </c>
      <c r="J101" s="14">
        <f t="shared" ref="J101:AS101" ca="1" si="33">SUM(J99:J100)</f>
        <v>209585.02777777778</v>
      </c>
      <c r="K101" s="14">
        <f t="shared" ca="1" si="33"/>
        <v>203784.83333333331</v>
      </c>
      <c r="L101" s="14">
        <f t="shared" ca="1" si="33"/>
        <v>197984.63888888888</v>
      </c>
      <c r="M101" s="14">
        <f t="shared" ca="1" si="33"/>
        <v>192184.44444444441</v>
      </c>
      <c r="N101" s="14">
        <f t="shared" ca="1" si="33"/>
        <v>186384.24999999997</v>
      </c>
      <c r="O101" s="14">
        <f t="shared" ca="1" si="33"/>
        <v>180584.05555555553</v>
      </c>
      <c r="P101" s="14">
        <f t="shared" ca="1" si="33"/>
        <v>174783.86111111107</v>
      </c>
      <c r="Q101" s="14">
        <f t="shared" ca="1" si="33"/>
        <v>168983.66666666663</v>
      </c>
      <c r="R101" s="14">
        <f t="shared" ca="1" si="33"/>
        <v>163183.47222222216</v>
      </c>
      <c r="S101" s="14">
        <f t="shared" ca="1" si="33"/>
        <v>157383.27777777772</v>
      </c>
      <c r="T101" s="14">
        <f t="shared" ca="1" si="33"/>
        <v>151583.08333333326</v>
      </c>
      <c r="U101" s="14">
        <f t="shared" ca="1" si="33"/>
        <v>145782.88888888882</v>
      </c>
      <c r="V101" s="14">
        <f t="shared" ca="1" si="33"/>
        <v>139982.69444444438</v>
      </c>
      <c r="W101" s="14">
        <f t="shared" ca="1" si="33"/>
        <v>134182.49999999991</v>
      </c>
      <c r="X101" s="14">
        <f t="shared" ca="1" si="33"/>
        <v>128382.30555555546</v>
      </c>
      <c r="Y101" s="14">
        <f t="shared" ca="1" si="33"/>
        <v>122582.11111111101</v>
      </c>
      <c r="Z101" s="14">
        <f t="shared" ca="1" si="33"/>
        <v>116781.91666666657</v>
      </c>
      <c r="AA101" s="14">
        <f t="shared" ca="1" si="33"/>
        <v>110981.72222222212</v>
      </c>
      <c r="AB101" s="14">
        <f t="shared" ca="1" si="33"/>
        <v>105181.52777777766</v>
      </c>
      <c r="AC101" s="14">
        <f t="shared" ca="1" si="33"/>
        <v>99381.333333333212</v>
      </c>
      <c r="AD101" s="14">
        <f t="shared" ca="1" si="33"/>
        <v>93581.13888888876</v>
      </c>
      <c r="AE101" s="14">
        <f t="shared" ca="1" si="33"/>
        <v>87780.944444444307</v>
      </c>
      <c r="AF101" s="14">
        <f t="shared" ca="1" si="33"/>
        <v>81980.749999999854</v>
      </c>
      <c r="AG101" s="14">
        <f t="shared" ca="1" si="33"/>
        <v>76180.555555555402</v>
      </c>
      <c r="AH101" s="14">
        <f t="shared" ca="1" si="33"/>
        <v>70486.111111110964</v>
      </c>
      <c r="AI101" s="14">
        <f t="shared" ca="1" si="33"/>
        <v>64791.666666666519</v>
      </c>
      <c r="AJ101" s="14">
        <f t="shared" ca="1" si="33"/>
        <v>59097.222222222073</v>
      </c>
      <c r="AK101" s="14">
        <f t="shared" ca="1" si="33"/>
        <v>53402.777777777635</v>
      </c>
      <c r="AL101" s="14">
        <f t="shared" ca="1" si="33"/>
        <v>47708.33333333319</v>
      </c>
      <c r="AM101" s="14">
        <f t="shared" ca="1" si="33"/>
        <v>42013.888888888745</v>
      </c>
      <c r="AN101" s="14">
        <f t="shared" ca="1" si="33"/>
        <v>36319.444444444307</v>
      </c>
      <c r="AO101" s="14">
        <f t="shared" ca="1" si="33"/>
        <v>30624.999999999862</v>
      </c>
      <c r="AP101" s="14">
        <f t="shared" ca="1" si="33"/>
        <v>24930.555555555417</v>
      </c>
      <c r="AQ101" s="14">
        <f t="shared" ca="1" si="33"/>
        <v>19236.111111110971</v>
      </c>
      <c r="AR101" s="14">
        <f t="shared" ca="1" si="33"/>
        <v>13541.66666666653</v>
      </c>
      <c r="AS101" s="14">
        <f t="shared" ca="1" si="33"/>
        <v>7847.2222222220853</v>
      </c>
    </row>
    <row r="102" spans="2:45" ht="6" hidden="1" customHeight="1" outlineLevel="2" x14ac:dyDescent="0.15"/>
    <row r="103" spans="2:45" hidden="1" outlineLevel="2" x14ac:dyDescent="0.15">
      <c r="B103" s="107" t="str">
        <f>Other!B88</f>
        <v>Other Non-Current Assets</v>
      </c>
      <c r="J103" s="24">
        <f>Other!J88</f>
        <v>0</v>
      </c>
      <c r="K103" s="24">
        <f>Other!K88</f>
        <v>0</v>
      </c>
      <c r="L103" s="24">
        <f>Other!L88</f>
        <v>0</v>
      </c>
      <c r="M103" s="24">
        <f>Other!M88</f>
        <v>0</v>
      </c>
      <c r="N103" s="24">
        <f>Other!N88</f>
        <v>0</v>
      </c>
      <c r="O103" s="24">
        <f>Other!O88</f>
        <v>0</v>
      </c>
      <c r="P103" s="24">
        <f>Other!P88</f>
        <v>0</v>
      </c>
      <c r="Q103" s="24">
        <f>Other!Q88</f>
        <v>0</v>
      </c>
      <c r="R103" s="24">
        <f>Other!R88</f>
        <v>0</v>
      </c>
      <c r="S103" s="24">
        <f>Other!S88</f>
        <v>0</v>
      </c>
      <c r="T103" s="24">
        <f>Other!T88</f>
        <v>0</v>
      </c>
      <c r="U103" s="24">
        <f>Other!U88</f>
        <v>0</v>
      </c>
      <c r="V103" s="24">
        <f>Other!V88</f>
        <v>0</v>
      </c>
      <c r="W103" s="24">
        <f>Other!W88</f>
        <v>0</v>
      </c>
      <c r="X103" s="24">
        <f>Other!X88</f>
        <v>0</v>
      </c>
      <c r="Y103" s="24">
        <f>Other!Y88</f>
        <v>0</v>
      </c>
      <c r="Z103" s="24">
        <f>Other!Z88</f>
        <v>0</v>
      </c>
      <c r="AA103" s="24">
        <f>Other!AA88</f>
        <v>0</v>
      </c>
      <c r="AB103" s="24">
        <f>Other!AB88</f>
        <v>0</v>
      </c>
      <c r="AC103" s="24">
        <f>Other!AC88</f>
        <v>0</v>
      </c>
      <c r="AD103" s="24">
        <f>Other!AD88</f>
        <v>0</v>
      </c>
      <c r="AE103" s="24">
        <f>Other!AE88</f>
        <v>0</v>
      </c>
      <c r="AF103" s="24">
        <f>Other!AF88</f>
        <v>0</v>
      </c>
      <c r="AG103" s="24">
        <f>Other!AG88</f>
        <v>0</v>
      </c>
      <c r="AH103" s="24">
        <f>Other!AH88</f>
        <v>0</v>
      </c>
      <c r="AI103" s="24">
        <f>Other!AI88</f>
        <v>0</v>
      </c>
      <c r="AJ103" s="24">
        <f>Other!AJ88</f>
        <v>0</v>
      </c>
      <c r="AK103" s="24">
        <f>Other!AK88</f>
        <v>0</v>
      </c>
      <c r="AL103" s="24">
        <f>Other!AL88</f>
        <v>0</v>
      </c>
      <c r="AM103" s="24">
        <f>Other!AM88</f>
        <v>0</v>
      </c>
      <c r="AN103" s="24">
        <f>Other!AN88</f>
        <v>0</v>
      </c>
      <c r="AO103" s="24">
        <f>Other!AO88</f>
        <v>0</v>
      </c>
      <c r="AP103" s="24">
        <f>Other!AP88</f>
        <v>0</v>
      </c>
      <c r="AQ103" s="24">
        <f>Other!AQ88</f>
        <v>0</v>
      </c>
      <c r="AR103" s="24">
        <f>Other!AR88</f>
        <v>0</v>
      </c>
      <c r="AS103" s="24">
        <f>Other!AS88</f>
        <v>0</v>
      </c>
    </row>
    <row r="104" spans="2:45" outlineLevel="1" collapsed="1" x14ac:dyDescent="0.15">
      <c r="B104" s="107" t="s">
        <v>95</v>
      </c>
      <c r="J104" s="14">
        <f t="shared" ref="J104:AS104" si="34">SUM(J103:J103)</f>
        <v>0</v>
      </c>
      <c r="K104" s="14">
        <f t="shared" si="34"/>
        <v>0</v>
      </c>
      <c r="L104" s="14">
        <f t="shared" si="34"/>
        <v>0</v>
      </c>
      <c r="M104" s="14">
        <f t="shared" si="34"/>
        <v>0</v>
      </c>
      <c r="N104" s="14">
        <f t="shared" si="34"/>
        <v>0</v>
      </c>
      <c r="O104" s="14">
        <f t="shared" si="34"/>
        <v>0</v>
      </c>
      <c r="P104" s="14">
        <f t="shared" si="34"/>
        <v>0</v>
      </c>
      <c r="Q104" s="14">
        <f t="shared" si="34"/>
        <v>0</v>
      </c>
      <c r="R104" s="14">
        <f t="shared" si="34"/>
        <v>0</v>
      </c>
      <c r="S104" s="14">
        <f t="shared" si="34"/>
        <v>0</v>
      </c>
      <c r="T104" s="14">
        <f t="shared" si="34"/>
        <v>0</v>
      </c>
      <c r="U104" s="14">
        <f t="shared" si="34"/>
        <v>0</v>
      </c>
      <c r="V104" s="14">
        <f t="shared" si="34"/>
        <v>0</v>
      </c>
      <c r="W104" s="14">
        <f t="shared" si="34"/>
        <v>0</v>
      </c>
      <c r="X104" s="14">
        <f t="shared" si="34"/>
        <v>0</v>
      </c>
      <c r="Y104" s="14">
        <f t="shared" si="34"/>
        <v>0</v>
      </c>
      <c r="Z104" s="14">
        <f t="shared" si="34"/>
        <v>0</v>
      </c>
      <c r="AA104" s="14">
        <f t="shared" si="34"/>
        <v>0</v>
      </c>
      <c r="AB104" s="14">
        <f t="shared" si="34"/>
        <v>0</v>
      </c>
      <c r="AC104" s="14">
        <f t="shared" si="34"/>
        <v>0</v>
      </c>
      <c r="AD104" s="14">
        <f t="shared" si="34"/>
        <v>0</v>
      </c>
      <c r="AE104" s="14">
        <f t="shared" si="34"/>
        <v>0</v>
      </c>
      <c r="AF104" s="14">
        <f t="shared" si="34"/>
        <v>0</v>
      </c>
      <c r="AG104" s="14">
        <f t="shared" si="34"/>
        <v>0</v>
      </c>
      <c r="AH104" s="14">
        <f t="shared" si="34"/>
        <v>0</v>
      </c>
      <c r="AI104" s="14">
        <f t="shared" si="34"/>
        <v>0</v>
      </c>
      <c r="AJ104" s="14">
        <f t="shared" si="34"/>
        <v>0</v>
      </c>
      <c r="AK104" s="14">
        <f t="shared" si="34"/>
        <v>0</v>
      </c>
      <c r="AL104" s="14">
        <f t="shared" si="34"/>
        <v>0</v>
      </c>
      <c r="AM104" s="14">
        <f t="shared" si="34"/>
        <v>0</v>
      </c>
      <c r="AN104" s="14">
        <f t="shared" si="34"/>
        <v>0</v>
      </c>
      <c r="AO104" s="14">
        <f t="shared" si="34"/>
        <v>0</v>
      </c>
      <c r="AP104" s="14">
        <f t="shared" si="34"/>
        <v>0</v>
      </c>
      <c r="AQ104" s="14">
        <f t="shared" si="34"/>
        <v>0</v>
      </c>
      <c r="AR104" s="14">
        <f t="shared" si="34"/>
        <v>0</v>
      </c>
      <c r="AS104" s="14">
        <f t="shared" si="34"/>
        <v>0</v>
      </c>
    </row>
    <row r="105" spans="2:45" ht="6" hidden="1" customHeight="1" outlineLevel="2" x14ac:dyDescent="0.15"/>
    <row r="106" spans="2:45" outlineLevel="1" collapsed="1" x14ac:dyDescent="0.15">
      <c r="B106" s="16" t="s">
        <v>291</v>
      </c>
      <c r="J106" s="18">
        <f t="shared" ref="J106:AS106" ca="1" si="35">J101+J104</f>
        <v>209585.02777777778</v>
      </c>
      <c r="K106" s="18">
        <f t="shared" ca="1" si="35"/>
        <v>203784.83333333331</v>
      </c>
      <c r="L106" s="18">
        <f t="shared" ca="1" si="35"/>
        <v>197984.63888888888</v>
      </c>
      <c r="M106" s="18">
        <f t="shared" ca="1" si="35"/>
        <v>192184.44444444441</v>
      </c>
      <c r="N106" s="18">
        <f t="shared" ca="1" si="35"/>
        <v>186384.24999999997</v>
      </c>
      <c r="O106" s="18">
        <f t="shared" ca="1" si="35"/>
        <v>180584.05555555553</v>
      </c>
      <c r="P106" s="18">
        <f t="shared" ca="1" si="35"/>
        <v>174783.86111111107</v>
      </c>
      <c r="Q106" s="18">
        <f t="shared" ca="1" si="35"/>
        <v>168983.66666666663</v>
      </c>
      <c r="R106" s="18">
        <f t="shared" ca="1" si="35"/>
        <v>163183.47222222216</v>
      </c>
      <c r="S106" s="18">
        <f t="shared" ca="1" si="35"/>
        <v>157383.27777777772</v>
      </c>
      <c r="T106" s="18">
        <f t="shared" ca="1" si="35"/>
        <v>151583.08333333326</v>
      </c>
      <c r="U106" s="18">
        <f t="shared" ca="1" si="35"/>
        <v>145782.88888888882</v>
      </c>
      <c r="V106" s="18">
        <f t="shared" ca="1" si="35"/>
        <v>139982.69444444438</v>
      </c>
      <c r="W106" s="18">
        <f t="shared" ca="1" si="35"/>
        <v>134182.49999999991</v>
      </c>
      <c r="X106" s="18">
        <f t="shared" ca="1" si="35"/>
        <v>128382.30555555546</v>
      </c>
      <c r="Y106" s="18">
        <f t="shared" ca="1" si="35"/>
        <v>122582.11111111101</v>
      </c>
      <c r="Z106" s="18">
        <f t="shared" ca="1" si="35"/>
        <v>116781.91666666657</v>
      </c>
      <c r="AA106" s="18">
        <f t="shared" ca="1" si="35"/>
        <v>110981.72222222212</v>
      </c>
      <c r="AB106" s="18">
        <f t="shared" ca="1" si="35"/>
        <v>105181.52777777766</v>
      </c>
      <c r="AC106" s="18">
        <f t="shared" ca="1" si="35"/>
        <v>99381.333333333212</v>
      </c>
      <c r="AD106" s="18">
        <f t="shared" ca="1" si="35"/>
        <v>93581.13888888876</v>
      </c>
      <c r="AE106" s="18">
        <f t="shared" ca="1" si="35"/>
        <v>87780.944444444307</v>
      </c>
      <c r="AF106" s="18">
        <f t="shared" ca="1" si="35"/>
        <v>81980.749999999854</v>
      </c>
      <c r="AG106" s="18">
        <f t="shared" ca="1" si="35"/>
        <v>76180.555555555402</v>
      </c>
      <c r="AH106" s="18">
        <f t="shared" ca="1" si="35"/>
        <v>70486.111111110964</v>
      </c>
      <c r="AI106" s="18">
        <f t="shared" ca="1" si="35"/>
        <v>64791.666666666519</v>
      </c>
      <c r="AJ106" s="18">
        <f t="shared" ca="1" si="35"/>
        <v>59097.222222222073</v>
      </c>
      <c r="AK106" s="18">
        <f t="shared" ca="1" si="35"/>
        <v>53402.777777777635</v>
      </c>
      <c r="AL106" s="18">
        <f t="shared" ca="1" si="35"/>
        <v>47708.33333333319</v>
      </c>
      <c r="AM106" s="18">
        <f t="shared" ca="1" si="35"/>
        <v>42013.888888888745</v>
      </c>
      <c r="AN106" s="18">
        <f t="shared" ca="1" si="35"/>
        <v>36319.444444444307</v>
      </c>
      <c r="AO106" s="18">
        <f t="shared" ca="1" si="35"/>
        <v>30624.999999999862</v>
      </c>
      <c r="AP106" s="18">
        <f t="shared" ca="1" si="35"/>
        <v>24930.555555555417</v>
      </c>
      <c r="AQ106" s="18">
        <f t="shared" ca="1" si="35"/>
        <v>19236.111111110971</v>
      </c>
      <c r="AR106" s="18">
        <f t="shared" ca="1" si="35"/>
        <v>13541.66666666653</v>
      </c>
      <c r="AS106" s="18">
        <f t="shared" ca="1" si="35"/>
        <v>7847.2222222220853</v>
      </c>
    </row>
    <row r="107" spans="2:45" ht="6" customHeight="1" outlineLevel="1" x14ac:dyDescent="0.15"/>
    <row r="108" spans="2:45" outlineLevel="1" x14ac:dyDescent="0.15">
      <c r="B108" s="16" t="s">
        <v>97</v>
      </c>
      <c r="J108" s="19">
        <f t="shared" ref="J108:AS108" ca="1" si="36">J97+J106</f>
        <v>265951.89762827242</v>
      </c>
      <c r="K108" s="19">
        <f t="shared" ca="1" si="36"/>
        <v>248350.57873174097</v>
      </c>
      <c r="L108" s="19">
        <f t="shared" ca="1" si="36"/>
        <v>291775.6563810446</v>
      </c>
      <c r="M108" s="19">
        <f t="shared" ca="1" si="36"/>
        <v>291618.65379086678</v>
      </c>
      <c r="N108" s="19">
        <f t="shared" ca="1" si="36"/>
        <v>264277.1484216344</v>
      </c>
      <c r="O108" s="19">
        <f t="shared" ca="1" si="36"/>
        <v>266600.9906346919</v>
      </c>
      <c r="P108" s="19">
        <f t="shared" ca="1" si="36"/>
        <v>264813.3827369244</v>
      </c>
      <c r="Q108" s="19">
        <f t="shared" ca="1" si="36"/>
        <v>238960.23686063394</v>
      </c>
      <c r="R108" s="19">
        <f t="shared" ca="1" si="36"/>
        <v>239909.96301136675</v>
      </c>
      <c r="S108" s="19">
        <f t="shared" ca="1" si="36"/>
        <v>237062.87160381093</v>
      </c>
      <c r="T108" s="19">
        <f t="shared" ca="1" si="36"/>
        <v>211412.19592082882</v>
      </c>
      <c r="U108" s="19">
        <f t="shared" ca="1" si="36"/>
        <v>212714.92111565097</v>
      </c>
      <c r="V108" s="19">
        <f t="shared" ca="1" si="36"/>
        <v>208765.68056842801</v>
      </c>
      <c r="W108" s="19">
        <f t="shared" ca="1" si="36"/>
        <v>185118.95804979146</v>
      </c>
      <c r="X108" s="19">
        <f t="shared" ca="1" si="36"/>
        <v>189367.69129836664</v>
      </c>
      <c r="Y108" s="19">
        <f t="shared" ca="1" si="36"/>
        <v>190116.79392113723</v>
      </c>
      <c r="Z108" s="19">
        <f t="shared" ca="1" si="36"/>
        <v>162381.80361757192</v>
      </c>
      <c r="AA108" s="19">
        <f t="shared" ca="1" si="36"/>
        <v>165691.16281072103</v>
      </c>
      <c r="AB108" s="19">
        <f t="shared" ca="1" si="36"/>
        <v>165764.28337007872</v>
      </c>
      <c r="AC108" s="19">
        <f t="shared" ca="1" si="36"/>
        <v>141811.6729422218</v>
      </c>
      <c r="AD108" s="19">
        <f t="shared" ca="1" si="36"/>
        <v>144126.68903744186</v>
      </c>
      <c r="AE108" s="19">
        <f t="shared" ca="1" si="36"/>
        <v>142931.25288044516</v>
      </c>
      <c r="AF108" s="19">
        <f t="shared" ca="1" si="36"/>
        <v>118650.24108830006</v>
      </c>
      <c r="AG108" s="19">
        <f t="shared" ca="1" si="36"/>
        <v>121343.28495480787</v>
      </c>
      <c r="AH108" s="19">
        <f t="shared" ca="1" si="36"/>
        <v>118835.66761687526</v>
      </c>
      <c r="AI108" s="19">
        <f t="shared" ca="1" si="36"/>
        <v>97452.247861307376</v>
      </c>
      <c r="AJ108" s="19">
        <f t="shared" ca="1" si="36"/>
        <v>103919.51646042679</v>
      </c>
      <c r="AK108" s="19">
        <f t="shared" ca="1" si="36"/>
        <v>106417.87842458452</v>
      </c>
      <c r="AL108" s="19">
        <f t="shared" ca="1" si="36"/>
        <v>79829.191436616617</v>
      </c>
      <c r="AM108" s="19">
        <f t="shared" ca="1" si="36"/>
        <v>84750.31941804057</v>
      </c>
      <c r="AN108" s="19">
        <f t="shared" ca="1" si="36"/>
        <v>86462.249126198265</v>
      </c>
      <c r="AO108" s="19">
        <f t="shared" ca="1" si="36"/>
        <v>63949.732340449737</v>
      </c>
      <c r="AP108" s="19">
        <f t="shared" ca="1" si="36"/>
        <v>67447.817904074458</v>
      </c>
      <c r="AQ108" s="19">
        <f t="shared" ca="1" si="36"/>
        <v>67437.103747971531</v>
      </c>
      <c r="AR108" s="19">
        <f t="shared" ca="1" si="36"/>
        <v>44586.911761980416</v>
      </c>
      <c r="AS108" s="19">
        <f t="shared" ca="1" si="36"/>
        <v>48541.354291554555</v>
      </c>
    </row>
    <row r="109" spans="2:45" ht="6" customHeight="1" outlineLevel="1" x14ac:dyDescent="0.15"/>
    <row r="110" spans="2:45" hidden="1" outlineLevel="2" x14ac:dyDescent="0.15">
      <c r="B110" s="107" t="str">
        <f>WC!B226</f>
        <v>Creditors (Monthly)</v>
      </c>
      <c r="J110" s="23">
        <f>WC!J226</f>
        <v>309.677419354839</v>
      </c>
      <c r="K110" s="23">
        <f>WC!K226</f>
        <v>320.00000000000028</v>
      </c>
      <c r="L110" s="23">
        <f>WC!L226</f>
        <v>309.677419354839</v>
      </c>
      <c r="M110" s="23">
        <f>WC!M226</f>
        <v>320.00000000000028</v>
      </c>
      <c r="N110" s="23">
        <f>WC!N226</f>
        <v>309.677419354839</v>
      </c>
      <c r="O110" s="23">
        <f>WC!O226</f>
        <v>309.677419354839</v>
      </c>
      <c r="P110" s="23">
        <f>WC!P226</f>
        <v>330.32258064516157</v>
      </c>
      <c r="Q110" s="23">
        <f>WC!Q226</f>
        <v>309.677419354839</v>
      </c>
      <c r="R110" s="23">
        <f>WC!R226</f>
        <v>320.00000000000028</v>
      </c>
      <c r="S110" s="23">
        <f>WC!S226</f>
        <v>309.677419354839</v>
      </c>
      <c r="T110" s="23">
        <f>WC!T226</f>
        <v>320.00000000000028</v>
      </c>
      <c r="U110" s="23">
        <f>WC!U226</f>
        <v>309.677419354839</v>
      </c>
      <c r="V110" s="23">
        <f>WC!V226</f>
        <v>309.677419354839</v>
      </c>
      <c r="W110" s="23">
        <f>WC!W226</f>
        <v>320.00000000000028</v>
      </c>
      <c r="X110" s="23">
        <f>WC!X226</f>
        <v>309.677419354839</v>
      </c>
      <c r="Y110" s="23">
        <f>WC!Y226</f>
        <v>320.00000000000028</v>
      </c>
      <c r="Z110" s="23">
        <f>WC!Z226</f>
        <v>309.677419354839</v>
      </c>
      <c r="AA110" s="23">
        <f>WC!AA226</f>
        <v>309.677419354839</v>
      </c>
      <c r="AB110" s="23">
        <f>WC!AB226</f>
        <v>340.6451612903229</v>
      </c>
      <c r="AC110" s="23">
        <f>WC!AC226</f>
        <v>309.67741935483906</v>
      </c>
      <c r="AD110" s="23">
        <f>WC!AD226</f>
        <v>320.00000000000034</v>
      </c>
      <c r="AE110" s="23">
        <f>WC!AE226</f>
        <v>309.67741935483906</v>
      </c>
      <c r="AF110" s="23">
        <f>WC!AF226</f>
        <v>320.00000000000034</v>
      </c>
      <c r="AG110" s="23">
        <f>WC!AG226</f>
        <v>309.67741935483906</v>
      </c>
      <c r="AH110" s="23">
        <f>WC!AH226</f>
        <v>309.67741935483906</v>
      </c>
      <c r="AI110" s="23">
        <f>WC!AI226</f>
        <v>320.00000000000034</v>
      </c>
      <c r="AJ110" s="23">
        <f>WC!AJ226</f>
        <v>309.67741935483906</v>
      </c>
      <c r="AK110" s="23">
        <f>WC!AK226</f>
        <v>320.00000000000034</v>
      </c>
      <c r="AL110" s="23">
        <f>WC!AL226</f>
        <v>309.67741935483906</v>
      </c>
      <c r="AM110" s="23">
        <f>WC!AM226</f>
        <v>309.67741935483906</v>
      </c>
      <c r="AN110" s="23">
        <f>WC!AN226</f>
        <v>340.64516129032296</v>
      </c>
      <c r="AO110" s="23">
        <f>WC!AO226</f>
        <v>309.67741935483912</v>
      </c>
      <c r="AP110" s="23">
        <f>WC!AP226</f>
        <v>320.0000000000004</v>
      </c>
      <c r="AQ110" s="23">
        <f>WC!AQ226</f>
        <v>309.67741935483912</v>
      </c>
      <c r="AR110" s="23">
        <f>WC!AR226</f>
        <v>320.0000000000004</v>
      </c>
      <c r="AS110" s="23">
        <f>WC!AS226</f>
        <v>309.67741935483912</v>
      </c>
    </row>
    <row r="111" spans="2:45" hidden="1" outlineLevel="2" collapsed="1" x14ac:dyDescent="0.15">
      <c r="B111" s="107" t="str">
        <f>WC!B227</f>
        <v>Creditors (Quarterly)</v>
      </c>
      <c r="J111" s="24">
        <f>WC!J227</f>
        <v>8508.1413978494638</v>
      </c>
      <c r="K111" s="24">
        <f>WC!K227</f>
        <v>0</v>
      </c>
      <c r="L111" s="24">
        <f>WC!L227</f>
        <v>8008.6200000000008</v>
      </c>
      <c r="M111" s="24">
        <f>WC!M227</f>
        <v>15758.89741935484</v>
      </c>
      <c r="N111" s="24">
        <f>WC!N227</f>
        <v>0</v>
      </c>
      <c r="O111" s="24">
        <f>WC!O227</f>
        <v>8042.0800000000008</v>
      </c>
      <c r="P111" s="24">
        <f>WC!P227</f>
        <v>16017.240000000002</v>
      </c>
      <c r="Q111" s="24">
        <f>WC!Q227</f>
        <v>0</v>
      </c>
      <c r="R111" s="24">
        <f>WC!R227</f>
        <v>8008.6200000000008</v>
      </c>
      <c r="S111" s="24">
        <f>WC!S227</f>
        <v>15524.324064516131</v>
      </c>
      <c r="T111" s="24">
        <f>WC!T227</f>
        <v>0</v>
      </c>
      <c r="U111" s="24">
        <f>WC!U227</f>
        <v>8042.0800000000008</v>
      </c>
      <c r="V111" s="24">
        <f>WC!V227</f>
        <v>15375.281290322582</v>
      </c>
      <c r="W111" s="24">
        <f>WC!W227</f>
        <v>0</v>
      </c>
      <c r="X111" s="24">
        <f>WC!X227</f>
        <v>8152.02</v>
      </c>
      <c r="Y111" s="24">
        <f>WC!Y227</f>
        <v>15964.591612903227</v>
      </c>
      <c r="Z111" s="24">
        <f>WC!Z227</f>
        <v>0</v>
      </c>
      <c r="AA111" s="24">
        <f>WC!AA227</f>
        <v>8152.02</v>
      </c>
      <c r="AB111" s="24">
        <f>WC!AB227</f>
        <v>16189.320000000002</v>
      </c>
      <c r="AC111" s="24">
        <f>WC!AC227</f>
        <v>262.9683870967765</v>
      </c>
      <c r="AD111" s="24">
        <f>WC!AD227</f>
        <v>8218.9400000000023</v>
      </c>
      <c r="AE111" s="24">
        <f>WC!AE227</f>
        <v>15898.788236559143</v>
      </c>
      <c r="AF111" s="24">
        <f>WC!AF227</f>
        <v>0</v>
      </c>
      <c r="AG111" s="24">
        <f>WC!AG227</f>
        <v>8261.9600000000009</v>
      </c>
      <c r="AH111" s="24">
        <f>WC!AH227</f>
        <v>15641.110967741937</v>
      </c>
      <c r="AI111" s="24">
        <f>WC!AI227</f>
        <v>0</v>
      </c>
      <c r="AJ111" s="24">
        <f>WC!AJ227</f>
        <v>8261.9600000000009</v>
      </c>
      <c r="AK111" s="24">
        <f>WC!AK227</f>
        <v>16128.345161290323</v>
      </c>
      <c r="AL111" s="24">
        <f>WC!AL227</f>
        <v>0</v>
      </c>
      <c r="AM111" s="24">
        <f>WC!AM227</f>
        <v>8324.1</v>
      </c>
      <c r="AN111" s="24">
        <f>WC!AN227</f>
        <v>16552.600000000002</v>
      </c>
      <c r="AO111" s="24">
        <f>WC!AO227</f>
        <v>268.51935483870875</v>
      </c>
      <c r="AP111" s="24">
        <f>WC!AP227</f>
        <v>8324.0999999999985</v>
      </c>
      <c r="AQ111" s="24">
        <f>WC!AQ227</f>
        <v>16055.95258064516</v>
      </c>
      <c r="AR111" s="24">
        <f>WC!AR227</f>
        <v>0</v>
      </c>
      <c r="AS111" s="24">
        <f>WC!AS227</f>
        <v>8371.9000000000015</v>
      </c>
    </row>
    <row r="112" spans="2:45" hidden="1" outlineLevel="2" x14ac:dyDescent="0.15">
      <c r="B112" s="107" t="s">
        <v>294</v>
      </c>
      <c r="J112" s="14">
        <f t="shared" ref="J112:AS112" si="37">SUM(J110:J111)</f>
        <v>8817.8188172043028</v>
      </c>
      <c r="K112" s="14">
        <f t="shared" si="37"/>
        <v>320.00000000000028</v>
      </c>
      <c r="L112" s="14">
        <f t="shared" si="37"/>
        <v>8318.2974193548398</v>
      </c>
      <c r="M112" s="14">
        <f t="shared" si="37"/>
        <v>16078.89741935484</v>
      </c>
      <c r="N112" s="14">
        <f t="shared" si="37"/>
        <v>309.677419354839</v>
      </c>
      <c r="O112" s="14">
        <f t="shared" si="37"/>
        <v>8351.7574193548389</v>
      </c>
      <c r="P112" s="14">
        <f t="shared" si="37"/>
        <v>16347.562580645163</v>
      </c>
      <c r="Q112" s="14">
        <f t="shared" si="37"/>
        <v>309.677419354839</v>
      </c>
      <c r="R112" s="14">
        <f t="shared" si="37"/>
        <v>8328.6200000000008</v>
      </c>
      <c r="S112" s="14">
        <f t="shared" si="37"/>
        <v>15834.00148387097</v>
      </c>
      <c r="T112" s="14">
        <f t="shared" si="37"/>
        <v>320.00000000000028</v>
      </c>
      <c r="U112" s="14">
        <f t="shared" si="37"/>
        <v>8351.7574193548389</v>
      </c>
      <c r="V112" s="14">
        <f t="shared" si="37"/>
        <v>15684.958709677421</v>
      </c>
      <c r="W112" s="14">
        <f t="shared" si="37"/>
        <v>320.00000000000028</v>
      </c>
      <c r="X112" s="14">
        <f t="shared" si="37"/>
        <v>8461.6974193548394</v>
      </c>
      <c r="Y112" s="14">
        <f t="shared" si="37"/>
        <v>16284.591612903227</v>
      </c>
      <c r="Z112" s="14">
        <f t="shared" si="37"/>
        <v>309.677419354839</v>
      </c>
      <c r="AA112" s="14">
        <f t="shared" si="37"/>
        <v>8461.6974193548394</v>
      </c>
      <c r="AB112" s="14">
        <f t="shared" si="37"/>
        <v>16529.965161290325</v>
      </c>
      <c r="AC112" s="14">
        <f t="shared" si="37"/>
        <v>572.6458064516155</v>
      </c>
      <c r="AD112" s="14">
        <f t="shared" si="37"/>
        <v>8538.9400000000023</v>
      </c>
      <c r="AE112" s="14">
        <f t="shared" si="37"/>
        <v>16208.465655913982</v>
      </c>
      <c r="AF112" s="14">
        <f t="shared" si="37"/>
        <v>320.00000000000034</v>
      </c>
      <c r="AG112" s="14">
        <f t="shared" si="37"/>
        <v>8571.6374193548399</v>
      </c>
      <c r="AH112" s="14">
        <f t="shared" si="37"/>
        <v>15950.788387096776</v>
      </c>
      <c r="AI112" s="14">
        <f t="shared" si="37"/>
        <v>320.00000000000034</v>
      </c>
      <c r="AJ112" s="14">
        <f t="shared" si="37"/>
        <v>8571.6374193548399</v>
      </c>
      <c r="AK112" s="14">
        <f t="shared" si="37"/>
        <v>16448.345161290323</v>
      </c>
      <c r="AL112" s="14">
        <f t="shared" si="37"/>
        <v>309.67741935483906</v>
      </c>
      <c r="AM112" s="14">
        <f t="shared" si="37"/>
        <v>8633.7774193548394</v>
      </c>
      <c r="AN112" s="14">
        <f t="shared" si="37"/>
        <v>16893.245161290324</v>
      </c>
      <c r="AO112" s="14">
        <f t="shared" si="37"/>
        <v>578.19677419354787</v>
      </c>
      <c r="AP112" s="14">
        <f t="shared" si="37"/>
        <v>8644.0999999999985</v>
      </c>
      <c r="AQ112" s="14">
        <f t="shared" si="37"/>
        <v>16365.63</v>
      </c>
      <c r="AR112" s="14">
        <f t="shared" si="37"/>
        <v>320.0000000000004</v>
      </c>
      <c r="AS112" s="14">
        <f t="shared" si="37"/>
        <v>8681.5774193548405</v>
      </c>
    </row>
    <row r="113" spans="2:45" ht="6" hidden="1" customHeight="1" outlineLevel="2" x14ac:dyDescent="0.15"/>
    <row r="114" spans="2:45" hidden="1" outlineLevel="2" x14ac:dyDescent="0.15">
      <c r="B114" s="107" t="str">
        <f>WC!B287</f>
        <v>Inventory Payables Category 1</v>
      </c>
      <c r="J114" s="24">
        <f>WC!J287</f>
        <v>0</v>
      </c>
      <c r="K114" s="24">
        <f>WC!K287</f>
        <v>0</v>
      </c>
      <c r="L114" s="24">
        <f>WC!L287</f>
        <v>0</v>
      </c>
      <c r="M114" s="24">
        <f>WC!M287</f>
        <v>0</v>
      </c>
      <c r="N114" s="24">
        <f>WC!N287</f>
        <v>0</v>
      </c>
      <c r="O114" s="24">
        <f>WC!O287</f>
        <v>0</v>
      </c>
      <c r="P114" s="24">
        <f>WC!P287</f>
        <v>0</v>
      </c>
      <c r="Q114" s="24">
        <f>WC!Q287</f>
        <v>0</v>
      </c>
      <c r="R114" s="24">
        <f>WC!R287</f>
        <v>0</v>
      </c>
      <c r="S114" s="24">
        <f>WC!S287</f>
        <v>0</v>
      </c>
      <c r="T114" s="24">
        <f>WC!T287</f>
        <v>0</v>
      </c>
      <c r="U114" s="24">
        <f>WC!U287</f>
        <v>0</v>
      </c>
      <c r="V114" s="24">
        <f>WC!V287</f>
        <v>0</v>
      </c>
      <c r="W114" s="24">
        <f>WC!W287</f>
        <v>0</v>
      </c>
      <c r="X114" s="24">
        <f>WC!X287</f>
        <v>0</v>
      </c>
      <c r="Y114" s="24">
        <f>WC!Y287</f>
        <v>0</v>
      </c>
      <c r="Z114" s="24">
        <f>WC!Z287</f>
        <v>0</v>
      </c>
      <c r="AA114" s="24">
        <f>WC!AA287</f>
        <v>0</v>
      </c>
      <c r="AB114" s="24">
        <f>WC!AB287</f>
        <v>0</v>
      </c>
      <c r="AC114" s="24">
        <f>WC!AC287</f>
        <v>0</v>
      </c>
      <c r="AD114" s="24">
        <f>WC!AD287</f>
        <v>0</v>
      </c>
      <c r="AE114" s="24">
        <f>WC!AE287</f>
        <v>0</v>
      </c>
      <c r="AF114" s="24">
        <f>WC!AF287</f>
        <v>0</v>
      </c>
      <c r="AG114" s="24">
        <f>WC!AG287</f>
        <v>0</v>
      </c>
      <c r="AH114" s="24">
        <f>WC!AH287</f>
        <v>0</v>
      </c>
      <c r="AI114" s="24">
        <f>WC!AI287</f>
        <v>0</v>
      </c>
      <c r="AJ114" s="24">
        <f>WC!AJ287</f>
        <v>0</v>
      </c>
      <c r="AK114" s="24">
        <f>WC!AK287</f>
        <v>0</v>
      </c>
      <c r="AL114" s="24">
        <f>WC!AL287</f>
        <v>0</v>
      </c>
      <c r="AM114" s="24">
        <f>WC!AM287</f>
        <v>0</v>
      </c>
      <c r="AN114" s="24">
        <f>WC!AN287</f>
        <v>0</v>
      </c>
      <c r="AO114" s="24">
        <f>WC!AO287</f>
        <v>0</v>
      </c>
      <c r="AP114" s="24">
        <f>WC!AP287</f>
        <v>0</v>
      </c>
      <c r="AQ114" s="24">
        <f>WC!AQ287</f>
        <v>0</v>
      </c>
      <c r="AR114" s="24">
        <f>WC!AR287</f>
        <v>0</v>
      </c>
      <c r="AS114" s="24">
        <f>WC!AS287</f>
        <v>0</v>
      </c>
    </row>
    <row r="115" spans="2:45" hidden="1" outlineLevel="2" x14ac:dyDescent="0.15">
      <c r="B115" s="107" t="s">
        <v>296</v>
      </c>
      <c r="J115" s="14">
        <f t="shared" ref="J115:AS115" si="38">SUM(J114:J114)</f>
        <v>0</v>
      </c>
      <c r="K115" s="14">
        <f t="shared" si="38"/>
        <v>0</v>
      </c>
      <c r="L115" s="14">
        <f t="shared" si="38"/>
        <v>0</v>
      </c>
      <c r="M115" s="14">
        <f t="shared" si="38"/>
        <v>0</v>
      </c>
      <c r="N115" s="14">
        <f t="shared" si="38"/>
        <v>0</v>
      </c>
      <c r="O115" s="14">
        <f t="shared" si="38"/>
        <v>0</v>
      </c>
      <c r="P115" s="14">
        <f t="shared" si="38"/>
        <v>0</v>
      </c>
      <c r="Q115" s="14">
        <f t="shared" si="38"/>
        <v>0</v>
      </c>
      <c r="R115" s="14">
        <f t="shared" si="38"/>
        <v>0</v>
      </c>
      <c r="S115" s="14">
        <f t="shared" si="38"/>
        <v>0</v>
      </c>
      <c r="T115" s="14">
        <f t="shared" si="38"/>
        <v>0</v>
      </c>
      <c r="U115" s="14">
        <f t="shared" si="38"/>
        <v>0</v>
      </c>
      <c r="V115" s="14">
        <f t="shared" si="38"/>
        <v>0</v>
      </c>
      <c r="W115" s="14">
        <f t="shared" si="38"/>
        <v>0</v>
      </c>
      <c r="X115" s="14">
        <f t="shared" si="38"/>
        <v>0</v>
      </c>
      <c r="Y115" s="14">
        <f t="shared" si="38"/>
        <v>0</v>
      </c>
      <c r="Z115" s="14">
        <f t="shared" si="38"/>
        <v>0</v>
      </c>
      <c r="AA115" s="14">
        <f t="shared" si="38"/>
        <v>0</v>
      </c>
      <c r="AB115" s="14">
        <f t="shared" si="38"/>
        <v>0</v>
      </c>
      <c r="AC115" s="14">
        <f t="shared" si="38"/>
        <v>0</v>
      </c>
      <c r="AD115" s="14">
        <f t="shared" si="38"/>
        <v>0</v>
      </c>
      <c r="AE115" s="14">
        <f t="shared" si="38"/>
        <v>0</v>
      </c>
      <c r="AF115" s="14">
        <f t="shared" si="38"/>
        <v>0</v>
      </c>
      <c r="AG115" s="14">
        <f t="shared" si="38"/>
        <v>0</v>
      </c>
      <c r="AH115" s="14">
        <f t="shared" si="38"/>
        <v>0</v>
      </c>
      <c r="AI115" s="14">
        <f t="shared" si="38"/>
        <v>0</v>
      </c>
      <c r="AJ115" s="14">
        <f t="shared" si="38"/>
        <v>0</v>
      </c>
      <c r="AK115" s="14">
        <f t="shared" si="38"/>
        <v>0</v>
      </c>
      <c r="AL115" s="14">
        <f t="shared" si="38"/>
        <v>0</v>
      </c>
      <c r="AM115" s="14">
        <f t="shared" si="38"/>
        <v>0</v>
      </c>
      <c r="AN115" s="14">
        <f t="shared" si="38"/>
        <v>0</v>
      </c>
      <c r="AO115" s="14">
        <f t="shared" si="38"/>
        <v>0</v>
      </c>
      <c r="AP115" s="14">
        <f t="shared" si="38"/>
        <v>0</v>
      </c>
      <c r="AQ115" s="14">
        <f t="shared" si="38"/>
        <v>0</v>
      </c>
      <c r="AR115" s="14">
        <f t="shared" si="38"/>
        <v>0</v>
      </c>
      <c r="AS115" s="14">
        <f t="shared" si="38"/>
        <v>0</v>
      </c>
    </row>
    <row r="116" spans="2:45" ht="6" hidden="1" customHeight="1" outlineLevel="2" x14ac:dyDescent="0.1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row>
    <row r="117" spans="2:45" outlineLevel="1" collapsed="1" x14ac:dyDescent="0.15">
      <c r="B117" s="107" t="s">
        <v>98</v>
      </c>
      <c r="J117" s="14">
        <f t="shared" ref="J117:AS117" si="39">J112+J115</f>
        <v>8817.8188172043028</v>
      </c>
      <c r="K117" s="14">
        <f t="shared" si="39"/>
        <v>320.00000000000028</v>
      </c>
      <c r="L117" s="14">
        <f t="shared" si="39"/>
        <v>8318.2974193548398</v>
      </c>
      <c r="M117" s="14">
        <f t="shared" si="39"/>
        <v>16078.89741935484</v>
      </c>
      <c r="N117" s="14">
        <f t="shared" si="39"/>
        <v>309.677419354839</v>
      </c>
      <c r="O117" s="14">
        <f t="shared" si="39"/>
        <v>8351.7574193548389</v>
      </c>
      <c r="P117" s="14">
        <f t="shared" si="39"/>
        <v>16347.562580645163</v>
      </c>
      <c r="Q117" s="14">
        <f t="shared" si="39"/>
        <v>309.677419354839</v>
      </c>
      <c r="R117" s="14">
        <f t="shared" si="39"/>
        <v>8328.6200000000008</v>
      </c>
      <c r="S117" s="14">
        <f t="shared" si="39"/>
        <v>15834.00148387097</v>
      </c>
      <c r="T117" s="14">
        <f t="shared" si="39"/>
        <v>320.00000000000028</v>
      </c>
      <c r="U117" s="14">
        <f t="shared" si="39"/>
        <v>8351.7574193548389</v>
      </c>
      <c r="V117" s="14">
        <f t="shared" si="39"/>
        <v>15684.958709677421</v>
      </c>
      <c r="W117" s="14">
        <f t="shared" si="39"/>
        <v>320.00000000000028</v>
      </c>
      <c r="X117" s="14">
        <f t="shared" si="39"/>
        <v>8461.6974193548394</v>
      </c>
      <c r="Y117" s="14">
        <f t="shared" si="39"/>
        <v>16284.591612903227</v>
      </c>
      <c r="Z117" s="14">
        <f t="shared" si="39"/>
        <v>309.677419354839</v>
      </c>
      <c r="AA117" s="14">
        <f t="shared" si="39"/>
        <v>8461.6974193548394</v>
      </c>
      <c r="AB117" s="14">
        <f t="shared" si="39"/>
        <v>16529.965161290325</v>
      </c>
      <c r="AC117" s="14">
        <f t="shared" si="39"/>
        <v>572.6458064516155</v>
      </c>
      <c r="AD117" s="14">
        <f t="shared" si="39"/>
        <v>8538.9400000000023</v>
      </c>
      <c r="AE117" s="14">
        <f t="shared" si="39"/>
        <v>16208.465655913982</v>
      </c>
      <c r="AF117" s="14">
        <f t="shared" si="39"/>
        <v>320.00000000000034</v>
      </c>
      <c r="AG117" s="14">
        <f t="shared" si="39"/>
        <v>8571.6374193548399</v>
      </c>
      <c r="AH117" s="14">
        <f t="shared" si="39"/>
        <v>15950.788387096776</v>
      </c>
      <c r="AI117" s="14">
        <f t="shared" si="39"/>
        <v>320.00000000000034</v>
      </c>
      <c r="AJ117" s="14">
        <f t="shared" si="39"/>
        <v>8571.6374193548399</v>
      </c>
      <c r="AK117" s="14">
        <f t="shared" si="39"/>
        <v>16448.345161290323</v>
      </c>
      <c r="AL117" s="14">
        <f t="shared" si="39"/>
        <v>309.67741935483906</v>
      </c>
      <c r="AM117" s="14">
        <f t="shared" si="39"/>
        <v>8633.7774193548394</v>
      </c>
      <c r="AN117" s="14">
        <f t="shared" si="39"/>
        <v>16893.245161290324</v>
      </c>
      <c r="AO117" s="14">
        <f t="shared" si="39"/>
        <v>578.19677419354787</v>
      </c>
      <c r="AP117" s="14">
        <f t="shared" si="39"/>
        <v>8644.0999999999985</v>
      </c>
      <c r="AQ117" s="14">
        <f t="shared" si="39"/>
        <v>16365.63</v>
      </c>
      <c r="AR117" s="14">
        <f t="shared" si="39"/>
        <v>320.0000000000004</v>
      </c>
      <c r="AS117" s="14">
        <f t="shared" si="39"/>
        <v>8681.5774193548405</v>
      </c>
    </row>
    <row r="118" spans="2:45" ht="6" hidden="1" customHeight="1" outlineLevel="2" x14ac:dyDescent="0.15"/>
    <row r="119" spans="2:45" outlineLevel="1" collapsed="1" x14ac:dyDescent="0.15">
      <c r="B119" s="107" t="s">
        <v>99</v>
      </c>
      <c r="J119" s="14">
        <f ca="1">Tax!J223</f>
        <v>-43156.449339182793</v>
      </c>
      <c r="K119" s="14">
        <f ca="1">Tax!K223</f>
        <v>-44377.22531862546</v>
      </c>
      <c r="L119" s="14">
        <f ca="1">Tax!L223</f>
        <v>-1220.9798289204336</v>
      </c>
      <c r="M119" s="14">
        <f ca="1">Tax!M223</f>
        <v>-2446.0441253204344</v>
      </c>
      <c r="N119" s="14">
        <f ca="1">Tax!N223</f>
        <v>-3653.5460204825854</v>
      </c>
      <c r="O119" s="14">
        <f ca="1">Tax!O223</f>
        <v>-1217.2472087010779</v>
      </c>
      <c r="P119" s="14">
        <f ca="1">Tax!P223</f>
        <v>-2580.411894781078</v>
      </c>
      <c r="Q119" s="14">
        <f ca="1">Tax!Q223</f>
        <v>-3942.7791843561313</v>
      </c>
      <c r="R119" s="14">
        <f ca="1">Tax!R223</f>
        <v>-1367.2941949973365</v>
      </c>
      <c r="S119" s="14">
        <f ca="1">Tax!S223</f>
        <v>-2748.0266892657237</v>
      </c>
      <c r="T119" s="14">
        <f ca="1">Tax!T223</f>
        <v>-4095.9005239323906</v>
      </c>
      <c r="U119" s="14">
        <f ca="1">Tax!U223</f>
        <v>-1377.2634161410788</v>
      </c>
      <c r="V119" s="14">
        <f ca="1">Tax!V223</f>
        <v>-2741.1942645539821</v>
      </c>
      <c r="W119" s="14">
        <f ca="1">Tax!W223</f>
        <v>-4107.1450747486479</v>
      </c>
      <c r="X119" s="14">
        <f ca="1">Tax!X223</f>
        <v>-1388.7659207397883</v>
      </c>
      <c r="Y119" s="14">
        <f ca="1">Tax!Y223</f>
        <v>-2758.9528437397885</v>
      </c>
      <c r="Z119" s="14">
        <f ca="1">Tax!Z223</f>
        <v>-4118.0881535961316</v>
      </c>
      <c r="AA119" s="14">
        <f ca="1">Tax!AA223</f>
        <v>-1382.407051684304</v>
      </c>
      <c r="AB119" s="14">
        <f ca="1">Tax!AB223</f>
        <v>-2654.9352244843049</v>
      </c>
      <c r="AC119" s="14">
        <f ca="1">Tax!AC223</f>
        <v>-3938.3591485161323</v>
      </c>
      <c r="AD119" s="14">
        <f ca="1">Tax!AD223</f>
        <v>-1286.5715197333357</v>
      </c>
      <c r="AE119" s="14">
        <f ca="1">Tax!AE223</f>
        <v>-2575.8144858081741</v>
      </c>
      <c r="AF119" s="14">
        <f ca="1">Tax!AF223</f>
        <v>-3855.46279679484</v>
      </c>
      <c r="AG119" s="14">
        <f ca="1">Tax!AG223</f>
        <v>-1296.5319281823695</v>
      </c>
      <c r="AH119" s="14">
        <f ca="1">Tax!AH223</f>
        <v>-2567.5412421436604</v>
      </c>
      <c r="AI119" s="14">
        <f ca="1">Tax!AI223</f>
        <v>-3867.9646437703277</v>
      </c>
      <c r="AJ119" s="14">
        <f ca="1">Tax!AJ223</f>
        <v>-1311.3413536688195</v>
      </c>
      <c r="AK119" s="14">
        <f ca="1">Tax!AK223</f>
        <v>-2589.9593536688199</v>
      </c>
      <c r="AL119" s="14">
        <f ca="1">Tax!AL223</f>
        <v>-3877.9994136309706</v>
      </c>
      <c r="AM119" s="14">
        <f ca="1">Tax!AM223</f>
        <v>-1291.2923050443032</v>
      </c>
      <c r="AN119" s="14">
        <f ca="1">Tax!AN223</f>
        <v>-2563.0335210443045</v>
      </c>
      <c r="AO119" s="14">
        <f ca="1">Tax!AO223</f>
        <v>-3857.991217238713</v>
      </c>
      <c r="AP119" s="14">
        <f ca="1">Tax!AP223</f>
        <v>-1284.0888444693364</v>
      </c>
      <c r="AQ119" s="14">
        <f ca="1">Tax!AQ223</f>
        <v>-2559.5751386912707</v>
      </c>
      <c r="AR119" s="14">
        <f ca="1">Tax!AR223</f>
        <v>-3849.7950610379366</v>
      </c>
      <c r="AS119" s="14">
        <f ca="1">Tax!AS223</f>
        <v>-1294.0404402236591</v>
      </c>
    </row>
    <row r="120" spans="2:45" ht="6" hidden="1" customHeight="1" outlineLevel="2" x14ac:dyDescent="0.15"/>
    <row r="121" spans="2:45" outlineLevel="1" collapsed="1" x14ac:dyDescent="0.15">
      <c r="B121" s="107" t="s">
        <v>100</v>
      </c>
      <c r="J121" s="14">
        <f ca="1">Tax!J380</f>
        <v>0</v>
      </c>
      <c r="K121" s="14">
        <f ca="1">Tax!K380</f>
        <v>0</v>
      </c>
      <c r="L121" s="14">
        <f ca="1">Tax!L380</f>
        <v>0</v>
      </c>
      <c r="M121" s="14">
        <f ca="1">Tax!M380</f>
        <v>0</v>
      </c>
      <c r="N121" s="14">
        <f ca="1">Tax!N380</f>
        <v>0</v>
      </c>
      <c r="O121" s="14">
        <f ca="1">Tax!O380</f>
        <v>0</v>
      </c>
      <c r="P121" s="14">
        <f ca="1">Tax!P380</f>
        <v>0</v>
      </c>
      <c r="Q121" s="14">
        <f ca="1">Tax!Q380</f>
        <v>0</v>
      </c>
      <c r="R121" s="14">
        <f ca="1">Tax!R380</f>
        <v>0</v>
      </c>
      <c r="S121" s="14">
        <f ca="1">Tax!S380</f>
        <v>0</v>
      </c>
      <c r="T121" s="14">
        <f ca="1">Tax!T380</f>
        <v>0</v>
      </c>
      <c r="U121" s="14">
        <f ca="1">Tax!U380</f>
        <v>0</v>
      </c>
      <c r="V121" s="14">
        <f ca="1">Tax!V380</f>
        <v>0</v>
      </c>
      <c r="W121" s="14">
        <f ca="1">Tax!W380</f>
        <v>0</v>
      </c>
      <c r="X121" s="14">
        <f ca="1">Tax!X380</f>
        <v>0</v>
      </c>
      <c r="Y121" s="14">
        <f ca="1">Tax!Y380</f>
        <v>0</v>
      </c>
      <c r="Z121" s="14">
        <f ca="1">Tax!Z380</f>
        <v>0</v>
      </c>
      <c r="AA121" s="14">
        <f ca="1">Tax!AA380</f>
        <v>0</v>
      </c>
      <c r="AB121" s="14">
        <f ca="1">Tax!AB380</f>
        <v>0</v>
      </c>
      <c r="AC121" s="14">
        <f ca="1">Tax!AC380</f>
        <v>0</v>
      </c>
      <c r="AD121" s="14">
        <f ca="1">Tax!AD380</f>
        <v>0</v>
      </c>
      <c r="AE121" s="14">
        <f ca="1">Tax!AE380</f>
        <v>0</v>
      </c>
      <c r="AF121" s="14">
        <f ca="1">Tax!AF380</f>
        <v>0</v>
      </c>
      <c r="AG121" s="14">
        <f ca="1">Tax!AG380</f>
        <v>0</v>
      </c>
      <c r="AH121" s="14">
        <f ca="1">Tax!AH380</f>
        <v>0</v>
      </c>
      <c r="AI121" s="14">
        <f ca="1">Tax!AI380</f>
        <v>0</v>
      </c>
      <c r="AJ121" s="14">
        <f ca="1">Tax!AJ380</f>
        <v>0</v>
      </c>
      <c r="AK121" s="14">
        <f ca="1">Tax!AK380</f>
        <v>0</v>
      </c>
      <c r="AL121" s="14">
        <f ca="1">Tax!AL380</f>
        <v>0</v>
      </c>
      <c r="AM121" s="14">
        <f ca="1">Tax!AM380</f>
        <v>0</v>
      </c>
      <c r="AN121" s="14">
        <f ca="1">Tax!AN380</f>
        <v>0</v>
      </c>
      <c r="AO121" s="14">
        <f ca="1">Tax!AO380</f>
        <v>0</v>
      </c>
      <c r="AP121" s="14">
        <f ca="1">Tax!AP380</f>
        <v>0</v>
      </c>
      <c r="AQ121" s="14">
        <f ca="1">Tax!AQ380</f>
        <v>0</v>
      </c>
      <c r="AR121" s="14">
        <f ca="1">Tax!AR380</f>
        <v>0</v>
      </c>
      <c r="AS121" s="14">
        <f ca="1">Tax!AS380</f>
        <v>0</v>
      </c>
    </row>
    <row r="122" spans="2:45" ht="6" hidden="1" customHeight="1" outlineLevel="2" x14ac:dyDescent="0.15"/>
    <row r="123" spans="2:45" hidden="1" outlineLevel="2" x14ac:dyDescent="0.15">
      <c r="C123" s="107" t="str">
        <f>Capital!B22</f>
        <v>Interest Payable Category 1</v>
      </c>
      <c r="J123" s="24">
        <f>Capital!J22</f>
        <v>0</v>
      </c>
      <c r="K123" s="24">
        <f>Capital!K22</f>
        <v>0</v>
      </c>
      <c r="L123" s="24">
        <f>Capital!L22</f>
        <v>0</v>
      </c>
      <c r="M123" s="24">
        <f>Capital!M22</f>
        <v>0</v>
      </c>
      <c r="N123" s="24">
        <f>Capital!N22</f>
        <v>0</v>
      </c>
      <c r="O123" s="24">
        <f>Capital!O22</f>
        <v>0</v>
      </c>
      <c r="P123" s="24">
        <f>Capital!P22</f>
        <v>0</v>
      </c>
      <c r="Q123" s="24">
        <f>Capital!Q22</f>
        <v>0</v>
      </c>
      <c r="R123" s="24">
        <f>Capital!R22</f>
        <v>0</v>
      </c>
      <c r="S123" s="24">
        <f>Capital!S22</f>
        <v>0</v>
      </c>
      <c r="T123" s="24">
        <f>Capital!T22</f>
        <v>0</v>
      </c>
      <c r="U123" s="24">
        <f>Capital!U22</f>
        <v>0</v>
      </c>
      <c r="V123" s="24">
        <f>Capital!V22</f>
        <v>0</v>
      </c>
      <c r="W123" s="24">
        <f>Capital!W22</f>
        <v>0</v>
      </c>
      <c r="X123" s="24">
        <f>Capital!X22</f>
        <v>0</v>
      </c>
      <c r="Y123" s="24">
        <f>Capital!Y22</f>
        <v>0</v>
      </c>
      <c r="Z123" s="24">
        <f>Capital!Z22</f>
        <v>0</v>
      </c>
      <c r="AA123" s="24">
        <f>Capital!AA22</f>
        <v>0</v>
      </c>
      <c r="AB123" s="24">
        <f>Capital!AB22</f>
        <v>0</v>
      </c>
      <c r="AC123" s="24">
        <f>Capital!AC22</f>
        <v>0</v>
      </c>
      <c r="AD123" s="24">
        <f>Capital!AD22</f>
        <v>0</v>
      </c>
      <c r="AE123" s="24">
        <f>Capital!AE22</f>
        <v>0</v>
      </c>
      <c r="AF123" s="24">
        <f>Capital!AF22</f>
        <v>0</v>
      </c>
      <c r="AG123" s="24">
        <f>Capital!AG22</f>
        <v>0</v>
      </c>
      <c r="AH123" s="24">
        <f>Capital!AH22</f>
        <v>0</v>
      </c>
      <c r="AI123" s="24">
        <f>Capital!AI22</f>
        <v>0</v>
      </c>
      <c r="AJ123" s="24">
        <f>Capital!AJ22</f>
        <v>0</v>
      </c>
      <c r="AK123" s="24">
        <f>Capital!AK22</f>
        <v>0</v>
      </c>
      <c r="AL123" s="24">
        <f>Capital!AL22</f>
        <v>0</v>
      </c>
      <c r="AM123" s="24">
        <f>Capital!AM22</f>
        <v>0</v>
      </c>
      <c r="AN123" s="24">
        <f>Capital!AN22</f>
        <v>0</v>
      </c>
      <c r="AO123" s="24">
        <f>Capital!AO22</f>
        <v>0</v>
      </c>
      <c r="AP123" s="24">
        <f>Capital!AP22</f>
        <v>0</v>
      </c>
      <c r="AQ123" s="24">
        <f>Capital!AQ22</f>
        <v>0</v>
      </c>
      <c r="AR123" s="24">
        <f>Capital!AR22</f>
        <v>0</v>
      </c>
      <c r="AS123" s="24">
        <f>Capital!AS22</f>
        <v>0</v>
      </c>
    </row>
    <row r="124" spans="2:45" hidden="1" outlineLevel="2" x14ac:dyDescent="0.15">
      <c r="C124" s="107" t="s">
        <v>444</v>
      </c>
      <c r="J124" s="14">
        <f t="shared" ref="J124:AS124" si="40">SUM(J123:J123)</f>
        <v>0</v>
      </c>
      <c r="K124" s="14">
        <f t="shared" si="40"/>
        <v>0</v>
      </c>
      <c r="L124" s="14">
        <f t="shared" si="40"/>
        <v>0</v>
      </c>
      <c r="M124" s="14">
        <f t="shared" si="40"/>
        <v>0</v>
      </c>
      <c r="N124" s="14">
        <f t="shared" si="40"/>
        <v>0</v>
      </c>
      <c r="O124" s="14">
        <f t="shared" si="40"/>
        <v>0</v>
      </c>
      <c r="P124" s="14">
        <f t="shared" si="40"/>
        <v>0</v>
      </c>
      <c r="Q124" s="14">
        <f t="shared" si="40"/>
        <v>0</v>
      </c>
      <c r="R124" s="14">
        <f t="shared" si="40"/>
        <v>0</v>
      </c>
      <c r="S124" s="14">
        <f t="shared" si="40"/>
        <v>0</v>
      </c>
      <c r="T124" s="14">
        <f t="shared" si="40"/>
        <v>0</v>
      </c>
      <c r="U124" s="14">
        <f t="shared" si="40"/>
        <v>0</v>
      </c>
      <c r="V124" s="14">
        <f t="shared" si="40"/>
        <v>0</v>
      </c>
      <c r="W124" s="14">
        <f t="shared" si="40"/>
        <v>0</v>
      </c>
      <c r="X124" s="14">
        <f t="shared" si="40"/>
        <v>0</v>
      </c>
      <c r="Y124" s="14">
        <f t="shared" si="40"/>
        <v>0</v>
      </c>
      <c r="Z124" s="14">
        <f t="shared" si="40"/>
        <v>0</v>
      </c>
      <c r="AA124" s="14">
        <f t="shared" si="40"/>
        <v>0</v>
      </c>
      <c r="AB124" s="14">
        <f t="shared" si="40"/>
        <v>0</v>
      </c>
      <c r="AC124" s="14">
        <f t="shared" si="40"/>
        <v>0</v>
      </c>
      <c r="AD124" s="14">
        <f t="shared" si="40"/>
        <v>0</v>
      </c>
      <c r="AE124" s="14">
        <f t="shared" si="40"/>
        <v>0</v>
      </c>
      <c r="AF124" s="14">
        <f t="shared" si="40"/>
        <v>0</v>
      </c>
      <c r="AG124" s="14">
        <f t="shared" si="40"/>
        <v>0</v>
      </c>
      <c r="AH124" s="14">
        <f t="shared" si="40"/>
        <v>0</v>
      </c>
      <c r="AI124" s="14">
        <f t="shared" si="40"/>
        <v>0</v>
      </c>
      <c r="AJ124" s="14">
        <f t="shared" si="40"/>
        <v>0</v>
      </c>
      <c r="AK124" s="14">
        <f t="shared" si="40"/>
        <v>0</v>
      </c>
      <c r="AL124" s="14">
        <f t="shared" si="40"/>
        <v>0</v>
      </c>
      <c r="AM124" s="14">
        <f t="shared" si="40"/>
        <v>0</v>
      </c>
      <c r="AN124" s="14">
        <f t="shared" si="40"/>
        <v>0</v>
      </c>
      <c r="AO124" s="14">
        <f t="shared" si="40"/>
        <v>0</v>
      </c>
      <c r="AP124" s="14">
        <f t="shared" si="40"/>
        <v>0</v>
      </c>
      <c r="AQ124" s="14">
        <f t="shared" si="40"/>
        <v>0</v>
      </c>
      <c r="AR124" s="14">
        <f t="shared" si="40"/>
        <v>0</v>
      </c>
      <c r="AS124" s="14">
        <f t="shared" si="40"/>
        <v>0</v>
      </c>
    </row>
    <row r="125" spans="2:45" ht="6" hidden="1" customHeight="1" outlineLevel="2" x14ac:dyDescent="0.15"/>
    <row r="126" spans="2:45" hidden="1" outlineLevel="2" x14ac:dyDescent="0.15">
      <c r="C126" s="107" t="str">
        <f>Capital!I46</f>
        <v>Operating Grants</v>
      </c>
      <c r="J126" s="23">
        <f>Capital!J46</f>
        <v>0</v>
      </c>
      <c r="K126" s="23">
        <f>Capital!K46</f>
        <v>0</v>
      </c>
      <c r="L126" s="23">
        <f>Capital!L46</f>
        <v>0</v>
      </c>
      <c r="M126" s="23">
        <f>Capital!M46</f>
        <v>0</v>
      </c>
      <c r="N126" s="23">
        <f>Capital!N46</f>
        <v>0</v>
      </c>
      <c r="O126" s="23">
        <f>Capital!O46</f>
        <v>0</v>
      </c>
      <c r="P126" s="23">
        <f>Capital!P46</f>
        <v>0</v>
      </c>
      <c r="Q126" s="23">
        <f>Capital!Q46</f>
        <v>0</v>
      </c>
      <c r="R126" s="23">
        <f>Capital!R46</f>
        <v>0</v>
      </c>
      <c r="S126" s="23">
        <f>Capital!S46</f>
        <v>0</v>
      </c>
      <c r="T126" s="23">
        <f>Capital!T46</f>
        <v>0</v>
      </c>
      <c r="U126" s="23">
        <f>Capital!U46</f>
        <v>0</v>
      </c>
      <c r="V126" s="23">
        <f>Capital!V46</f>
        <v>0</v>
      </c>
      <c r="W126" s="23">
        <f>Capital!W46</f>
        <v>0</v>
      </c>
      <c r="X126" s="23">
        <f>Capital!X46</f>
        <v>0</v>
      </c>
      <c r="Y126" s="23">
        <f>Capital!Y46</f>
        <v>0</v>
      </c>
      <c r="Z126" s="23">
        <f>Capital!Z46</f>
        <v>0</v>
      </c>
      <c r="AA126" s="23">
        <f>Capital!AA46</f>
        <v>0</v>
      </c>
      <c r="AB126" s="23">
        <f>Capital!AB46</f>
        <v>0</v>
      </c>
      <c r="AC126" s="23">
        <f>Capital!AC46</f>
        <v>0</v>
      </c>
      <c r="AD126" s="23">
        <f>Capital!AD46</f>
        <v>0</v>
      </c>
      <c r="AE126" s="23">
        <f>Capital!AE46</f>
        <v>0</v>
      </c>
      <c r="AF126" s="23">
        <f>Capital!AF46</f>
        <v>0</v>
      </c>
      <c r="AG126" s="23">
        <f>Capital!AG46</f>
        <v>0</v>
      </c>
      <c r="AH126" s="23">
        <f>Capital!AH46</f>
        <v>0</v>
      </c>
      <c r="AI126" s="23">
        <f>Capital!AI46</f>
        <v>0</v>
      </c>
      <c r="AJ126" s="23">
        <f>Capital!AJ46</f>
        <v>0</v>
      </c>
      <c r="AK126" s="23">
        <f>Capital!AK46</f>
        <v>0</v>
      </c>
      <c r="AL126" s="23">
        <f>Capital!AL46</f>
        <v>0</v>
      </c>
      <c r="AM126" s="23">
        <f>Capital!AM46</f>
        <v>0</v>
      </c>
      <c r="AN126" s="23">
        <f>Capital!AN46</f>
        <v>0</v>
      </c>
      <c r="AO126" s="23">
        <f>Capital!AO46</f>
        <v>0</v>
      </c>
      <c r="AP126" s="23">
        <f>Capital!AP46</f>
        <v>0</v>
      </c>
      <c r="AQ126" s="23">
        <f>Capital!AQ46</f>
        <v>0</v>
      </c>
      <c r="AR126" s="23">
        <f>Capital!AR46</f>
        <v>0</v>
      </c>
      <c r="AS126" s="23">
        <f>Capital!AS46</f>
        <v>0</v>
      </c>
    </row>
    <row r="127" spans="2:45" hidden="1" outlineLevel="2" collapsed="1" x14ac:dyDescent="0.15">
      <c r="C127" s="107" t="str">
        <f>Capital!I72</f>
        <v>CAPEX Grant</v>
      </c>
      <c r="J127" s="24">
        <f>Capital!J72</f>
        <v>0</v>
      </c>
      <c r="K127" s="24">
        <f>Capital!K72</f>
        <v>0</v>
      </c>
      <c r="L127" s="24">
        <f>Capital!L72</f>
        <v>0</v>
      </c>
      <c r="M127" s="24">
        <f>Capital!M72</f>
        <v>0</v>
      </c>
      <c r="N127" s="24">
        <f>Capital!N72</f>
        <v>0</v>
      </c>
      <c r="O127" s="24">
        <f>Capital!O72</f>
        <v>0</v>
      </c>
      <c r="P127" s="24">
        <f>Capital!P72</f>
        <v>0</v>
      </c>
      <c r="Q127" s="24">
        <f>Capital!Q72</f>
        <v>0</v>
      </c>
      <c r="R127" s="24">
        <f>Capital!R72</f>
        <v>0</v>
      </c>
      <c r="S127" s="24">
        <f>Capital!S72</f>
        <v>0</v>
      </c>
      <c r="T127" s="24">
        <f>Capital!T72</f>
        <v>0</v>
      </c>
      <c r="U127" s="24">
        <f>Capital!U72</f>
        <v>0</v>
      </c>
      <c r="V127" s="24">
        <f>Capital!V72</f>
        <v>0</v>
      </c>
      <c r="W127" s="24">
        <f>Capital!W72</f>
        <v>0</v>
      </c>
      <c r="X127" s="24">
        <f>Capital!X72</f>
        <v>0</v>
      </c>
      <c r="Y127" s="24">
        <f>Capital!Y72</f>
        <v>0</v>
      </c>
      <c r="Z127" s="24">
        <f>Capital!Z72</f>
        <v>0</v>
      </c>
      <c r="AA127" s="24">
        <f>Capital!AA72</f>
        <v>0</v>
      </c>
      <c r="AB127" s="24">
        <f>Capital!AB72</f>
        <v>0</v>
      </c>
      <c r="AC127" s="24">
        <f>Capital!AC72</f>
        <v>0</v>
      </c>
      <c r="AD127" s="24">
        <f>Capital!AD72</f>
        <v>0</v>
      </c>
      <c r="AE127" s="24">
        <f>Capital!AE72</f>
        <v>0</v>
      </c>
      <c r="AF127" s="24">
        <f>Capital!AF72</f>
        <v>0</v>
      </c>
      <c r="AG127" s="24">
        <f>Capital!AG72</f>
        <v>0</v>
      </c>
      <c r="AH127" s="24">
        <f>Capital!AH72</f>
        <v>0</v>
      </c>
      <c r="AI127" s="24">
        <f>Capital!AI72</f>
        <v>0</v>
      </c>
      <c r="AJ127" s="24">
        <f>Capital!AJ72</f>
        <v>0</v>
      </c>
      <c r="AK127" s="24">
        <f>Capital!AK72</f>
        <v>0</v>
      </c>
      <c r="AL127" s="24">
        <f>Capital!AL72</f>
        <v>0</v>
      </c>
      <c r="AM127" s="24">
        <f>Capital!AM72</f>
        <v>0</v>
      </c>
      <c r="AN127" s="24">
        <f>Capital!AN72</f>
        <v>0</v>
      </c>
      <c r="AO127" s="24">
        <f>Capital!AO72</f>
        <v>0</v>
      </c>
      <c r="AP127" s="24">
        <f>Capital!AP72</f>
        <v>0</v>
      </c>
      <c r="AQ127" s="24">
        <f>Capital!AQ72</f>
        <v>0</v>
      </c>
      <c r="AR127" s="24">
        <f>Capital!AR72</f>
        <v>0</v>
      </c>
      <c r="AS127" s="24">
        <f>Capital!AS72</f>
        <v>0</v>
      </c>
    </row>
    <row r="128" spans="2:45" hidden="1" outlineLevel="2" x14ac:dyDescent="0.15">
      <c r="C128" s="107" t="s">
        <v>638</v>
      </c>
      <c r="J128" s="14">
        <f t="shared" ref="J128:AS128" si="41">SUM(J126:J127)</f>
        <v>0</v>
      </c>
      <c r="K128" s="14">
        <f t="shared" si="41"/>
        <v>0</v>
      </c>
      <c r="L128" s="14">
        <f t="shared" si="41"/>
        <v>0</v>
      </c>
      <c r="M128" s="14">
        <f t="shared" si="41"/>
        <v>0</v>
      </c>
      <c r="N128" s="14">
        <f t="shared" si="41"/>
        <v>0</v>
      </c>
      <c r="O128" s="14">
        <f t="shared" si="41"/>
        <v>0</v>
      </c>
      <c r="P128" s="14">
        <f t="shared" si="41"/>
        <v>0</v>
      </c>
      <c r="Q128" s="14">
        <f t="shared" si="41"/>
        <v>0</v>
      </c>
      <c r="R128" s="14">
        <f t="shared" si="41"/>
        <v>0</v>
      </c>
      <c r="S128" s="14">
        <f t="shared" si="41"/>
        <v>0</v>
      </c>
      <c r="T128" s="14">
        <f t="shared" si="41"/>
        <v>0</v>
      </c>
      <c r="U128" s="14">
        <f t="shared" si="41"/>
        <v>0</v>
      </c>
      <c r="V128" s="14">
        <f t="shared" si="41"/>
        <v>0</v>
      </c>
      <c r="W128" s="14">
        <f t="shared" si="41"/>
        <v>0</v>
      </c>
      <c r="X128" s="14">
        <f t="shared" si="41"/>
        <v>0</v>
      </c>
      <c r="Y128" s="14">
        <f t="shared" si="41"/>
        <v>0</v>
      </c>
      <c r="Z128" s="14">
        <f t="shared" si="41"/>
        <v>0</v>
      </c>
      <c r="AA128" s="14">
        <f t="shared" si="41"/>
        <v>0</v>
      </c>
      <c r="AB128" s="14">
        <f t="shared" si="41"/>
        <v>0</v>
      </c>
      <c r="AC128" s="14">
        <f t="shared" si="41"/>
        <v>0</v>
      </c>
      <c r="AD128" s="14">
        <f t="shared" si="41"/>
        <v>0</v>
      </c>
      <c r="AE128" s="14">
        <f t="shared" si="41"/>
        <v>0</v>
      </c>
      <c r="AF128" s="14">
        <f t="shared" si="41"/>
        <v>0</v>
      </c>
      <c r="AG128" s="14">
        <f t="shared" si="41"/>
        <v>0</v>
      </c>
      <c r="AH128" s="14">
        <f t="shared" si="41"/>
        <v>0</v>
      </c>
      <c r="AI128" s="14">
        <f t="shared" si="41"/>
        <v>0</v>
      </c>
      <c r="AJ128" s="14">
        <f t="shared" si="41"/>
        <v>0</v>
      </c>
      <c r="AK128" s="14">
        <f t="shared" si="41"/>
        <v>0</v>
      </c>
      <c r="AL128" s="14">
        <f t="shared" si="41"/>
        <v>0</v>
      </c>
      <c r="AM128" s="14">
        <f t="shared" si="41"/>
        <v>0</v>
      </c>
      <c r="AN128" s="14">
        <f t="shared" si="41"/>
        <v>0</v>
      </c>
      <c r="AO128" s="14">
        <f t="shared" si="41"/>
        <v>0</v>
      </c>
      <c r="AP128" s="14">
        <f t="shared" si="41"/>
        <v>0</v>
      </c>
      <c r="AQ128" s="14">
        <f t="shared" si="41"/>
        <v>0</v>
      </c>
      <c r="AR128" s="14">
        <f t="shared" si="41"/>
        <v>0</v>
      </c>
      <c r="AS128" s="14">
        <f t="shared" si="41"/>
        <v>0</v>
      </c>
    </row>
    <row r="129" spans="2:45" ht="6" hidden="1" customHeight="1" outlineLevel="2" x14ac:dyDescent="0.1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row>
    <row r="130" spans="2:45" outlineLevel="1" collapsed="1" x14ac:dyDescent="0.15">
      <c r="B130" s="107" t="s">
        <v>101</v>
      </c>
      <c r="J130" s="14">
        <f t="shared" ref="J130:AS130" si="42">J124+J128</f>
        <v>0</v>
      </c>
      <c r="K130" s="14">
        <f t="shared" si="42"/>
        <v>0</v>
      </c>
      <c r="L130" s="14">
        <f t="shared" si="42"/>
        <v>0</v>
      </c>
      <c r="M130" s="14">
        <f t="shared" si="42"/>
        <v>0</v>
      </c>
      <c r="N130" s="14">
        <f t="shared" si="42"/>
        <v>0</v>
      </c>
      <c r="O130" s="14">
        <f t="shared" si="42"/>
        <v>0</v>
      </c>
      <c r="P130" s="14">
        <f t="shared" si="42"/>
        <v>0</v>
      </c>
      <c r="Q130" s="14">
        <f t="shared" si="42"/>
        <v>0</v>
      </c>
      <c r="R130" s="14">
        <f t="shared" si="42"/>
        <v>0</v>
      </c>
      <c r="S130" s="14">
        <f t="shared" si="42"/>
        <v>0</v>
      </c>
      <c r="T130" s="14">
        <f t="shared" si="42"/>
        <v>0</v>
      </c>
      <c r="U130" s="14">
        <f t="shared" si="42"/>
        <v>0</v>
      </c>
      <c r="V130" s="14">
        <f t="shared" si="42"/>
        <v>0</v>
      </c>
      <c r="W130" s="14">
        <f t="shared" si="42"/>
        <v>0</v>
      </c>
      <c r="X130" s="14">
        <f t="shared" si="42"/>
        <v>0</v>
      </c>
      <c r="Y130" s="14">
        <f t="shared" si="42"/>
        <v>0</v>
      </c>
      <c r="Z130" s="14">
        <f t="shared" si="42"/>
        <v>0</v>
      </c>
      <c r="AA130" s="14">
        <f t="shared" si="42"/>
        <v>0</v>
      </c>
      <c r="AB130" s="14">
        <f t="shared" si="42"/>
        <v>0</v>
      </c>
      <c r="AC130" s="14">
        <f t="shared" si="42"/>
        <v>0</v>
      </c>
      <c r="AD130" s="14">
        <f t="shared" si="42"/>
        <v>0</v>
      </c>
      <c r="AE130" s="14">
        <f t="shared" si="42"/>
        <v>0</v>
      </c>
      <c r="AF130" s="14">
        <f t="shared" si="42"/>
        <v>0</v>
      </c>
      <c r="AG130" s="14">
        <f t="shared" si="42"/>
        <v>0</v>
      </c>
      <c r="AH130" s="14">
        <f t="shared" si="42"/>
        <v>0</v>
      </c>
      <c r="AI130" s="14">
        <f t="shared" si="42"/>
        <v>0</v>
      </c>
      <c r="AJ130" s="14">
        <f t="shared" si="42"/>
        <v>0</v>
      </c>
      <c r="AK130" s="14">
        <f t="shared" si="42"/>
        <v>0</v>
      </c>
      <c r="AL130" s="14">
        <f t="shared" si="42"/>
        <v>0</v>
      </c>
      <c r="AM130" s="14">
        <f t="shared" si="42"/>
        <v>0</v>
      </c>
      <c r="AN130" s="14">
        <f t="shared" si="42"/>
        <v>0</v>
      </c>
      <c r="AO130" s="14">
        <f t="shared" si="42"/>
        <v>0</v>
      </c>
      <c r="AP130" s="14">
        <f t="shared" si="42"/>
        <v>0</v>
      </c>
      <c r="AQ130" s="14">
        <f t="shared" si="42"/>
        <v>0</v>
      </c>
      <c r="AR130" s="14">
        <f t="shared" si="42"/>
        <v>0</v>
      </c>
      <c r="AS130" s="14">
        <f t="shared" si="42"/>
        <v>0</v>
      </c>
    </row>
    <row r="131" spans="2:45" ht="6" hidden="1" customHeight="1" outlineLevel="2" x14ac:dyDescent="0.15"/>
    <row r="132" spans="2:45" outlineLevel="1" collapsed="1" x14ac:dyDescent="0.15">
      <c r="B132" s="107" t="s">
        <v>102</v>
      </c>
      <c r="J132" s="14">
        <f ca="1">Capital!J164</f>
        <v>0</v>
      </c>
      <c r="K132" s="14">
        <f ca="1">Capital!K164</f>
        <v>0</v>
      </c>
      <c r="L132" s="14">
        <f ca="1">Capital!L164</f>
        <v>0</v>
      </c>
      <c r="M132" s="14">
        <f ca="1">Capital!M164</f>
        <v>0</v>
      </c>
      <c r="N132" s="14">
        <f ca="1">Capital!N164</f>
        <v>0</v>
      </c>
      <c r="O132" s="14">
        <f ca="1">Capital!O164</f>
        <v>0</v>
      </c>
      <c r="P132" s="14">
        <f ca="1">Capital!P164</f>
        <v>0</v>
      </c>
      <c r="Q132" s="14">
        <f ca="1">Capital!Q164</f>
        <v>0</v>
      </c>
      <c r="R132" s="14">
        <f ca="1">Capital!R164</f>
        <v>0</v>
      </c>
      <c r="S132" s="14">
        <f ca="1">Capital!S164</f>
        <v>0</v>
      </c>
      <c r="T132" s="14">
        <f ca="1">Capital!T164</f>
        <v>0</v>
      </c>
      <c r="U132" s="14">
        <f ca="1">Capital!U164</f>
        <v>0</v>
      </c>
      <c r="V132" s="14">
        <f ca="1">Capital!V164</f>
        <v>0</v>
      </c>
      <c r="W132" s="14">
        <f ca="1">Capital!W164</f>
        <v>0</v>
      </c>
      <c r="X132" s="14">
        <f ca="1">Capital!X164</f>
        <v>0</v>
      </c>
      <c r="Y132" s="14">
        <f ca="1">Capital!Y164</f>
        <v>0</v>
      </c>
      <c r="Z132" s="14">
        <f ca="1">Capital!Z164</f>
        <v>0</v>
      </c>
      <c r="AA132" s="14">
        <f ca="1">Capital!AA164</f>
        <v>0</v>
      </c>
      <c r="AB132" s="14">
        <f ca="1">Capital!AB164</f>
        <v>0</v>
      </c>
      <c r="AC132" s="14">
        <f ca="1">Capital!AC164</f>
        <v>0</v>
      </c>
      <c r="AD132" s="14">
        <f ca="1">Capital!AD164</f>
        <v>0</v>
      </c>
      <c r="AE132" s="14">
        <f ca="1">Capital!AE164</f>
        <v>0</v>
      </c>
      <c r="AF132" s="14">
        <f ca="1">Capital!AF164</f>
        <v>0</v>
      </c>
      <c r="AG132" s="14">
        <f ca="1">Capital!AG164</f>
        <v>0</v>
      </c>
      <c r="AH132" s="14">
        <f ca="1">Capital!AH164</f>
        <v>0</v>
      </c>
      <c r="AI132" s="14">
        <f ca="1">Capital!AI164</f>
        <v>0</v>
      </c>
      <c r="AJ132" s="14">
        <f ca="1">Capital!AJ164</f>
        <v>0</v>
      </c>
      <c r="AK132" s="14">
        <f ca="1">Capital!AK164</f>
        <v>0</v>
      </c>
      <c r="AL132" s="14">
        <f ca="1">Capital!AL164</f>
        <v>0</v>
      </c>
      <c r="AM132" s="14">
        <f ca="1">Capital!AM164</f>
        <v>0</v>
      </c>
      <c r="AN132" s="14">
        <f ca="1">Capital!AN164</f>
        <v>0</v>
      </c>
      <c r="AO132" s="14">
        <f ca="1">Capital!AO164</f>
        <v>0</v>
      </c>
      <c r="AP132" s="14">
        <f ca="1">Capital!AP164</f>
        <v>0</v>
      </c>
      <c r="AQ132" s="14">
        <f ca="1">Capital!AQ164</f>
        <v>0</v>
      </c>
      <c r="AR132" s="14">
        <f ca="1">Capital!AR164</f>
        <v>0</v>
      </c>
      <c r="AS132" s="14">
        <f ca="1">Capital!AS164</f>
        <v>0</v>
      </c>
    </row>
    <row r="133" spans="2:45" ht="6" hidden="1" customHeight="1" outlineLevel="2" x14ac:dyDescent="0.15"/>
    <row r="134" spans="2:45" hidden="1" outlineLevel="2" x14ac:dyDescent="0.15">
      <c r="B134" s="107" t="str">
        <f>Other!B118</f>
        <v>Other Current Liabilities Category 1</v>
      </c>
      <c r="J134" s="24">
        <f>Other!J118</f>
        <v>0</v>
      </c>
      <c r="K134" s="24">
        <f>Other!K118</f>
        <v>0</v>
      </c>
      <c r="L134" s="24">
        <f>Other!L118</f>
        <v>0</v>
      </c>
      <c r="M134" s="24">
        <f>Other!M118</f>
        <v>0</v>
      </c>
      <c r="N134" s="24">
        <f>Other!N118</f>
        <v>0</v>
      </c>
      <c r="O134" s="24">
        <f>Other!O118</f>
        <v>0</v>
      </c>
      <c r="P134" s="24">
        <f>Other!P118</f>
        <v>0</v>
      </c>
      <c r="Q134" s="24">
        <f>Other!Q118</f>
        <v>0</v>
      </c>
      <c r="R134" s="24">
        <f>Other!R118</f>
        <v>0</v>
      </c>
      <c r="S134" s="24">
        <f>Other!S118</f>
        <v>0</v>
      </c>
      <c r="T134" s="24">
        <f>Other!T118</f>
        <v>0</v>
      </c>
      <c r="U134" s="24">
        <f>Other!U118</f>
        <v>0</v>
      </c>
      <c r="V134" s="24">
        <f>Other!V118</f>
        <v>0</v>
      </c>
      <c r="W134" s="24">
        <f>Other!W118</f>
        <v>0</v>
      </c>
      <c r="X134" s="24">
        <f>Other!X118</f>
        <v>0</v>
      </c>
      <c r="Y134" s="24">
        <f>Other!Y118</f>
        <v>0</v>
      </c>
      <c r="Z134" s="24">
        <f>Other!Z118</f>
        <v>0</v>
      </c>
      <c r="AA134" s="24">
        <f>Other!AA118</f>
        <v>0</v>
      </c>
      <c r="AB134" s="24">
        <f>Other!AB118</f>
        <v>0</v>
      </c>
      <c r="AC134" s="24">
        <f>Other!AC118</f>
        <v>0</v>
      </c>
      <c r="AD134" s="24">
        <f>Other!AD118</f>
        <v>0</v>
      </c>
      <c r="AE134" s="24">
        <f>Other!AE118</f>
        <v>0</v>
      </c>
      <c r="AF134" s="24">
        <f>Other!AF118</f>
        <v>0</v>
      </c>
      <c r="AG134" s="24">
        <f>Other!AG118</f>
        <v>0</v>
      </c>
      <c r="AH134" s="24">
        <f>Other!AH118</f>
        <v>0</v>
      </c>
      <c r="AI134" s="24">
        <f>Other!AI118</f>
        <v>0</v>
      </c>
      <c r="AJ134" s="24">
        <f>Other!AJ118</f>
        <v>0</v>
      </c>
      <c r="AK134" s="24">
        <f>Other!AK118</f>
        <v>0</v>
      </c>
      <c r="AL134" s="24">
        <f>Other!AL118</f>
        <v>0</v>
      </c>
      <c r="AM134" s="24">
        <f>Other!AM118</f>
        <v>0</v>
      </c>
      <c r="AN134" s="24">
        <f>Other!AN118</f>
        <v>0</v>
      </c>
      <c r="AO134" s="24">
        <f>Other!AO118</f>
        <v>0</v>
      </c>
      <c r="AP134" s="24">
        <f>Other!AP118</f>
        <v>0</v>
      </c>
      <c r="AQ134" s="24">
        <f>Other!AQ118</f>
        <v>0</v>
      </c>
      <c r="AR134" s="24">
        <f>Other!AR118</f>
        <v>0</v>
      </c>
      <c r="AS134" s="24">
        <f>Other!AS118</f>
        <v>0</v>
      </c>
    </row>
    <row r="135" spans="2:45" outlineLevel="1" collapsed="1" x14ac:dyDescent="0.15">
      <c r="B135" s="107" t="s">
        <v>105</v>
      </c>
      <c r="J135" s="14">
        <f t="shared" ref="J135:AS135" si="43">SUM(J134:J134)</f>
        <v>0</v>
      </c>
      <c r="K135" s="14">
        <f t="shared" si="43"/>
        <v>0</v>
      </c>
      <c r="L135" s="14">
        <f t="shared" si="43"/>
        <v>0</v>
      </c>
      <c r="M135" s="14">
        <f t="shared" si="43"/>
        <v>0</v>
      </c>
      <c r="N135" s="14">
        <f t="shared" si="43"/>
        <v>0</v>
      </c>
      <c r="O135" s="14">
        <f t="shared" si="43"/>
        <v>0</v>
      </c>
      <c r="P135" s="14">
        <f t="shared" si="43"/>
        <v>0</v>
      </c>
      <c r="Q135" s="14">
        <f t="shared" si="43"/>
        <v>0</v>
      </c>
      <c r="R135" s="14">
        <f t="shared" si="43"/>
        <v>0</v>
      </c>
      <c r="S135" s="14">
        <f t="shared" si="43"/>
        <v>0</v>
      </c>
      <c r="T135" s="14">
        <f t="shared" si="43"/>
        <v>0</v>
      </c>
      <c r="U135" s="14">
        <f t="shared" si="43"/>
        <v>0</v>
      </c>
      <c r="V135" s="14">
        <f t="shared" si="43"/>
        <v>0</v>
      </c>
      <c r="W135" s="14">
        <f t="shared" si="43"/>
        <v>0</v>
      </c>
      <c r="X135" s="14">
        <f t="shared" si="43"/>
        <v>0</v>
      </c>
      <c r="Y135" s="14">
        <f t="shared" si="43"/>
        <v>0</v>
      </c>
      <c r="Z135" s="14">
        <f t="shared" si="43"/>
        <v>0</v>
      </c>
      <c r="AA135" s="14">
        <f t="shared" si="43"/>
        <v>0</v>
      </c>
      <c r="AB135" s="14">
        <f t="shared" si="43"/>
        <v>0</v>
      </c>
      <c r="AC135" s="14">
        <f t="shared" si="43"/>
        <v>0</v>
      </c>
      <c r="AD135" s="14">
        <f t="shared" si="43"/>
        <v>0</v>
      </c>
      <c r="AE135" s="14">
        <f t="shared" si="43"/>
        <v>0</v>
      </c>
      <c r="AF135" s="14">
        <f t="shared" si="43"/>
        <v>0</v>
      </c>
      <c r="AG135" s="14">
        <f t="shared" si="43"/>
        <v>0</v>
      </c>
      <c r="AH135" s="14">
        <f t="shared" si="43"/>
        <v>0</v>
      </c>
      <c r="AI135" s="14">
        <f t="shared" si="43"/>
        <v>0</v>
      </c>
      <c r="AJ135" s="14">
        <f t="shared" si="43"/>
        <v>0</v>
      </c>
      <c r="AK135" s="14">
        <f t="shared" si="43"/>
        <v>0</v>
      </c>
      <c r="AL135" s="14">
        <f t="shared" si="43"/>
        <v>0</v>
      </c>
      <c r="AM135" s="14">
        <f t="shared" si="43"/>
        <v>0</v>
      </c>
      <c r="AN135" s="14">
        <f t="shared" si="43"/>
        <v>0</v>
      </c>
      <c r="AO135" s="14">
        <f t="shared" si="43"/>
        <v>0</v>
      </c>
      <c r="AP135" s="14">
        <f t="shared" si="43"/>
        <v>0</v>
      </c>
      <c r="AQ135" s="14">
        <f t="shared" si="43"/>
        <v>0</v>
      </c>
      <c r="AR135" s="14">
        <f t="shared" si="43"/>
        <v>0</v>
      </c>
      <c r="AS135" s="14">
        <f t="shared" si="43"/>
        <v>0</v>
      </c>
    </row>
    <row r="136" spans="2:45" ht="6" hidden="1" customHeight="1" outlineLevel="2" x14ac:dyDescent="0.15"/>
    <row r="137" spans="2:45" outlineLevel="1" collapsed="1" x14ac:dyDescent="0.15">
      <c r="B137" s="16" t="s">
        <v>299</v>
      </c>
      <c r="J137" s="18">
        <f t="shared" ref="J137:AS137" ca="1" si="44">J117+J119+J121+J130+J132+J135</f>
        <v>-34338.630521978492</v>
      </c>
      <c r="K137" s="18">
        <f t="shared" ca="1" si="44"/>
        <v>-44057.22531862546</v>
      </c>
      <c r="L137" s="18">
        <f t="shared" ca="1" si="44"/>
        <v>7097.3175904344062</v>
      </c>
      <c r="M137" s="18">
        <f t="shared" ca="1" si="44"/>
        <v>13632.853294034405</v>
      </c>
      <c r="N137" s="18">
        <f t="shared" ca="1" si="44"/>
        <v>-3343.8686011277464</v>
      </c>
      <c r="O137" s="18">
        <f t="shared" ca="1" si="44"/>
        <v>7134.5102106537615</v>
      </c>
      <c r="P137" s="18">
        <f t="shared" ca="1" si="44"/>
        <v>13767.150685864084</v>
      </c>
      <c r="Q137" s="18">
        <f t="shared" ca="1" si="44"/>
        <v>-3633.1017650012923</v>
      </c>
      <c r="R137" s="18">
        <f t="shared" ca="1" si="44"/>
        <v>6961.3258050026643</v>
      </c>
      <c r="S137" s="18">
        <f t="shared" ca="1" si="44"/>
        <v>13085.974794605247</v>
      </c>
      <c r="T137" s="18">
        <f t="shared" ca="1" si="44"/>
        <v>-3775.9005239323901</v>
      </c>
      <c r="U137" s="18">
        <f t="shared" ca="1" si="44"/>
        <v>6974.4940032137602</v>
      </c>
      <c r="V137" s="18">
        <f t="shared" ca="1" si="44"/>
        <v>12943.764445123439</v>
      </c>
      <c r="W137" s="18">
        <f t="shared" ca="1" si="44"/>
        <v>-3787.1450747486474</v>
      </c>
      <c r="X137" s="18">
        <f t="shared" ca="1" si="44"/>
        <v>7072.9314986150512</v>
      </c>
      <c r="Y137" s="18">
        <f t="shared" ca="1" si="44"/>
        <v>13525.638769163437</v>
      </c>
      <c r="Z137" s="18">
        <f t="shared" ca="1" si="44"/>
        <v>-3808.4107342412926</v>
      </c>
      <c r="AA137" s="18">
        <f t="shared" ca="1" si="44"/>
        <v>7079.2903676705355</v>
      </c>
      <c r="AB137" s="18">
        <f t="shared" ca="1" si="44"/>
        <v>13875.02993680602</v>
      </c>
      <c r="AC137" s="18">
        <f t="shared" ca="1" si="44"/>
        <v>-3365.7133420645168</v>
      </c>
      <c r="AD137" s="18">
        <f t="shared" ca="1" si="44"/>
        <v>7252.3684802666667</v>
      </c>
      <c r="AE137" s="18">
        <f t="shared" ca="1" si="44"/>
        <v>13632.651170105808</v>
      </c>
      <c r="AF137" s="18">
        <f t="shared" ca="1" si="44"/>
        <v>-3535.4627967948395</v>
      </c>
      <c r="AG137" s="18">
        <f t="shared" ca="1" si="44"/>
        <v>7275.1054911724705</v>
      </c>
      <c r="AH137" s="18">
        <f t="shared" ca="1" si="44"/>
        <v>13383.247144953115</v>
      </c>
      <c r="AI137" s="18">
        <f t="shared" ca="1" si="44"/>
        <v>-3547.9646437703273</v>
      </c>
      <c r="AJ137" s="18">
        <f t="shared" ca="1" si="44"/>
        <v>7260.2960656860205</v>
      </c>
      <c r="AK137" s="18">
        <f t="shared" ca="1" si="44"/>
        <v>13858.385807621504</v>
      </c>
      <c r="AL137" s="18">
        <f t="shared" ca="1" si="44"/>
        <v>-3568.3219942761316</v>
      </c>
      <c r="AM137" s="18">
        <f t="shared" ca="1" si="44"/>
        <v>7342.4851143105361</v>
      </c>
      <c r="AN137" s="18">
        <f t="shared" ca="1" si="44"/>
        <v>14330.21164024602</v>
      </c>
      <c r="AO137" s="18">
        <f t="shared" ca="1" si="44"/>
        <v>-3279.7944430451653</v>
      </c>
      <c r="AP137" s="18">
        <f t="shared" ca="1" si="44"/>
        <v>7360.0111555306621</v>
      </c>
      <c r="AQ137" s="18">
        <f t="shared" ca="1" si="44"/>
        <v>13806.054861308729</v>
      </c>
      <c r="AR137" s="18">
        <f t="shared" ca="1" si="44"/>
        <v>-3529.7950610379362</v>
      </c>
      <c r="AS137" s="18">
        <f t="shared" ca="1" si="44"/>
        <v>7387.5369791311814</v>
      </c>
    </row>
    <row r="138" spans="2:45" ht="6" customHeight="1" outlineLevel="1" x14ac:dyDescent="0.15"/>
    <row r="139" spans="2:45" hidden="1" outlineLevel="2" x14ac:dyDescent="0.15">
      <c r="B139" s="107" t="str">
        <f>Capital!I37</f>
        <v>Operating Grants</v>
      </c>
      <c r="J139" s="23">
        <f>Capital!J37</f>
        <v>0</v>
      </c>
      <c r="K139" s="23">
        <f>Capital!K37</f>
        <v>0</v>
      </c>
      <c r="L139" s="23">
        <f>Capital!L37</f>
        <v>0</v>
      </c>
      <c r="M139" s="23">
        <f>Capital!M37</f>
        <v>0</v>
      </c>
      <c r="N139" s="23">
        <f>Capital!N37</f>
        <v>0</v>
      </c>
      <c r="O139" s="23">
        <f>Capital!O37</f>
        <v>0</v>
      </c>
      <c r="P139" s="23">
        <f>Capital!P37</f>
        <v>0</v>
      </c>
      <c r="Q139" s="23">
        <f>Capital!Q37</f>
        <v>0</v>
      </c>
      <c r="R139" s="23">
        <f>Capital!R37</f>
        <v>0</v>
      </c>
      <c r="S139" s="23">
        <f>Capital!S37</f>
        <v>0</v>
      </c>
      <c r="T139" s="23">
        <f>Capital!T37</f>
        <v>0</v>
      </c>
      <c r="U139" s="23">
        <f>Capital!U37</f>
        <v>0</v>
      </c>
      <c r="V139" s="23">
        <f>Capital!V37</f>
        <v>0</v>
      </c>
      <c r="W139" s="23">
        <f>Capital!W37</f>
        <v>0</v>
      </c>
      <c r="X139" s="23">
        <f>Capital!X37</f>
        <v>0</v>
      </c>
      <c r="Y139" s="23">
        <f>Capital!Y37</f>
        <v>0</v>
      </c>
      <c r="Z139" s="23">
        <f>Capital!Z37</f>
        <v>0</v>
      </c>
      <c r="AA139" s="23">
        <f>Capital!AA37</f>
        <v>0</v>
      </c>
      <c r="AB139" s="23">
        <f>Capital!AB37</f>
        <v>0</v>
      </c>
      <c r="AC139" s="23">
        <f>Capital!AC37</f>
        <v>0</v>
      </c>
      <c r="AD139" s="23">
        <f>Capital!AD37</f>
        <v>0</v>
      </c>
      <c r="AE139" s="23">
        <f>Capital!AE37</f>
        <v>0</v>
      </c>
      <c r="AF139" s="23">
        <f>Capital!AF37</f>
        <v>0</v>
      </c>
      <c r="AG139" s="23">
        <f>Capital!AG37</f>
        <v>0</v>
      </c>
      <c r="AH139" s="23">
        <f>Capital!AH37</f>
        <v>0</v>
      </c>
      <c r="AI139" s="23">
        <f>Capital!AI37</f>
        <v>0</v>
      </c>
      <c r="AJ139" s="23">
        <f>Capital!AJ37</f>
        <v>0</v>
      </c>
      <c r="AK139" s="23">
        <f>Capital!AK37</f>
        <v>0</v>
      </c>
      <c r="AL139" s="23">
        <f>Capital!AL37</f>
        <v>0</v>
      </c>
      <c r="AM139" s="23">
        <f>Capital!AM37</f>
        <v>0</v>
      </c>
      <c r="AN139" s="23">
        <f>Capital!AN37</f>
        <v>0</v>
      </c>
      <c r="AO139" s="23">
        <f>Capital!AO37</f>
        <v>0</v>
      </c>
      <c r="AP139" s="23">
        <f>Capital!AP37</f>
        <v>0</v>
      </c>
      <c r="AQ139" s="23">
        <f>Capital!AQ37</f>
        <v>0</v>
      </c>
      <c r="AR139" s="23">
        <f>Capital!AR37</f>
        <v>0</v>
      </c>
      <c r="AS139" s="23">
        <f>Capital!AS37</f>
        <v>0</v>
      </c>
    </row>
    <row r="140" spans="2:45" hidden="1" outlineLevel="2" collapsed="1" x14ac:dyDescent="0.15">
      <c r="B140" s="107" t="str">
        <f>Capital!I63</f>
        <v>CAPEX Grant</v>
      </c>
      <c r="J140" s="24">
        <f>Capital!J63</f>
        <v>300000</v>
      </c>
      <c r="K140" s="24">
        <f>Capital!K63</f>
        <v>300000</v>
      </c>
      <c r="L140" s="24">
        <f>Capital!L63</f>
        <v>300000</v>
      </c>
      <c r="M140" s="24">
        <f>Capital!M63</f>
        <v>300000</v>
      </c>
      <c r="N140" s="24">
        <f>Capital!N63</f>
        <v>300000</v>
      </c>
      <c r="O140" s="24">
        <f>Capital!O63</f>
        <v>300000</v>
      </c>
      <c r="P140" s="24">
        <f>Capital!P63</f>
        <v>300000</v>
      </c>
      <c r="Q140" s="24">
        <f>Capital!Q63</f>
        <v>300000</v>
      </c>
      <c r="R140" s="24">
        <f>Capital!R63</f>
        <v>300000</v>
      </c>
      <c r="S140" s="24">
        <f>Capital!S63</f>
        <v>300000</v>
      </c>
      <c r="T140" s="24">
        <f>Capital!T63</f>
        <v>300000</v>
      </c>
      <c r="U140" s="24">
        <f>Capital!U63</f>
        <v>300000</v>
      </c>
      <c r="V140" s="24">
        <f>Capital!V63</f>
        <v>300000</v>
      </c>
      <c r="W140" s="24">
        <f>Capital!W63</f>
        <v>300000</v>
      </c>
      <c r="X140" s="24">
        <f>Capital!X63</f>
        <v>300000</v>
      </c>
      <c r="Y140" s="24">
        <f>Capital!Y63</f>
        <v>300000</v>
      </c>
      <c r="Z140" s="24">
        <f>Capital!Z63</f>
        <v>300000</v>
      </c>
      <c r="AA140" s="24">
        <f>Capital!AA63</f>
        <v>300000</v>
      </c>
      <c r="AB140" s="24">
        <f>Capital!AB63</f>
        <v>300000</v>
      </c>
      <c r="AC140" s="24">
        <f>Capital!AC63</f>
        <v>300000</v>
      </c>
      <c r="AD140" s="24">
        <f>Capital!AD63</f>
        <v>300000</v>
      </c>
      <c r="AE140" s="24">
        <f>Capital!AE63</f>
        <v>300000</v>
      </c>
      <c r="AF140" s="24">
        <f>Capital!AF63</f>
        <v>300000</v>
      </c>
      <c r="AG140" s="24">
        <f>Capital!AG63</f>
        <v>300000</v>
      </c>
      <c r="AH140" s="24">
        <f>Capital!AH63</f>
        <v>300000</v>
      </c>
      <c r="AI140" s="24">
        <f>Capital!AI63</f>
        <v>300000</v>
      </c>
      <c r="AJ140" s="24">
        <f>Capital!AJ63</f>
        <v>300000</v>
      </c>
      <c r="AK140" s="24">
        <f>Capital!AK63</f>
        <v>300000</v>
      </c>
      <c r="AL140" s="24">
        <f>Capital!AL63</f>
        <v>300000</v>
      </c>
      <c r="AM140" s="24">
        <f>Capital!AM63</f>
        <v>300000</v>
      </c>
      <c r="AN140" s="24">
        <f>Capital!AN63</f>
        <v>300000</v>
      </c>
      <c r="AO140" s="24">
        <f>Capital!AO63</f>
        <v>300000</v>
      </c>
      <c r="AP140" s="24">
        <f>Capital!AP63</f>
        <v>300000</v>
      </c>
      <c r="AQ140" s="24">
        <f>Capital!AQ63</f>
        <v>300000</v>
      </c>
      <c r="AR140" s="24">
        <f>Capital!AR63</f>
        <v>300000</v>
      </c>
      <c r="AS140" s="24">
        <f>Capital!AS63</f>
        <v>300000</v>
      </c>
    </row>
    <row r="141" spans="2:45" outlineLevel="1" collapsed="1" x14ac:dyDescent="0.15">
      <c r="B141" s="107" t="s">
        <v>107</v>
      </c>
      <c r="J141" s="14">
        <f t="shared" ref="J141:AS141" si="45">SUM(J139:J140)</f>
        <v>300000</v>
      </c>
      <c r="K141" s="14">
        <f t="shared" si="45"/>
        <v>300000</v>
      </c>
      <c r="L141" s="14">
        <f t="shared" si="45"/>
        <v>300000</v>
      </c>
      <c r="M141" s="14">
        <f t="shared" si="45"/>
        <v>300000</v>
      </c>
      <c r="N141" s="14">
        <f t="shared" si="45"/>
        <v>300000</v>
      </c>
      <c r="O141" s="14">
        <f t="shared" si="45"/>
        <v>300000</v>
      </c>
      <c r="P141" s="14">
        <f t="shared" si="45"/>
        <v>300000</v>
      </c>
      <c r="Q141" s="14">
        <f t="shared" si="45"/>
        <v>300000</v>
      </c>
      <c r="R141" s="14">
        <f t="shared" si="45"/>
        <v>300000</v>
      </c>
      <c r="S141" s="14">
        <f t="shared" si="45"/>
        <v>300000</v>
      </c>
      <c r="T141" s="14">
        <f t="shared" si="45"/>
        <v>300000</v>
      </c>
      <c r="U141" s="14">
        <f t="shared" si="45"/>
        <v>300000</v>
      </c>
      <c r="V141" s="14">
        <f t="shared" si="45"/>
        <v>300000</v>
      </c>
      <c r="W141" s="14">
        <f t="shared" si="45"/>
        <v>300000</v>
      </c>
      <c r="X141" s="14">
        <f t="shared" si="45"/>
        <v>300000</v>
      </c>
      <c r="Y141" s="14">
        <f t="shared" si="45"/>
        <v>300000</v>
      </c>
      <c r="Z141" s="14">
        <f t="shared" si="45"/>
        <v>300000</v>
      </c>
      <c r="AA141" s="14">
        <f t="shared" si="45"/>
        <v>300000</v>
      </c>
      <c r="AB141" s="14">
        <f t="shared" si="45"/>
        <v>300000</v>
      </c>
      <c r="AC141" s="14">
        <f t="shared" si="45"/>
        <v>300000</v>
      </c>
      <c r="AD141" s="14">
        <f t="shared" si="45"/>
        <v>300000</v>
      </c>
      <c r="AE141" s="14">
        <f t="shared" si="45"/>
        <v>300000</v>
      </c>
      <c r="AF141" s="14">
        <f t="shared" si="45"/>
        <v>300000</v>
      </c>
      <c r="AG141" s="14">
        <f t="shared" si="45"/>
        <v>300000</v>
      </c>
      <c r="AH141" s="14">
        <f t="shared" si="45"/>
        <v>300000</v>
      </c>
      <c r="AI141" s="14">
        <f t="shared" si="45"/>
        <v>300000</v>
      </c>
      <c r="AJ141" s="14">
        <f t="shared" si="45"/>
        <v>300000</v>
      </c>
      <c r="AK141" s="14">
        <f t="shared" si="45"/>
        <v>300000</v>
      </c>
      <c r="AL141" s="14">
        <f t="shared" si="45"/>
        <v>300000</v>
      </c>
      <c r="AM141" s="14">
        <f t="shared" si="45"/>
        <v>300000</v>
      </c>
      <c r="AN141" s="14">
        <f t="shared" si="45"/>
        <v>300000</v>
      </c>
      <c r="AO141" s="14">
        <f t="shared" si="45"/>
        <v>300000</v>
      </c>
      <c r="AP141" s="14">
        <f t="shared" si="45"/>
        <v>300000</v>
      </c>
      <c r="AQ141" s="14">
        <f t="shared" si="45"/>
        <v>300000</v>
      </c>
      <c r="AR141" s="14">
        <f t="shared" si="45"/>
        <v>300000</v>
      </c>
      <c r="AS141" s="14">
        <f t="shared" si="45"/>
        <v>300000</v>
      </c>
    </row>
    <row r="142" spans="2:45" ht="6" hidden="1" customHeight="1" outlineLevel="2" x14ac:dyDescent="0.15"/>
    <row r="143" spans="2:45" hidden="1" outlineLevel="2" x14ac:dyDescent="0.15">
      <c r="B143" s="107" t="str">
        <f>Other!B148</f>
        <v>Other Non-Current Liabilities Category 1</v>
      </c>
      <c r="J143" s="24">
        <f>Other!J148</f>
        <v>0</v>
      </c>
      <c r="K143" s="24">
        <f>Other!K148</f>
        <v>0</v>
      </c>
      <c r="L143" s="24">
        <f>Other!L148</f>
        <v>0</v>
      </c>
      <c r="M143" s="24">
        <f>Other!M148</f>
        <v>0</v>
      </c>
      <c r="N143" s="24">
        <f>Other!N148</f>
        <v>0</v>
      </c>
      <c r="O143" s="24">
        <f>Other!O148</f>
        <v>0</v>
      </c>
      <c r="P143" s="24">
        <f>Other!P148</f>
        <v>0</v>
      </c>
      <c r="Q143" s="24">
        <f>Other!Q148</f>
        <v>0</v>
      </c>
      <c r="R143" s="24">
        <f>Other!R148</f>
        <v>0</v>
      </c>
      <c r="S143" s="24">
        <f>Other!S148</f>
        <v>0</v>
      </c>
      <c r="T143" s="24">
        <f>Other!T148</f>
        <v>0</v>
      </c>
      <c r="U143" s="24">
        <f>Other!U148</f>
        <v>0</v>
      </c>
      <c r="V143" s="24">
        <f>Other!V148</f>
        <v>0</v>
      </c>
      <c r="W143" s="24">
        <f>Other!W148</f>
        <v>0</v>
      </c>
      <c r="X143" s="24">
        <f>Other!X148</f>
        <v>0</v>
      </c>
      <c r="Y143" s="24">
        <f>Other!Y148</f>
        <v>0</v>
      </c>
      <c r="Z143" s="24">
        <f>Other!Z148</f>
        <v>0</v>
      </c>
      <c r="AA143" s="24">
        <f>Other!AA148</f>
        <v>0</v>
      </c>
      <c r="AB143" s="24">
        <f>Other!AB148</f>
        <v>0</v>
      </c>
      <c r="AC143" s="24">
        <f>Other!AC148</f>
        <v>0</v>
      </c>
      <c r="AD143" s="24">
        <f>Other!AD148</f>
        <v>0</v>
      </c>
      <c r="AE143" s="24">
        <f>Other!AE148</f>
        <v>0</v>
      </c>
      <c r="AF143" s="24">
        <f>Other!AF148</f>
        <v>0</v>
      </c>
      <c r="AG143" s="24">
        <f>Other!AG148</f>
        <v>0</v>
      </c>
      <c r="AH143" s="24">
        <f>Other!AH148</f>
        <v>0</v>
      </c>
      <c r="AI143" s="24">
        <f>Other!AI148</f>
        <v>0</v>
      </c>
      <c r="AJ143" s="24">
        <f>Other!AJ148</f>
        <v>0</v>
      </c>
      <c r="AK143" s="24">
        <f>Other!AK148</f>
        <v>0</v>
      </c>
      <c r="AL143" s="24">
        <f>Other!AL148</f>
        <v>0</v>
      </c>
      <c r="AM143" s="24">
        <f>Other!AM148</f>
        <v>0</v>
      </c>
      <c r="AN143" s="24">
        <f>Other!AN148</f>
        <v>0</v>
      </c>
      <c r="AO143" s="24">
        <f>Other!AO148</f>
        <v>0</v>
      </c>
      <c r="AP143" s="24">
        <f>Other!AP148</f>
        <v>0</v>
      </c>
      <c r="AQ143" s="24">
        <f>Other!AQ148</f>
        <v>0</v>
      </c>
      <c r="AR143" s="24">
        <f>Other!AR148</f>
        <v>0</v>
      </c>
      <c r="AS143" s="24">
        <f>Other!AS148</f>
        <v>0</v>
      </c>
    </row>
    <row r="144" spans="2:45" outlineLevel="1" collapsed="1" x14ac:dyDescent="0.15">
      <c r="B144" s="107" t="s">
        <v>108</v>
      </c>
      <c r="J144" s="14">
        <f t="shared" ref="J144:AS144" si="46">SUM(J143:J143)</f>
        <v>0</v>
      </c>
      <c r="K144" s="14">
        <f t="shared" si="46"/>
        <v>0</v>
      </c>
      <c r="L144" s="14">
        <f t="shared" si="46"/>
        <v>0</v>
      </c>
      <c r="M144" s="14">
        <f t="shared" si="46"/>
        <v>0</v>
      </c>
      <c r="N144" s="14">
        <f t="shared" si="46"/>
        <v>0</v>
      </c>
      <c r="O144" s="14">
        <f t="shared" si="46"/>
        <v>0</v>
      </c>
      <c r="P144" s="14">
        <f t="shared" si="46"/>
        <v>0</v>
      </c>
      <c r="Q144" s="14">
        <f t="shared" si="46"/>
        <v>0</v>
      </c>
      <c r="R144" s="14">
        <f t="shared" si="46"/>
        <v>0</v>
      </c>
      <c r="S144" s="14">
        <f t="shared" si="46"/>
        <v>0</v>
      </c>
      <c r="T144" s="14">
        <f t="shared" si="46"/>
        <v>0</v>
      </c>
      <c r="U144" s="14">
        <f t="shared" si="46"/>
        <v>0</v>
      </c>
      <c r="V144" s="14">
        <f t="shared" si="46"/>
        <v>0</v>
      </c>
      <c r="W144" s="14">
        <f t="shared" si="46"/>
        <v>0</v>
      </c>
      <c r="X144" s="14">
        <f t="shared" si="46"/>
        <v>0</v>
      </c>
      <c r="Y144" s="14">
        <f t="shared" si="46"/>
        <v>0</v>
      </c>
      <c r="Z144" s="14">
        <f t="shared" si="46"/>
        <v>0</v>
      </c>
      <c r="AA144" s="14">
        <f t="shared" si="46"/>
        <v>0</v>
      </c>
      <c r="AB144" s="14">
        <f t="shared" si="46"/>
        <v>0</v>
      </c>
      <c r="AC144" s="14">
        <f t="shared" si="46"/>
        <v>0</v>
      </c>
      <c r="AD144" s="14">
        <f t="shared" si="46"/>
        <v>0</v>
      </c>
      <c r="AE144" s="14">
        <f t="shared" si="46"/>
        <v>0</v>
      </c>
      <c r="AF144" s="14">
        <f t="shared" si="46"/>
        <v>0</v>
      </c>
      <c r="AG144" s="14">
        <f t="shared" si="46"/>
        <v>0</v>
      </c>
      <c r="AH144" s="14">
        <f t="shared" si="46"/>
        <v>0</v>
      </c>
      <c r="AI144" s="14">
        <f t="shared" si="46"/>
        <v>0</v>
      </c>
      <c r="AJ144" s="14">
        <f t="shared" si="46"/>
        <v>0</v>
      </c>
      <c r="AK144" s="14">
        <f t="shared" si="46"/>
        <v>0</v>
      </c>
      <c r="AL144" s="14">
        <f t="shared" si="46"/>
        <v>0</v>
      </c>
      <c r="AM144" s="14">
        <f t="shared" si="46"/>
        <v>0</v>
      </c>
      <c r="AN144" s="14">
        <f t="shared" si="46"/>
        <v>0</v>
      </c>
      <c r="AO144" s="14">
        <f t="shared" si="46"/>
        <v>0</v>
      </c>
      <c r="AP144" s="14">
        <f t="shared" si="46"/>
        <v>0</v>
      </c>
      <c r="AQ144" s="14">
        <f t="shared" si="46"/>
        <v>0</v>
      </c>
      <c r="AR144" s="14">
        <f t="shared" si="46"/>
        <v>0</v>
      </c>
      <c r="AS144" s="14">
        <f t="shared" si="46"/>
        <v>0</v>
      </c>
    </row>
    <row r="145" spans="2:45" ht="6" hidden="1" customHeight="1" outlineLevel="2" x14ac:dyDescent="0.15"/>
    <row r="146" spans="2:45" outlineLevel="1" collapsed="1" x14ac:dyDescent="0.15">
      <c r="B146" s="16" t="s">
        <v>303</v>
      </c>
      <c r="J146" s="18">
        <f t="shared" ref="J146:AS146" si="47">J141+J144</f>
        <v>300000</v>
      </c>
      <c r="K146" s="18">
        <f t="shared" si="47"/>
        <v>300000</v>
      </c>
      <c r="L146" s="18">
        <f t="shared" si="47"/>
        <v>300000</v>
      </c>
      <c r="M146" s="18">
        <f t="shared" si="47"/>
        <v>300000</v>
      </c>
      <c r="N146" s="18">
        <f t="shared" si="47"/>
        <v>300000</v>
      </c>
      <c r="O146" s="18">
        <f t="shared" si="47"/>
        <v>300000</v>
      </c>
      <c r="P146" s="18">
        <f t="shared" si="47"/>
        <v>300000</v>
      </c>
      <c r="Q146" s="18">
        <f t="shared" si="47"/>
        <v>300000</v>
      </c>
      <c r="R146" s="18">
        <f t="shared" si="47"/>
        <v>300000</v>
      </c>
      <c r="S146" s="18">
        <f t="shared" si="47"/>
        <v>300000</v>
      </c>
      <c r="T146" s="18">
        <f t="shared" si="47"/>
        <v>300000</v>
      </c>
      <c r="U146" s="18">
        <f t="shared" si="47"/>
        <v>300000</v>
      </c>
      <c r="V146" s="18">
        <f t="shared" si="47"/>
        <v>300000</v>
      </c>
      <c r="W146" s="18">
        <f t="shared" si="47"/>
        <v>300000</v>
      </c>
      <c r="X146" s="18">
        <f t="shared" si="47"/>
        <v>300000</v>
      </c>
      <c r="Y146" s="18">
        <f t="shared" si="47"/>
        <v>300000</v>
      </c>
      <c r="Z146" s="18">
        <f t="shared" si="47"/>
        <v>300000</v>
      </c>
      <c r="AA146" s="18">
        <f t="shared" si="47"/>
        <v>300000</v>
      </c>
      <c r="AB146" s="18">
        <f t="shared" si="47"/>
        <v>300000</v>
      </c>
      <c r="AC146" s="18">
        <f t="shared" si="47"/>
        <v>300000</v>
      </c>
      <c r="AD146" s="18">
        <f t="shared" si="47"/>
        <v>300000</v>
      </c>
      <c r="AE146" s="18">
        <f t="shared" si="47"/>
        <v>300000</v>
      </c>
      <c r="AF146" s="18">
        <f t="shared" si="47"/>
        <v>300000</v>
      </c>
      <c r="AG146" s="18">
        <f t="shared" si="47"/>
        <v>300000</v>
      </c>
      <c r="AH146" s="18">
        <f t="shared" si="47"/>
        <v>300000</v>
      </c>
      <c r="AI146" s="18">
        <f t="shared" si="47"/>
        <v>300000</v>
      </c>
      <c r="AJ146" s="18">
        <f t="shared" si="47"/>
        <v>300000</v>
      </c>
      <c r="AK146" s="18">
        <f t="shared" si="47"/>
        <v>300000</v>
      </c>
      <c r="AL146" s="18">
        <f t="shared" si="47"/>
        <v>300000</v>
      </c>
      <c r="AM146" s="18">
        <f t="shared" si="47"/>
        <v>300000</v>
      </c>
      <c r="AN146" s="18">
        <f t="shared" si="47"/>
        <v>300000</v>
      </c>
      <c r="AO146" s="18">
        <f t="shared" si="47"/>
        <v>300000</v>
      </c>
      <c r="AP146" s="18">
        <f t="shared" si="47"/>
        <v>300000</v>
      </c>
      <c r="AQ146" s="18">
        <f t="shared" si="47"/>
        <v>300000</v>
      </c>
      <c r="AR146" s="18">
        <f t="shared" si="47"/>
        <v>300000</v>
      </c>
      <c r="AS146" s="18">
        <f t="shared" si="47"/>
        <v>300000</v>
      </c>
    </row>
    <row r="147" spans="2:45" ht="6" customHeight="1" outlineLevel="1" x14ac:dyDescent="0.15"/>
    <row r="148" spans="2:45" outlineLevel="1" x14ac:dyDescent="0.15">
      <c r="B148" s="16" t="s">
        <v>110</v>
      </c>
      <c r="J148" s="19">
        <f t="shared" ref="J148:AS148" ca="1" si="48">J137+J146</f>
        <v>265661.36947802152</v>
      </c>
      <c r="K148" s="19">
        <f t="shared" ca="1" si="48"/>
        <v>255942.77468137455</v>
      </c>
      <c r="L148" s="19">
        <f t="shared" ca="1" si="48"/>
        <v>307097.3175904344</v>
      </c>
      <c r="M148" s="19">
        <f t="shared" ca="1" si="48"/>
        <v>313632.85329403443</v>
      </c>
      <c r="N148" s="19">
        <f t="shared" ca="1" si="48"/>
        <v>296656.13139887224</v>
      </c>
      <c r="O148" s="19">
        <f t="shared" ca="1" si="48"/>
        <v>307134.51021065377</v>
      </c>
      <c r="P148" s="19">
        <f t="shared" ca="1" si="48"/>
        <v>313767.15068586409</v>
      </c>
      <c r="Q148" s="19">
        <f t="shared" ca="1" si="48"/>
        <v>296366.89823499869</v>
      </c>
      <c r="R148" s="19">
        <f t="shared" ca="1" si="48"/>
        <v>306961.32580500265</v>
      </c>
      <c r="S148" s="19">
        <f t="shared" ca="1" si="48"/>
        <v>313085.97479460522</v>
      </c>
      <c r="T148" s="19">
        <f t="shared" ca="1" si="48"/>
        <v>296224.09947606758</v>
      </c>
      <c r="U148" s="19">
        <f t="shared" ca="1" si="48"/>
        <v>306974.49400321377</v>
      </c>
      <c r="V148" s="19">
        <f t="shared" ca="1" si="48"/>
        <v>312943.76444512344</v>
      </c>
      <c r="W148" s="19">
        <f t="shared" ca="1" si="48"/>
        <v>296212.85492525133</v>
      </c>
      <c r="X148" s="19">
        <f t="shared" ca="1" si="48"/>
        <v>307072.93149861507</v>
      </c>
      <c r="Y148" s="19">
        <f t="shared" ca="1" si="48"/>
        <v>313525.63876916346</v>
      </c>
      <c r="Z148" s="19">
        <f t="shared" ca="1" si="48"/>
        <v>296191.5892657587</v>
      </c>
      <c r="AA148" s="19">
        <f t="shared" ca="1" si="48"/>
        <v>307079.29036767053</v>
      </c>
      <c r="AB148" s="19">
        <f t="shared" ca="1" si="48"/>
        <v>313875.02993680601</v>
      </c>
      <c r="AC148" s="19">
        <f t="shared" ca="1" si="48"/>
        <v>296634.28665793547</v>
      </c>
      <c r="AD148" s="19">
        <f t="shared" ca="1" si="48"/>
        <v>307252.36848026665</v>
      </c>
      <c r="AE148" s="19">
        <f t="shared" ca="1" si="48"/>
        <v>313632.65117010579</v>
      </c>
      <c r="AF148" s="19">
        <f t="shared" ca="1" si="48"/>
        <v>296464.53720320517</v>
      </c>
      <c r="AG148" s="19">
        <f t="shared" ca="1" si="48"/>
        <v>307275.10549117246</v>
      </c>
      <c r="AH148" s="19">
        <f t="shared" ca="1" si="48"/>
        <v>313383.24714495311</v>
      </c>
      <c r="AI148" s="19">
        <f t="shared" ca="1" si="48"/>
        <v>296452.0353562297</v>
      </c>
      <c r="AJ148" s="19">
        <f t="shared" ca="1" si="48"/>
        <v>307260.29606568604</v>
      </c>
      <c r="AK148" s="19">
        <f t="shared" ca="1" si="48"/>
        <v>313858.38580762153</v>
      </c>
      <c r="AL148" s="19">
        <f t="shared" ca="1" si="48"/>
        <v>296431.67800572386</v>
      </c>
      <c r="AM148" s="19">
        <f t="shared" ca="1" si="48"/>
        <v>307342.48511431052</v>
      </c>
      <c r="AN148" s="19">
        <f t="shared" ca="1" si="48"/>
        <v>314330.21164024604</v>
      </c>
      <c r="AO148" s="19">
        <f t="shared" ca="1" si="48"/>
        <v>296720.20555695484</v>
      </c>
      <c r="AP148" s="19">
        <f t="shared" ca="1" si="48"/>
        <v>307360.01115553064</v>
      </c>
      <c r="AQ148" s="19">
        <f t="shared" ca="1" si="48"/>
        <v>313806.05486130872</v>
      </c>
      <c r="AR148" s="19">
        <f t="shared" ca="1" si="48"/>
        <v>296470.20493896207</v>
      </c>
      <c r="AS148" s="19">
        <f t="shared" ca="1" si="48"/>
        <v>307387.53697913117</v>
      </c>
    </row>
    <row r="149" spans="2:45" ht="6" customHeight="1" outlineLevel="1" x14ac:dyDescent="0.15"/>
    <row r="150" spans="2:45" ht="13" outlineLevel="1" thickBot="1" x14ac:dyDescent="0.2">
      <c r="B150" s="16" t="s">
        <v>103</v>
      </c>
      <c r="J150" s="20">
        <f t="shared" ref="J150:AS150" ca="1" si="49">J108-J148</f>
        <v>290.5281502509024</v>
      </c>
      <c r="K150" s="20">
        <f t="shared" ca="1" si="49"/>
        <v>-7592.1959496335767</v>
      </c>
      <c r="L150" s="20">
        <f t="shared" ca="1" si="49"/>
        <v>-15321.6612093898</v>
      </c>
      <c r="M150" s="20">
        <f t="shared" ca="1" si="49"/>
        <v>-22014.199503167649</v>
      </c>
      <c r="N150" s="20">
        <f t="shared" ca="1" si="49"/>
        <v>-32378.982977237843</v>
      </c>
      <c r="O150" s="20">
        <f t="shared" ca="1" si="49"/>
        <v>-40533.519575961865</v>
      </c>
      <c r="P150" s="20">
        <f t="shared" ca="1" si="49"/>
        <v>-48953.767948939698</v>
      </c>
      <c r="Q150" s="20">
        <f t="shared" ca="1" si="49"/>
        <v>-57406.661374364747</v>
      </c>
      <c r="R150" s="20">
        <f t="shared" ca="1" si="49"/>
        <v>-67051.362793635897</v>
      </c>
      <c r="S150" s="20">
        <f t="shared" ca="1" si="49"/>
        <v>-76023.103190794296</v>
      </c>
      <c r="T150" s="20">
        <f t="shared" ca="1" si="49"/>
        <v>-84811.903555238765</v>
      </c>
      <c r="U150" s="20">
        <f t="shared" ca="1" si="49"/>
        <v>-94259.572887562797</v>
      </c>
      <c r="V150" s="20">
        <f t="shared" ca="1" si="49"/>
        <v>-104178.08387669543</v>
      </c>
      <c r="W150" s="20">
        <f t="shared" ca="1" si="49"/>
        <v>-111093.89687545988</v>
      </c>
      <c r="X150" s="20">
        <f t="shared" ca="1" si="49"/>
        <v>-117705.24020024843</v>
      </c>
      <c r="Y150" s="20">
        <f t="shared" ca="1" si="49"/>
        <v>-123408.84484802623</v>
      </c>
      <c r="Z150" s="20">
        <f t="shared" ca="1" si="49"/>
        <v>-133809.78564818678</v>
      </c>
      <c r="AA150" s="20">
        <f t="shared" ca="1" si="49"/>
        <v>-141388.1275569495</v>
      </c>
      <c r="AB150" s="20">
        <f t="shared" ca="1" si="49"/>
        <v>-148110.74656672729</v>
      </c>
      <c r="AC150" s="20">
        <f t="shared" ca="1" si="49"/>
        <v>-154822.61371571367</v>
      </c>
      <c r="AD150" s="20">
        <f t="shared" ca="1" si="49"/>
        <v>-163125.6794428248</v>
      </c>
      <c r="AE150" s="20">
        <f t="shared" ca="1" si="49"/>
        <v>-170701.39828966063</v>
      </c>
      <c r="AF150" s="20">
        <f t="shared" ca="1" si="49"/>
        <v>-177814.2961149051</v>
      </c>
      <c r="AG150" s="20">
        <f t="shared" ca="1" si="49"/>
        <v>-185931.8205363646</v>
      </c>
      <c r="AH150" s="20">
        <f t="shared" ca="1" si="49"/>
        <v>-194547.57952807785</v>
      </c>
      <c r="AI150" s="20">
        <f t="shared" ca="1" si="49"/>
        <v>-198999.78749492232</v>
      </c>
      <c r="AJ150" s="20">
        <f t="shared" ca="1" si="49"/>
        <v>-203340.77960525925</v>
      </c>
      <c r="AK150" s="20">
        <f t="shared" ca="1" si="49"/>
        <v>-207440.50738303701</v>
      </c>
      <c r="AL150" s="20">
        <f t="shared" ca="1" si="49"/>
        <v>-216602.48656910725</v>
      </c>
      <c r="AM150" s="20">
        <f t="shared" ca="1" si="49"/>
        <v>-222592.16569626995</v>
      </c>
      <c r="AN150" s="20">
        <f t="shared" ca="1" si="49"/>
        <v>-227867.96251404777</v>
      </c>
      <c r="AO150" s="20">
        <f t="shared" ca="1" si="49"/>
        <v>-232770.47321650511</v>
      </c>
      <c r="AP150" s="20">
        <f t="shared" ca="1" si="49"/>
        <v>-239912.19325145619</v>
      </c>
      <c r="AQ150" s="20">
        <f t="shared" ca="1" si="49"/>
        <v>-246368.95111333719</v>
      </c>
      <c r="AR150" s="20">
        <f t="shared" ca="1" si="49"/>
        <v>-251883.29317698165</v>
      </c>
      <c r="AS150" s="20">
        <f t="shared" ca="1" si="49"/>
        <v>-258846.18268757663</v>
      </c>
    </row>
    <row r="151" spans="2:45" ht="6" customHeight="1" outlineLevel="1" thickTop="1" x14ac:dyDescent="0.15"/>
    <row r="152" spans="2:45" outlineLevel="1" x14ac:dyDescent="0.15">
      <c r="B152" s="107" t="s">
        <v>111</v>
      </c>
      <c r="J152" s="14">
        <f>Capital!J156</f>
        <v>0</v>
      </c>
      <c r="K152" s="14">
        <f>Capital!K156</f>
        <v>0</v>
      </c>
      <c r="L152" s="14">
        <f>Capital!L156</f>
        <v>0</v>
      </c>
      <c r="M152" s="14">
        <f>Capital!M156</f>
        <v>0</v>
      </c>
      <c r="N152" s="14">
        <f>Capital!N156</f>
        <v>0</v>
      </c>
      <c r="O152" s="14">
        <f>Capital!O156</f>
        <v>0</v>
      </c>
      <c r="P152" s="14">
        <f>Capital!P156</f>
        <v>0</v>
      </c>
      <c r="Q152" s="14">
        <f>Capital!Q156</f>
        <v>0</v>
      </c>
      <c r="R152" s="14">
        <f>Capital!R156</f>
        <v>0</v>
      </c>
      <c r="S152" s="14">
        <f>Capital!S156</f>
        <v>0</v>
      </c>
      <c r="T152" s="14">
        <f>Capital!T156</f>
        <v>0</v>
      </c>
      <c r="U152" s="14">
        <f>Capital!U156</f>
        <v>0</v>
      </c>
      <c r="V152" s="14">
        <f>Capital!V156</f>
        <v>0</v>
      </c>
      <c r="W152" s="14">
        <f>Capital!W156</f>
        <v>0</v>
      </c>
      <c r="X152" s="14">
        <f>Capital!X156</f>
        <v>0</v>
      </c>
      <c r="Y152" s="14">
        <f>Capital!Y156</f>
        <v>0</v>
      </c>
      <c r="Z152" s="14">
        <f>Capital!Z156</f>
        <v>0</v>
      </c>
      <c r="AA152" s="14">
        <f>Capital!AA156</f>
        <v>0</v>
      </c>
      <c r="AB152" s="14">
        <f>Capital!AB156</f>
        <v>0</v>
      </c>
      <c r="AC152" s="14">
        <f>Capital!AC156</f>
        <v>0</v>
      </c>
      <c r="AD152" s="14">
        <f>Capital!AD156</f>
        <v>0</v>
      </c>
      <c r="AE152" s="14">
        <f>Capital!AE156</f>
        <v>0</v>
      </c>
      <c r="AF152" s="14">
        <f>Capital!AF156</f>
        <v>0</v>
      </c>
      <c r="AG152" s="14">
        <f>Capital!AG156</f>
        <v>0</v>
      </c>
      <c r="AH152" s="14">
        <f>Capital!AH156</f>
        <v>0</v>
      </c>
      <c r="AI152" s="14">
        <f>Capital!AI156</f>
        <v>0</v>
      </c>
      <c r="AJ152" s="14">
        <f>Capital!AJ156</f>
        <v>0</v>
      </c>
      <c r="AK152" s="14">
        <f>Capital!AK156</f>
        <v>0</v>
      </c>
      <c r="AL152" s="14">
        <f>Capital!AL156</f>
        <v>0</v>
      </c>
      <c r="AM152" s="14">
        <f>Capital!AM156</f>
        <v>0</v>
      </c>
      <c r="AN152" s="14">
        <f>Capital!AN156</f>
        <v>0</v>
      </c>
      <c r="AO152" s="14">
        <f>Capital!AO156</f>
        <v>0</v>
      </c>
      <c r="AP152" s="14">
        <f>Capital!AP156</f>
        <v>0</v>
      </c>
      <c r="AQ152" s="14">
        <f>Capital!AQ156</f>
        <v>0</v>
      </c>
      <c r="AR152" s="14">
        <f>Capital!AR156</f>
        <v>0</v>
      </c>
      <c r="AS152" s="14">
        <f>Capital!AS156</f>
        <v>0</v>
      </c>
    </row>
    <row r="153" spans="2:45" ht="6" hidden="1" customHeight="1" outlineLevel="2" x14ac:dyDescent="0.15"/>
    <row r="154" spans="2:45" hidden="1" outlineLevel="2" x14ac:dyDescent="0.15">
      <c r="B154" s="107" t="str">
        <f>Other!B178</f>
        <v>Other Equity Category 1</v>
      </c>
      <c r="J154" s="24">
        <f>Other!J178</f>
        <v>0</v>
      </c>
      <c r="K154" s="24">
        <f>Other!K178</f>
        <v>0</v>
      </c>
      <c r="L154" s="24">
        <f>Other!L178</f>
        <v>0</v>
      </c>
      <c r="M154" s="24">
        <f>Other!M178</f>
        <v>0</v>
      </c>
      <c r="N154" s="24">
        <f>Other!N178</f>
        <v>0</v>
      </c>
      <c r="O154" s="24">
        <f>Other!O178</f>
        <v>0</v>
      </c>
      <c r="P154" s="24">
        <f>Other!P178</f>
        <v>0</v>
      </c>
      <c r="Q154" s="24">
        <f>Other!Q178</f>
        <v>0</v>
      </c>
      <c r="R154" s="24">
        <f>Other!R178</f>
        <v>0</v>
      </c>
      <c r="S154" s="24">
        <f>Other!S178</f>
        <v>0</v>
      </c>
      <c r="T154" s="24">
        <f>Other!T178</f>
        <v>0</v>
      </c>
      <c r="U154" s="24">
        <f>Other!U178</f>
        <v>0</v>
      </c>
      <c r="V154" s="24">
        <f>Other!V178</f>
        <v>0</v>
      </c>
      <c r="W154" s="24">
        <f>Other!W178</f>
        <v>0</v>
      </c>
      <c r="X154" s="24">
        <f>Other!X178</f>
        <v>0</v>
      </c>
      <c r="Y154" s="24">
        <f>Other!Y178</f>
        <v>0</v>
      </c>
      <c r="Z154" s="24">
        <f>Other!Z178</f>
        <v>0</v>
      </c>
      <c r="AA154" s="24">
        <f>Other!AA178</f>
        <v>0</v>
      </c>
      <c r="AB154" s="24">
        <f>Other!AB178</f>
        <v>0</v>
      </c>
      <c r="AC154" s="24">
        <f>Other!AC178</f>
        <v>0</v>
      </c>
      <c r="AD154" s="24">
        <f>Other!AD178</f>
        <v>0</v>
      </c>
      <c r="AE154" s="24">
        <f>Other!AE178</f>
        <v>0</v>
      </c>
      <c r="AF154" s="24">
        <f>Other!AF178</f>
        <v>0</v>
      </c>
      <c r="AG154" s="24">
        <f>Other!AG178</f>
        <v>0</v>
      </c>
      <c r="AH154" s="24">
        <f>Other!AH178</f>
        <v>0</v>
      </c>
      <c r="AI154" s="24">
        <f>Other!AI178</f>
        <v>0</v>
      </c>
      <c r="AJ154" s="24">
        <f>Other!AJ178</f>
        <v>0</v>
      </c>
      <c r="AK154" s="24">
        <f>Other!AK178</f>
        <v>0</v>
      </c>
      <c r="AL154" s="24">
        <f>Other!AL178</f>
        <v>0</v>
      </c>
      <c r="AM154" s="24">
        <f>Other!AM178</f>
        <v>0</v>
      </c>
      <c r="AN154" s="24">
        <f>Other!AN178</f>
        <v>0</v>
      </c>
      <c r="AO154" s="24">
        <f>Other!AO178</f>
        <v>0</v>
      </c>
      <c r="AP154" s="24">
        <f>Other!AP178</f>
        <v>0</v>
      </c>
      <c r="AQ154" s="24">
        <f>Other!AQ178</f>
        <v>0</v>
      </c>
      <c r="AR154" s="24">
        <f>Other!AR178</f>
        <v>0</v>
      </c>
      <c r="AS154" s="24">
        <f>Other!AS178</f>
        <v>0</v>
      </c>
    </row>
    <row r="155" spans="2:45" outlineLevel="1" collapsed="1" x14ac:dyDescent="0.15">
      <c r="B155" s="107" t="s">
        <v>112</v>
      </c>
      <c r="J155" s="14">
        <f t="shared" ref="J155:AS155" si="50">SUM(J154:J154)</f>
        <v>0</v>
      </c>
      <c r="K155" s="14">
        <f t="shared" si="50"/>
        <v>0</v>
      </c>
      <c r="L155" s="14">
        <f t="shared" si="50"/>
        <v>0</v>
      </c>
      <c r="M155" s="14">
        <f t="shared" si="50"/>
        <v>0</v>
      </c>
      <c r="N155" s="14">
        <f t="shared" si="50"/>
        <v>0</v>
      </c>
      <c r="O155" s="14">
        <f t="shared" si="50"/>
        <v>0</v>
      </c>
      <c r="P155" s="14">
        <f t="shared" si="50"/>
        <v>0</v>
      </c>
      <c r="Q155" s="14">
        <f t="shared" si="50"/>
        <v>0</v>
      </c>
      <c r="R155" s="14">
        <f t="shared" si="50"/>
        <v>0</v>
      </c>
      <c r="S155" s="14">
        <f t="shared" si="50"/>
        <v>0</v>
      </c>
      <c r="T155" s="14">
        <f t="shared" si="50"/>
        <v>0</v>
      </c>
      <c r="U155" s="14">
        <f t="shared" si="50"/>
        <v>0</v>
      </c>
      <c r="V155" s="14">
        <f t="shared" si="50"/>
        <v>0</v>
      </c>
      <c r="W155" s="14">
        <f t="shared" si="50"/>
        <v>0</v>
      </c>
      <c r="X155" s="14">
        <f t="shared" si="50"/>
        <v>0</v>
      </c>
      <c r="Y155" s="14">
        <f t="shared" si="50"/>
        <v>0</v>
      </c>
      <c r="Z155" s="14">
        <f t="shared" si="50"/>
        <v>0</v>
      </c>
      <c r="AA155" s="14">
        <f t="shared" si="50"/>
        <v>0</v>
      </c>
      <c r="AB155" s="14">
        <f t="shared" si="50"/>
        <v>0</v>
      </c>
      <c r="AC155" s="14">
        <f t="shared" si="50"/>
        <v>0</v>
      </c>
      <c r="AD155" s="14">
        <f t="shared" si="50"/>
        <v>0</v>
      </c>
      <c r="AE155" s="14">
        <f t="shared" si="50"/>
        <v>0</v>
      </c>
      <c r="AF155" s="14">
        <f t="shared" si="50"/>
        <v>0</v>
      </c>
      <c r="AG155" s="14">
        <f t="shared" si="50"/>
        <v>0</v>
      </c>
      <c r="AH155" s="14">
        <f t="shared" si="50"/>
        <v>0</v>
      </c>
      <c r="AI155" s="14">
        <f t="shared" si="50"/>
        <v>0</v>
      </c>
      <c r="AJ155" s="14">
        <f t="shared" si="50"/>
        <v>0</v>
      </c>
      <c r="AK155" s="14">
        <f t="shared" si="50"/>
        <v>0</v>
      </c>
      <c r="AL155" s="14">
        <f t="shared" si="50"/>
        <v>0</v>
      </c>
      <c r="AM155" s="14">
        <f t="shared" si="50"/>
        <v>0</v>
      </c>
      <c r="AN155" s="14">
        <f t="shared" si="50"/>
        <v>0</v>
      </c>
      <c r="AO155" s="14">
        <f t="shared" si="50"/>
        <v>0</v>
      </c>
      <c r="AP155" s="14">
        <f t="shared" si="50"/>
        <v>0</v>
      </c>
      <c r="AQ155" s="14">
        <f t="shared" si="50"/>
        <v>0</v>
      </c>
      <c r="AR155" s="14">
        <f t="shared" si="50"/>
        <v>0</v>
      </c>
      <c r="AS155" s="14">
        <f t="shared" si="50"/>
        <v>0</v>
      </c>
    </row>
    <row r="156" spans="2:45" ht="6" hidden="1" customHeight="1" outlineLevel="2" x14ac:dyDescent="0.15"/>
    <row r="157" spans="2:45" hidden="1" outlineLevel="2" x14ac:dyDescent="0.15">
      <c r="C157" s="107" t="s">
        <v>375</v>
      </c>
      <c r="J157" s="14">
        <f>IF(J$8=1,OBS!J71,I160)</f>
        <v>7403</v>
      </c>
      <c r="K157" s="14">
        <f ca="1">IF(K$8=1,OBS!K71,J160)</f>
        <v>290.52815025089512</v>
      </c>
      <c r="L157" s="14">
        <f ca="1">IF(L$8=1,OBS!L71,K160)</f>
        <v>-7592.1959496335512</v>
      </c>
      <c r="M157" s="14">
        <f ca="1">IF(M$8=1,OBS!M71,L160)</f>
        <v>-15321.661209389824</v>
      </c>
      <c r="N157" s="14">
        <f ca="1">IF(N$8=1,OBS!N71,M160)</f>
        <v>-22014.199503167602</v>
      </c>
      <c r="O157" s="14">
        <f ca="1">IF(O$8=1,OBS!O71,N160)</f>
        <v>-32378.982977237854</v>
      </c>
      <c r="P157" s="14">
        <f ca="1">IF(P$8=1,OBS!P71,O160)</f>
        <v>-40533.519575961873</v>
      </c>
      <c r="Q157" s="14">
        <f ca="1">IF(Q$8=1,OBS!Q71,P160)</f>
        <v>-48953.767948939654</v>
      </c>
      <c r="R157" s="14">
        <f ca="1">IF(R$8=1,OBS!R71,Q160)</f>
        <v>-57406.661374364747</v>
      </c>
      <c r="S157" s="14">
        <f ca="1">IF(S$8=1,OBS!S71,R160)</f>
        <v>-67051.362793635853</v>
      </c>
      <c r="T157" s="14">
        <f ca="1">IF(T$8=1,OBS!T71,S160)</f>
        <v>-76023.103190794282</v>
      </c>
      <c r="U157" s="14">
        <f ca="1">IF(U$8=1,OBS!U71,T160)</f>
        <v>-84811.903555238721</v>
      </c>
      <c r="V157" s="14">
        <f ca="1">IF(V$8=1,OBS!V71,U160)</f>
        <v>-94259.572887562739</v>
      </c>
      <c r="W157" s="14">
        <f ca="1">IF(W$8=1,OBS!W71,V160)</f>
        <v>-104178.08387669535</v>
      </c>
      <c r="X157" s="14">
        <f ca="1">IF(X$8=1,OBS!X71,W160)</f>
        <v>-111093.8968754598</v>
      </c>
      <c r="Y157" s="14">
        <f ca="1">IF(Y$8=1,OBS!Y71,X160)</f>
        <v>-117705.24020024833</v>
      </c>
      <c r="Z157" s="14">
        <f ca="1">IF(Z$8=1,OBS!Z71,Y160)</f>
        <v>-123408.84484802611</v>
      </c>
      <c r="AA157" s="14">
        <f ca="1">IF(AA$8=1,OBS!AA71,Z160)</f>
        <v>-133809.78564818669</v>
      </c>
      <c r="AB157" s="14">
        <f ca="1">IF(AB$8=1,OBS!AB71,AA160)</f>
        <v>-141388.12755694942</v>
      </c>
      <c r="AC157" s="14">
        <f ca="1">IF(AC$8=1,OBS!AC71,AB160)</f>
        <v>-148110.7465667272</v>
      </c>
      <c r="AD157" s="14">
        <f ca="1">IF(AD$8=1,OBS!AD71,AC160)</f>
        <v>-154822.61371571358</v>
      </c>
      <c r="AE157" s="14">
        <f ca="1">IF(AE$8=1,OBS!AE71,AD160)</f>
        <v>-163125.67944282468</v>
      </c>
      <c r="AF157" s="14">
        <f ca="1">IF(AF$8=1,OBS!AF71,AE160)</f>
        <v>-170701.39828966052</v>
      </c>
      <c r="AG157" s="14">
        <f ca="1">IF(AG$8=1,OBS!AG71,AF160)</f>
        <v>-177814.29611490495</v>
      </c>
      <c r="AH157" s="14">
        <f ca="1">IF(AH$8=1,OBS!AH71,AG160)</f>
        <v>-185931.82053636445</v>
      </c>
      <c r="AI157" s="14">
        <f ca="1">IF(AI$8=1,OBS!AI71,AH160)</f>
        <v>-194547.57952807771</v>
      </c>
      <c r="AJ157" s="14">
        <f ca="1">IF(AJ$8=1,OBS!AJ71,AI160)</f>
        <v>-198999.78749492214</v>
      </c>
      <c r="AK157" s="14">
        <f ca="1">IF(AK$8=1,OBS!AK71,AJ160)</f>
        <v>-203340.77960525907</v>
      </c>
      <c r="AL157" s="14">
        <f ca="1">IF(AL$8=1,OBS!AL71,AK160)</f>
        <v>-207440.50738303686</v>
      </c>
      <c r="AM157" s="14">
        <f ca="1">IF(AM$8=1,OBS!AM71,AL160)</f>
        <v>-216602.4865691071</v>
      </c>
      <c r="AN157" s="14">
        <f ca="1">IF(AN$8=1,OBS!AN71,AM160)</f>
        <v>-222592.16569626983</v>
      </c>
      <c r="AO157" s="14">
        <f ca="1">IF(AO$8=1,OBS!AO71,AN160)</f>
        <v>-227867.9625140476</v>
      </c>
      <c r="AP157" s="14">
        <f ca="1">IF(AP$8=1,OBS!AP71,AO160)</f>
        <v>-232770.47321650494</v>
      </c>
      <c r="AQ157" s="14">
        <f ca="1">IF(AQ$8=1,OBS!AQ71,AP160)</f>
        <v>-239912.19325145605</v>
      </c>
      <c r="AR157" s="14">
        <f ca="1">IF(AR$8=1,OBS!AR71,AQ160)</f>
        <v>-246368.95111333704</v>
      </c>
      <c r="AS157" s="14">
        <f ca="1">IF(AS$8=1,OBS!AS71,AR160)</f>
        <v>-251883.29317698147</v>
      </c>
    </row>
    <row r="158" spans="2:45" hidden="1" outlineLevel="2" x14ac:dyDescent="0.15">
      <c r="C158" s="107" t="s">
        <v>83</v>
      </c>
      <c r="J158" s="14">
        <f t="shared" ref="J158:AS158" ca="1" si="51">J78</f>
        <v>-7112.4718497491049</v>
      </c>
      <c r="K158" s="14">
        <f t="shared" ca="1" si="51"/>
        <v>-7882.7240998844463</v>
      </c>
      <c r="L158" s="14">
        <f t="shared" ca="1" si="51"/>
        <v>-7729.4652597562726</v>
      </c>
      <c r="M158" s="14">
        <f t="shared" ca="1" si="51"/>
        <v>-6692.5382937777777</v>
      </c>
      <c r="N158" s="14">
        <f t="shared" ca="1" si="51"/>
        <v>-10364.783474070253</v>
      </c>
      <c r="O158" s="14">
        <f t="shared" ca="1" si="51"/>
        <v>-8154.5365987240157</v>
      </c>
      <c r="P158" s="14">
        <f t="shared" ca="1" si="51"/>
        <v>-8420.2483729777778</v>
      </c>
      <c r="Q158" s="14">
        <f t="shared" ca="1" si="51"/>
        <v>-8452.8934254250908</v>
      </c>
      <c r="R158" s="14">
        <f t="shared" ca="1" si="51"/>
        <v>-9644.7014192711104</v>
      </c>
      <c r="S158" s="14">
        <f t="shared" ca="1" si="51"/>
        <v>-8971.7403971584245</v>
      </c>
      <c r="T158" s="14">
        <f t="shared" ca="1" si="51"/>
        <v>-8788.8003644444452</v>
      </c>
      <c r="U158" s="14">
        <f t="shared" ca="1" si="51"/>
        <v>-9447.6693323240142</v>
      </c>
      <c r="V158" s="14">
        <f t="shared" ca="1" si="51"/>
        <v>-9918.5109891326174</v>
      </c>
      <c r="W158" s="14">
        <f t="shared" ca="1" si="51"/>
        <v>-6915.8129987644452</v>
      </c>
      <c r="X158" s="14">
        <f t="shared" ca="1" si="51"/>
        <v>-6611.3433247885323</v>
      </c>
      <c r="Y158" s="14">
        <f t="shared" ca="1" si="51"/>
        <v>-5703.6046477777791</v>
      </c>
      <c r="Z158" s="14">
        <f t="shared" ca="1" si="51"/>
        <v>-10400.940800160573</v>
      </c>
      <c r="AA158" s="14">
        <f t="shared" ca="1" si="51"/>
        <v>-7578.3419087627253</v>
      </c>
      <c r="AB158" s="14">
        <f t="shared" ca="1" si="51"/>
        <v>-6722.619009777778</v>
      </c>
      <c r="AC158" s="14">
        <f t="shared" ca="1" si="51"/>
        <v>-6711.8671489863809</v>
      </c>
      <c r="AD158" s="14">
        <f t="shared" ca="1" si="51"/>
        <v>-8303.0657271111122</v>
      </c>
      <c r="AE158" s="14">
        <f t="shared" ca="1" si="51"/>
        <v>-7575.7188468358427</v>
      </c>
      <c r="AF158" s="14">
        <f t="shared" ca="1" si="51"/>
        <v>-7112.8978252444449</v>
      </c>
      <c r="AG158" s="14">
        <f t="shared" ca="1" si="51"/>
        <v>-8117.5244214594995</v>
      </c>
      <c r="AH158" s="14">
        <f t="shared" ca="1" si="51"/>
        <v>-8615.7589917132627</v>
      </c>
      <c r="AI158" s="14">
        <f t="shared" ca="1" si="51"/>
        <v>-4452.207966844443</v>
      </c>
      <c r="AJ158" s="14">
        <f t="shared" ca="1" si="51"/>
        <v>-4340.992110336917</v>
      </c>
      <c r="AK158" s="14">
        <f t="shared" ca="1" si="51"/>
        <v>-4099.727777777779</v>
      </c>
      <c r="AL158" s="14">
        <f t="shared" ca="1" si="51"/>
        <v>-9161.9791860702535</v>
      </c>
      <c r="AM158" s="14">
        <f t="shared" ca="1" si="51"/>
        <v>-5989.6791271627235</v>
      </c>
      <c r="AN158" s="14">
        <f t="shared" ca="1" si="51"/>
        <v>-5275.7968177777784</v>
      </c>
      <c r="AO158" s="14">
        <f t="shared" ca="1" si="51"/>
        <v>-4902.5107024573463</v>
      </c>
      <c r="AP158" s="14">
        <f t="shared" ca="1" si="51"/>
        <v>-7141.7200349511104</v>
      </c>
      <c r="AQ158" s="14">
        <f t="shared" ca="1" si="51"/>
        <v>-6456.7578618810039</v>
      </c>
      <c r="AR158" s="14">
        <f t="shared" ca="1" si="51"/>
        <v>-5514.3420636444425</v>
      </c>
      <c r="AS158" s="14">
        <f t="shared" ca="1" si="51"/>
        <v>-6962.8895105949832</v>
      </c>
    </row>
    <row r="159" spans="2:45" hidden="1" outlineLevel="2" x14ac:dyDescent="0.15">
      <c r="C159" s="107" t="s">
        <v>479</v>
      </c>
      <c r="J159" s="24">
        <f ca="1">-Capital!J160</f>
        <v>0</v>
      </c>
      <c r="K159" s="24">
        <f ca="1">-Capital!K160</f>
        <v>0</v>
      </c>
      <c r="L159" s="24">
        <f ca="1">-Capital!L160</f>
        <v>0</v>
      </c>
      <c r="M159" s="24">
        <f ca="1">-Capital!M160</f>
        <v>0</v>
      </c>
      <c r="N159" s="24">
        <f ca="1">-Capital!N160</f>
        <v>0</v>
      </c>
      <c r="O159" s="24">
        <f ca="1">-Capital!O160</f>
        <v>0</v>
      </c>
      <c r="P159" s="24">
        <f ca="1">-Capital!P160</f>
        <v>0</v>
      </c>
      <c r="Q159" s="24">
        <f ca="1">-Capital!Q160</f>
        <v>0</v>
      </c>
      <c r="R159" s="24">
        <f ca="1">-Capital!R160</f>
        <v>0</v>
      </c>
      <c r="S159" s="24">
        <f ca="1">-Capital!S160</f>
        <v>0</v>
      </c>
      <c r="T159" s="24">
        <f ca="1">-Capital!T160</f>
        <v>0</v>
      </c>
      <c r="U159" s="24">
        <f ca="1">-Capital!U160</f>
        <v>0</v>
      </c>
      <c r="V159" s="24">
        <f ca="1">-Capital!V160</f>
        <v>0</v>
      </c>
      <c r="W159" s="24">
        <f ca="1">-Capital!W160</f>
        <v>0</v>
      </c>
      <c r="X159" s="24">
        <f ca="1">-Capital!X160</f>
        <v>0</v>
      </c>
      <c r="Y159" s="24">
        <f ca="1">-Capital!Y160</f>
        <v>0</v>
      </c>
      <c r="Z159" s="24">
        <f ca="1">-Capital!Z160</f>
        <v>0</v>
      </c>
      <c r="AA159" s="24">
        <f ca="1">-Capital!AA160</f>
        <v>0</v>
      </c>
      <c r="AB159" s="24">
        <f ca="1">-Capital!AB160</f>
        <v>0</v>
      </c>
      <c r="AC159" s="24">
        <f ca="1">-Capital!AC160</f>
        <v>0</v>
      </c>
      <c r="AD159" s="24">
        <f ca="1">-Capital!AD160</f>
        <v>0</v>
      </c>
      <c r="AE159" s="24">
        <f ca="1">-Capital!AE160</f>
        <v>0</v>
      </c>
      <c r="AF159" s="24">
        <f ca="1">-Capital!AF160</f>
        <v>0</v>
      </c>
      <c r="AG159" s="24">
        <f ca="1">-Capital!AG160</f>
        <v>0</v>
      </c>
      <c r="AH159" s="24">
        <f ca="1">-Capital!AH160</f>
        <v>0</v>
      </c>
      <c r="AI159" s="24">
        <f ca="1">-Capital!AI160</f>
        <v>0</v>
      </c>
      <c r="AJ159" s="24">
        <f ca="1">-Capital!AJ160</f>
        <v>0</v>
      </c>
      <c r="AK159" s="24">
        <f ca="1">-Capital!AK160</f>
        <v>0</v>
      </c>
      <c r="AL159" s="24">
        <f ca="1">-Capital!AL160</f>
        <v>0</v>
      </c>
      <c r="AM159" s="24">
        <f ca="1">-Capital!AM160</f>
        <v>0</v>
      </c>
      <c r="AN159" s="24">
        <f ca="1">-Capital!AN160</f>
        <v>0</v>
      </c>
      <c r="AO159" s="24">
        <f ca="1">-Capital!AO160</f>
        <v>0</v>
      </c>
      <c r="AP159" s="24">
        <f ca="1">-Capital!AP160</f>
        <v>0</v>
      </c>
      <c r="AQ159" s="24">
        <f ca="1">-Capital!AQ160</f>
        <v>0</v>
      </c>
      <c r="AR159" s="24">
        <f ca="1">-Capital!AR160</f>
        <v>0</v>
      </c>
      <c r="AS159" s="24">
        <f ca="1">-Capital!AS160</f>
        <v>0</v>
      </c>
    </row>
    <row r="160" spans="2:45" outlineLevel="1" collapsed="1" x14ac:dyDescent="0.15">
      <c r="B160" s="107" t="s">
        <v>113</v>
      </c>
      <c r="J160" s="14">
        <f t="shared" ref="J160:AS160" ca="1" si="52">SUM(J157:J159)</f>
        <v>290.52815025089512</v>
      </c>
      <c r="K160" s="14">
        <f t="shared" ca="1" si="52"/>
        <v>-7592.1959496335512</v>
      </c>
      <c r="L160" s="14">
        <f t="shared" ca="1" si="52"/>
        <v>-15321.661209389824</v>
      </c>
      <c r="M160" s="14">
        <f t="shared" ca="1" si="52"/>
        <v>-22014.199503167602</v>
      </c>
      <c r="N160" s="14">
        <f t="shared" ca="1" si="52"/>
        <v>-32378.982977237854</v>
      </c>
      <c r="O160" s="14">
        <f t="shared" ca="1" si="52"/>
        <v>-40533.519575961873</v>
      </c>
      <c r="P160" s="14">
        <f t="shared" ca="1" si="52"/>
        <v>-48953.767948939654</v>
      </c>
      <c r="Q160" s="14">
        <f t="shared" ca="1" si="52"/>
        <v>-57406.661374364747</v>
      </c>
      <c r="R160" s="14">
        <f t="shared" ca="1" si="52"/>
        <v>-67051.362793635853</v>
      </c>
      <c r="S160" s="14">
        <f t="shared" ca="1" si="52"/>
        <v>-76023.103190794282</v>
      </c>
      <c r="T160" s="14">
        <f t="shared" ca="1" si="52"/>
        <v>-84811.903555238721</v>
      </c>
      <c r="U160" s="14">
        <f t="shared" ca="1" si="52"/>
        <v>-94259.572887562739</v>
      </c>
      <c r="V160" s="14">
        <f t="shared" ca="1" si="52"/>
        <v>-104178.08387669535</v>
      </c>
      <c r="W160" s="14">
        <f t="shared" ca="1" si="52"/>
        <v>-111093.8968754598</v>
      </c>
      <c r="X160" s="14">
        <f t="shared" ca="1" si="52"/>
        <v>-117705.24020024833</v>
      </c>
      <c r="Y160" s="14">
        <f t="shared" ca="1" si="52"/>
        <v>-123408.84484802611</v>
      </c>
      <c r="Z160" s="14">
        <f t="shared" ca="1" si="52"/>
        <v>-133809.78564818669</v>
      </c>
      <c r="AA160" s="14">
        <f t="shared" ca="1" si="52"/>
        <v>-141388.12755694942</v>
      </c>
      <c r="AB160" s="14">
        <f t="shared" ca="1" si="52"/>
        <v>-148110.7465667272</v>
      </c>
      <c r="AC160" s="14">
        <f t="shared" ca="1" si="52"/>
        <v>-154822.61371571358</v>
      </c>
      <c r="AD160" s="14">
        <f t="shared" ca="1" si="52"/>
        <v>-163125.67944282468</v>
      </c>
      <c r="AE160" s="14">
        <f t="shared" ca="1" si="52"/>
        <v>-170701.39828966052</v>
      </c>
      <c r="AF160" s="14">
        <f t="shared" ca="1" si="52"/>
        <v>-177814.29611490495</v>
      </c>
      <c r="AG160" s="14">
        <f t="shared" ca="1" si="52"/>
        <v>-185931.82053636445</v>
      </c>
      <c r="AH160" s="14">
        <f t="shared" ca="1" si="52"/>
        <v>-194547.57952807771</v>
      </c>
      <c r="AI160" s="14">
        <f t="shared" ca="1" si="52"/>
        <v>-198999.78749492214</v>
      </c>
      <c r="AJ160" s="14">
        <f t="shared" ca="1" si="52"/>
        <v>-203340.77960525907</v>
      </c>
      <c r="AK160" s="14">
        <f t="shared" ca="1" si="52"/>
        <v>-207440.50738303686</v>
      </c>
      <c r="AL160" s="14">
        <f t="shared" ca="1" si="52"/>
        <v>-216602.4865691071</v>
      </c>
      <c r="AM160" s="14">
        <f t="shared" ca="1" si="52"/>
        <v>-222592.16569626983</v>
      </c>
      <c r="AN160" s="14">
        <f t="shared" ca="1" si="52"/>
        <v>-227867.9625140476</v>
      </c>
      <c r="AO160" s="14">
        <f t="shared" ca="1" si="52"/>
        <v>-232770.47321650494</v>
      </c>
      <c r="AP160" s="14">
        <f t="shared" ca="1" si="52"/>
        <v>-239912.19325145605</v>
      </c>
      <c r="AQ160" s="14">
        <f t="shared" ca="1" si="52"/>
        <v>-246368.95111333704</v>
      </c>
      <c r="AR160" s="14">
        <f t="shared" ca="1" si="52"/>
        <v>-251883.29317698147</v>
      </c>
      <c r="AS160" s="14">
        <f t="shared" ca="1" si="52"/>
        <v>-258846.18268757645</v>
      </c>
    </row>
    <row r="161" spans="2:45" ht="6" customHeight="1" outlineLevel="1" x14ac:dyDescent="0.15"/>
    <row r="162" spans="2:45" ht="13" outlineLevel="1" thickBot="1" x14ac:dyDescent="0.2">
      <c r="B162" s="16" t="s">
        <v>114</v>
      </c>
      <c r="J162" s="20">
        <f t="shared" ref="J162:AS162" ca="1" si="53">J152+J155+J160</f>
        <v>290.52815025089512</v>
      </c>
      <c r="K162" s="20">
        <f t="shared" ca="1" si="53"/>
        <v>-7592.1959496335512</v>
      </c>
      <c r="L162" s="20">
        <f t="shared" ca="1" si="53"/>
        <v>-15321.661209389824</v>
      </c>
      <c r="M162" s="20">
        <f t="shared" ca="1" si="53"/>
        <v>-22014.199503167602</v>
      </c>
      <c r="N162" s="20">
        <f t="shared" ca="1" si="53"/>
        <v>-32378.982977237854</v>
      </c>
      <c r="O162" s="20">
        <f t="shared" ca="1" si="53"/>
        <v>-40533.519575961873</v>
      </c>
      <c r="P162" s="20">
        <f t="shared" ca="1" si="53"/>
        <v>-48953.767948939654</v>
      </c>
      <c r="Q162" s="20">
        <f t="shared" ca="1" si="53"/>
        <v>-57406.661374364747</v>
      </c>
      <c r="R162" s="20">
        <f t="shared" ca="1" si="53"/>
        <v>-67051.362793635853</v>
      </c>
      <c r="S162" s="20">
        <f t="shared" ca="1" si="53"/>
        <v>-76023.103190794282</v>
      </c>
      <c r="T162" s="20">
        <f t="shared" ca="1" si="53"/>
        <v>-84811.903555238721</v>
      </c>
      <c r="U162" s="20">
        <f t="shared" ca="1" si="53"/>
        <v>-94259.572887562739</v>
      </c>
      <c r="V162" s="20">
        <f t="shared" ca="1" si="53"/>
        <v>-104178.08387669535</v>
      </c>
      <c r="W162" s="20">
        <f t="shared" ca="1" si="53"/>
        <v>-111093.8968754598</v>
      </c>
      <c r="X162" s="20">
        <f t="shared" ca="1" si="53"/>
        <v>-117705.24020024833</v>
      </c>
      <c r="Y162" s="20">
        <f t="shared" ca="1" si="53"/>
        <v>-123408.84484802611</v>
      </c>
      <c r="Z162" s="20">
        <f t="shared" ca="1" si="53"/>
        <v>-133809.78564818669</v>
      </c>
      <c r="AA162" s="20">
        <f t="shared" ca="1" si="53"/>
        <v>-141388.12755694942</v>
      </c>
      <c r="AB162" s="20">
        <f t="shared" ca="1" si="53"/>
        <v>-148110.7465667272</v>
      </c>
      <c r="AC162" s="20">
        <f t="shared" ca="1" si="53"/>
        <v>-154822.61371571358</v>
      </c>
      <c r="AD162" s="20">
        <f t="shared" ca="1" si="53"/>
        <v>-163125.67944282468</v>
      </c>
      <c r="AE162" s="20">
        <f t="shared" ca="1" si="53"/>
        <v>-170701.39828966052</v>
      </c>
      <c r="AF162" s="20">
        <f t="shared" ca="1" si="53"/>
        <v>-177814.29611490495</v>
      </c>
      <c r="AG162" s="20">
        <f t="shared" ca="1" si="53"/>
        <v>-185931.82053636445</v>
      </c>
      <c r="AH162" s="20">
        <f t="shared" ca="1" si="53"/>
        <v>-194547.57952807771</v>
      </c>
      <c r="AI162" s="20">
        <f t="shared" ca="1" si="53"/>
        <v>-198999.78749492214</v>
      </c>
      <c r="AJ162" s="20">
        <f t="shared" ca="1" si="53"/>
        <v>-203340.77960525907</v>
      </c>
      <c r="AK162" s="20">
        <f t="shared" ca="1" si="53"/>
        <v>-207440.50738303686</v>
      </c>
      <c r="AL162" s="20">
        <f t="shared" ca="1" si="53"/>
        <v>-216602.4865691071</v>
      </c>
      <c r="AM162" s="20">
        <f t="shared" ca="1" si="53"/>
        <v>-222592.16569626983</v>
      </c>
      <c r="AN162" s="20">
        <f t="shared" ca="1" si="53"/>
        <v>-227867.9625140476</v>
      </c>
      <c r="AO162" s="20">
        <f t="shared" ca="1" si="53"/>
        <v>-232770.47321650494</v>
      </c>
      <c r="AP162" s="20">
        <f t="shared" ca="1" si="53"/>
        <v>-239912.19325145605</v>
      </c>
      <c r="AQ162" s="20">
        <f t="shared" ca="1" si="53"/>
        <v>-246368.95111333704</v>
      </c>
      <c r="AR162" s="20">
        <f t="shared" ca="1" si="53"/>
        <v>-251883.29317698147</v>
      </c>
      <c r="AS162" s="20">
        <f t="shared" ca="1" si="53"/>
        <v>-258846.18268757645</v>
      </c>
    </row>
    <row r="163" spans="2:45" ht="6" customHeight="1" outlineLevel="1" thickTop="1" x14ac:dyDescent="0.15"/>
    <row r="164" spans="2:45" hidden="1" outlineLevel="2" x14ac:dyDescent="0.15">
      <c r="C164" s="107" t="s">
        <v>192</v>
      </c>
      <c r="J164" s="17">
        <f t="shared" ref="J164:AS164" ca="1" si="54">IF(ISERROR(J150-J162),1,0)</f>
        <v>0</v>
      </c>
      <c r="K164" s="17">
        <f t="shared" ca="1" si="54"/>
        <v>0</v>
      </c>
      <c r="L164" s="17">
        <f t="shared" ca="1" si="54"/>
        <v>0</v>
      </c>
      <c r="M164" s="17">
        <f t="shared" ca="1" si="54"/>
        <v>0</v>
      </c>
      <c r="N164" s="17">
        <f t="shared" ca="1" si="54"/>
        <v>0</v>
      </c>
      <c r="O164" s="17">
        <f t="shared" ca="1" si="54"/>
        <v>0</v>
      </c>
      <c r="P164" s="17">
        <f t="shared" ca="1" si="54"/>
        <v>0</v>
      </c>
      <c r="Q164" s="17">
        <f t="shared" ca="1" si="54"/>
        <v>0</v>
      </c>
      <c r="R164" s="17">
        <f t="shared" ca="1" si="54"/>
        <v>0</v>
      </c>
      <c r="S164" s="17">
        <f t="shared" ca="1" si="54"/>
        <v>0</v>
      </c>
      <c r="T164" s="17">
        <f t="shared" ca="1" si="54"/>
        <v>0</v>
      </c>
      <c r="U164" s="17">
        <f t="shared" ca="1" si="54"/>
        <v>0</v>
      </c>
      <c r="V164" s="17">
        <f t="shared" ca="1" si="54"/>
        <v>0</v>
      </c>
      <c r="W164" s="17">
        <f t="shared" ca="1" si="54"/>
        <v>0</v>
      </c>
      <c r="X164" s="17">
        <f t="shared" ca="1" si="54"/>
        <v>0</v>
      </c>
      <c r="Y164" s="17">
        <f t="shared" ca="1" si="54"/>
        <v>0</v>
      </c>
      <c r="Z164" s="17">
        <f t="shared" ca="1" si="54"/>
        <v>0</v>
      </c>
      <c r="AA164" s="17">
        <f t="shared" ca="1" si="54"/>
        <v>0</v>
      </c>
      <c r="AB164" s="17">
        <f t="shared" ca="1" si="54"/>
        <v>0</v>
      </c>
      <c r="AC164" s="17">
        <f t="shared" ca="1" si="54"/>
        <v>0</v>
      </c>
      <c r="AD164" s="17">
        <f t="shared" ca="1" si="54"/>
        <v>0</v>
      </c>
      <c r="AE164" s="17">
        <f t="shared" ca="1" si="54"/>
        <v>0</v>
      </c>
      <c r="AF164" s="17">
        <f t="shared" ca="1" si="54"/>
        <v>0</v>
      </c>
      <c r="AG164" s="17">
        <f t="shared" ca="1" si="54"/>
        <v>0</v>
      </c>
      <c r="AH164" s="17">
        <f t="shared" ca="1" si="54"/>
        <v>0</v>
      </c>
      <c r="AI164" s="17">
        <f t="shared" ca="1" si="54"/>
        <v>0</v>
      </c>
      <c r="AJ164" s="17">
        <f t="shared" ca="1" si="54"/>
        <v>0</v>
      </c>
      <c r="AK164" s="17">
        <f t="shared" ca="1" si="54"/>
        <v>0</v>
      </c>
      <c r="AL164" s="17">
        <f t="shared" ca="1" si="54"/>
        <v>0</v>
      </c>
      <c r="AM164" s="17">
        <f t="shared" ca="1" si="54"/>
        <v>0</v>
      </c>
      <c r="AN164" s="17">
        <f t="shared" ca="1" si="54"/>
        <v>0</v>
      </c>
      <c r="AO164" s="17">
        <f t="shared" ca="1" si="54"/>
        <v>0</v>
      </c>
      <c r="AP164" s="17">
        <f t="shared" ca="1" si="54"/>
        <v>0</v>
      </c>
      <c r="AQ164" s="17">
        <f t="shared" ca="1" si="54"/>
        <v>0</v>
      </c>
      <c r="AR164" s="17">
        <f t="shared" ca="1" si="54"/>
        <v>0</v>
      </c>
      <c r="AS164" s="17">
        <f t="shared" ca="1" si="54"/>
        <v>0</v>
      </c>
    </row>
    <row r="165" spans="2:45" hidden="1" outlineLevel="2" x14ac:dyDescent="0.15">
      <c r="C165" s="107" t="s">
        <v>305</v>
      </c>
      <c r="J165" s="42">
        <f t="shared" ref="J165:AS165" ca="1" si="55">IF(J164&lt;&gt;0,0,(ROUND(J150-J162,5)&lt;&gt;0)*1)</f>
        <v>0</v>
      </c>
      <c r="K165" s="42">
        <f t="shared" ca="1" si="55"/>
        <v>0</v>
      </c>
      <c r="L165" s="42">
        <f t="shared" ca="1" si="55"/>
        <v>0</v>
      </c>
      <c r="M165" s="42">
        <f t="shared" ca="1" si="55"/>
        <v>0</v>
      </c>
      <c r="N165" s="42">
        <f t="shared" ca="1" si="55"/>
        <v>0</v>
      </c>
      <c r="O165" s="42">
        <f t="shared" ca="1" si="55"/>
        <v>0</v>
      </c>
      <c r="P165" s="42">
        <f t="shared" ca="1" si="55"/>
        <v>0</v>
      </c>
      <c r="Q165" s="42">
        <f t="shared" ca="1" si="55"/>
        <v>0</v>
      </c>
      <c r="R165" s="42">
        <f t="shared" ca="1" si="55"/>
        <v>0</v>
      </c>
      <c r="S165" s="42">
        <f t="shared" ca="1" si="55"/>
        <v>0</v>
      </c>
      <c r="T165" s="42">
        <f t="shared" ca="1" si="55"/>
        <v>0</v>
      </c>
      <c r="U165" s="42">
        <f t="shared" ca="1" si="55"/>
        <v>0</v>
      </c>
      <c r="V165" s="42">
        <f t="shared" ca="1" si="55"/>
        <v>0</v>
      </c>
      <c r="W165" s="42">
        <f t="shared" ca="1" si="55"/>
        <v>0</v>
      </c>
      <c r="X165" s="42">
        <f t="shared" ca="1" si="55"/>
        <v>0</v>
      </c>
      <c r="Y165" s="42">
        <f t="shared" ca="1" si="55"/>
        <v>0</v>
      </c>
      <c r="Z165" s="42">
        <f t="shared" ca="1" si="55"/>
        <v>0</v>
      </c>
      <c r="AA165" s="42">
        <f t="shared" ca="1" si="55"/>
        <v>0</v>
      </c>
      <c r="AB165" s="42">
        <f t="shared" ca="1" si="55"/>
        <v>0</v>
      </c>
      <c r="AC165" s="42">
        <f t="shared" ca="1" si="55"/>
        <v>0</v>
      </c>
      <c r="AD165" s="42">
        <f t="shared" ca="1" si="55"/>
        <v>0</v>
      </c>
      <c r="AE165" s="42">
        <f t="shared" ca="1" si="55"/>
        <v>0</v>
      </c>
      <c r="AF165" s="42">
        <f t="shared" ca="1" si="55"/>
        <v>0</v>
      </c>
      <c r="AG165" s="42">
        <f t="shared" ca="1" si="55"/>
        <v>0</v>
      </c>
      <c r="AH165" s="42">
        <f t="shared" ca="1" si="55"/>
        <v>0</v>
      </c>
      <c r="AI165" s="42">
        <f t="shared" ca="1" si="55"/>
        <v>0</v>
      </c>
      <c r="AJ165" s="42">
        <f t="shared" ca="1" si="55"/>
        <v>0</v>
      </c>
      <c r="AK165" s="42">
        <f t="shared" ca="1" si="55"/>
        <v>0</v>
      </c>
      <c r="AL165" s="42">
        <f t="shared" ca="1" si="55"/>
        <v>0</v>
      </c>
      <c r="AM165" s="42">
        <f t="shared" ca="1" si="55"/>
        <v>0</v>
      </c>
      <c r="AN165" s="42">
        <f t="shared" ca="1" si="55"/>
        <v>0</v>
      </c>
      <c r="AO165" s="42">
        <f t="shared" ca="1" si="55"/>
        <v>0</v>
      </c>
      <c r="AP165" s="42">
        <f t="shared" ca="1" si="55"/>
        <v>0</v>
      </c>
      <c r="AQ165" s="42">
        <f t="shared" ca="1" si="55"/>
        <v>0</v>
      </c>
      <c r="AR165" s="42">
        <f t="shared" ca="1" si="55"/>
        <v>0</v>
      </c>
      <c r="AS165" s="42">
        <f t="shared" ca="1" si="55"/>
        <v>0</v>
      </c>
    </row>
    <row r="166" spans="2:45" outlineLevel="1" collapsed="1" x14ac:dyDescent="0.15">
      <c r="B166" s="107" t="s">
        <v>335</v>
      </c>
      <c r="I166" s="22">
        <f ca="1">IF(ISERROR(SUM(J166:AS166)),1,MIN(SUM(J166:AS166),1))</f>
        <v>0</v>
      </c>
      <c r="J166" s="17">
        <f t="shared" ref="J166:AS166" ca="1" si="56">MIN(SUM(J164:J165),1)</f>
        <v>0</v>
      </c>
      <c r="K166" s="17">
        <f t="shared" ca="1" si="56"/>
        <v>0</v>
      </c>
      <c r="L166" s="17">
        <f t="shared" ca="1" si="56"/>
        <v>0</v>
      </c>
      <c r="M166" s="17">
        <f t="shared" ca="1" si="56"/>
        <v>0</v>
      </c>
      <c r="N166" s="17">
        <f t="shared" ca="1" si="56"/>
        <v>0</v>
      </c>
      <c r="O166" s="17">
        <f t="shared" ca="1" si="56"/>
        <v>0</v>
      </c>
      <c r="P166" s="17">
        <f t="shared" ca="1" si="56"/>
        <v>0</v>
      </c>
      <c r="Q166" s="17">
        <f t="shared" ca="1" si="56"/>
        <v>0</v>
      </c>
      <c r="R166" s="17">
        <f t="shared" ca="1" si="56"/>
        <v>0</v>
      </c>
      <c r="S166" s="17">
        <f t="shared" ca="1" si="56"/>
        <v>0</v>
      </c>
      <c r="T166" s="17">
        <f t="shared" ca="1" si="56"/>
        <v>0</v>
      </c>
      <c r="U166" s="17">
        <f t="shared" ca="1" si="56"/>
        <v>0</v>
      </c>
      <c r="V166" s="17">
        <f t="shared" ca="1" si="56"/>
        <v>0</v>
      </c>
      <c r="W166" s="17">
        <f t="shared" ca="1" si="56"/>
        <v>0</v>
      </c>
      <c r="X166" s="17">
        <f t="shared" ca="1" si="56"/>
        <v>0</v>
      </c>
      <c r="Y166" s="17">
        <f t="shared" ca="1" si="56"/>
        <v>0</v>
      </c>
      <c r="Z166" s="17">
        <f t="shared" ca="1" si="56"/>
        <v>0</v>
      </c>
      <c r="AA166" s="17">
        <f t="shared" ca="1" si="56"/>
        <v>0</v>
      </c>
      <c r="AB166" s="17">
        <f t="shared" ca="1" si="56"/>
        <v>0</v>
      </c>
      <c r="AC166" s="17">
        <f t="shared" ca="1" si="56"/>
        <v>0</v>
      </c>
      <c r="AD166" s="17">
        <f t="shared" ca="1" si="56"/>
        <v>0</v>
      </c>
      <c r="AE166" s="17">
        <f t="shared" ca="1" si="56"/>
        <v>0</v>
      </c>
      <c r="AF166" s="17">
        <f t="shared" ca="1" si="56"/>
        <v>0</v>
      </c>
      <c r="AG166" s="17">
        <f t="shared" ca="1" si="56"/>
        <v>0</v>
      </c>
      <c r="AH166" s="17">
        <f t="shared" ca="1" si="56"/>
        <v>0</v>
      </c>
      <c r="AI166" s="17">
        <f t="shared" ca="1" si="56"/>
        <v>0</v>
      </c>
      <c r="AJ166" s="17">
        <f t="shared" ca="1" si="56"/>
        <v>0</v>
      </c>
      <c r="AK166" s="17">
        <f t="shared" ca="1" si="56"/>
        <v>0</v>
      </c>
      <c r="AL166" s="17">
        <f t="shared" ca="1" si="56"/>
        <v>0</v>
      </c>
      <c r="AM166" s="17">
        <f t="shared" ca="1" si="56"/>
        <v>0</v>
      </c>
      <c r="AN166" s="17">
        <f t="shared" ca="1" si="56"/>
        <v>0</v>
      </c>
      <c r="AO166" s="17">
        <f t="shared" ca="1" si="56"/>
        <v>0</v>
      </c>
      <c r="AP166" s="17">
        <f t="shared" ca="1" si="56"/>
        <v>0</v>
      </c>
      <c r="AQ166" s="17">
        <f t="shared" ca="1" si="56"/>
        <v>0</v>
      </c>
      <c r="AR166" s="17">
        <f t="shared" ca="1" si="56"/>
        <v>0</v>
      </c>
      <c r="AS166" s="17">
        <f t="shared" ca="1" si="56"/>
        <v>0</v>
      </c>
    </row>
    <row r="167" spans="2:45" ht="6" hidden="1" customHeight="1" outlineLevel="2" x14ac:dyDescent="0.15"/>
    <row r="168" spans="2:45" outlineLevel="1" collapsed="1" x14ac:dyDescent="0.15">
      <c r="B168" s="107" t="s">
        <v>307</v>
      </c>
      <c r="I168" s="22">
        <f ca="1">IF(ISERROR(SUM(J168:AS168)),1,MIN(SUM(J168:AS168),1))</f>
        <v>0</v>
      </c>
      <c r="J168" s="17">
        <f t="shared" ref="J168:AS168" ca="1" si="57">IF(ISERROR(J86),0,(J86&lt;0)*1)</f>
        <v>0</v>
      </c>
      <c r="K168" s="17">
        <f t="shared" ca="1" si="57"/>
        <v>0</v>
      </c>
      <c r="L168" s="17">
        <f t="shared" ca="1" si="57"/>
        <v>0</v>
      </c>
      <c r="M168" s="17">
        <f t="shared" ca="1" si="57"/>
        <v>0</v>
      </c>
      <c r="N168" s="17">
        <f t="shared" ca="1" si="57"/>
        <v>0</v>
      </c>
      <c r="O168" s="17">
        <f t="shared" ca="1" si="57"/>
        <v>0</v>
      </c>
      <c r="P168" s="17">
        <f t="shared" ca="1" si="57"/>
        <v>0</v>
      </c>
      <c r="Q168" s="17">
        <f t="shared" ca="1" si="57"/>
        <v>0</v>
      </c>
      <c r="R168" s="17">
        <f t="shared" ca="1" si="57"/>
        <v>0</v>
      </c>
      <c r="S168" s="17">
        <f t="shared" ca="1" si="57"/>
        <v>0</v>
      </c>
      <c r="T168" s="17">
        <f t="shared" ca="1" si="57"/>
        <v>0</v>
      </c>
      <c r="U168" s="17">
        <f t="shared" ca="1" si="57"/>
        <v>0</v>
      </c>
      <c r="V168" s="17">
        <f t="shared" ca="1" si="57"/>
        <v>0</v>
      </c>
      <c r="W168" s="17">
        <f t="shared" ca="1" si="57"/>
        <v>0</v>
      </c>
      <c r="X168" s="17">
        <f t="shared" ca="1" si="57"/>
        <v>0</v>
      </c>
      <c r="Y168" s="17">
        <f t="shared" ca="1" si="57"/>
        <v>0</v>
      </c>
      <c r="Z168" s="17">
        <f t="shared" ca="1" si="57"/>
        <v>0</v>
      </c>
      <c r="AA168" s="17">
        <f t="shared" ca="1" si="57"/>
        <v>0</v>
      </c>
      <c r="AB168" s="17">
        <f t="shared" ca="1" si="57"/>
        <v>0</v>
      </c>
      <c r="AC168" s="17">
        <f t="shared" ca="1" si="57"/>
        <v>0</v>
      </c>
      <c r="AD168" s="17">
        <f t="shared" ca="1" si="57"/>
        <v>0</v>
      </c>
      <c r="AE168" s="17">
        <f t="shared" ca="1" si="57"/>
        <v>0</v>
      </c>
      <c r="AF168" s="17">
        <f t="shared" ca="1" si="57"/>
        <v>0</v>
      </c>
      <c r="AG168" s="17">
        <f t="shared" ca="1" si="57"/>
        <v>0</v>
      </c>
      <c r="AH168" s="17">
        <f t="shared" ca="1" si="57"/>
        <v>0</v>
      </c>
      <c r="AI168" s="17">
        <f t="shared" ca="1" si="57"/>
        <v>0</v>
      </c>
      <c r="AJ168" s="17">
        <f t="shared" ca="1" si="57"/>
        <v>0</v>
      </c>
      <c r="AK168" s="17">
        <f t="shared" ca="1" si="57"/>
        <v>0</v>
      </c>
      <c r="AL168" s="17">
        <f t="shared" ca="1" si="57"/>
        <v>0</v>
      </c>
      <c r="AM168" s="17">
        <f t="shared" ca="1" si="57"/>
        <v>0</v>
      </c>
      <c r="AN168" s="17">
        <f t="shared" ca="1" si="57"/>
        <v>0</v>
      </c>
      <c r="AO168" s="17">
        <f t="shared" ca="1" si="57"/>
        <v>0</v>
      </c>
      <c r="AP168" s="17">
        <f t="shared" ca="1" si="57"/>
        <v>0</v>
      </c>
      <c r="AQ168" s="17">
        <f t="shared" ca="1" si="57"/>
        <v>0</v>
      </c>
      <c r="AR168" s="17">
        <f t="shared" ca="1" si="57"/>
        <v>0</v>
      </c>
      <c r="AS168" s="17">
        <f t="shared" ca="1" si="57"/>
        <v>0</v>
      </c>
    </row>
    <row r="170" spans="2:45" x14ac:dyDescent="0.15">
      <c r="B170" s="1" t="s">
        <v>116</v>
      </c>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2:45" outlineLevel="1" x14ac:dyDescent="0.15"/>
    <row r="172" spans="2:45" outlineLevel="1" x14ac:dyDescent="0.15">
      <c r="B172" s="108" t="s">
        <v>639</v>
      </c>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row>
    <row r="173" spans="2:45" outlineLevel="1" x14ac:dyDescent="0.15"/>
    <row r="174" spans="2:45" hidden="1" outlineLevel="2" x14ac:dyDescent="0.15">
      <c r="C174" s="107" t="str">
        <f>Rev_Exp!B73</f>
        <v>Membership Fees</v>
      </c>
      <c r="J174" s="23">
        <f>Rev_Exp!J73</f>
        <v>350</v>
      </c>
      <c r="K174" s="23">
        <f>Rev_Exp!K73</f>
        <v>350</v>
      </c>
      <c r="L174" s="23">
        <f>Rev_Exp!L73</f>
        <v>358.33333333333337</v>
      </c>
      <c r="M174" s="23">
        <f>Rev_Exp!M73</f>
        <v>366.66666666666663</v>
      </c>
      <c r="N174" s="23">
        <f>Rev_Exp!N73</f>
        <v>375</v>
      </c>
      <c r="O174" s="23">
        <f>Rev_Exp!O73</f>
        <v>383.33333333333337</v>
      </c>
      <c r="P174" s="23">
        <f>Rev_Exp!P73</f>
        <v>391.66666666666663</v>
      </c>
      <c r="Q174" s="23">
        <f>Rev_Exp!Q73</f>
        <v>400</v>
      </c>
      <c r="R174" s="23">
        <f>Rev_Exp!R73</f>
        <v>408.33333333333337</v>
      </c>
      <c r="S174" s="23">
        <f>Rev_Exp!S73</f>
        <v>416.66666666666663</v>
      </c>
      <c r="T174" s="23">
        <f>Rev_Exp!T73</f>
        <v>425</v>
      </c>
      <c r="U174" s="23">
        <f>Rev_Exp!U73</f>
        <v>433.33333333333337</v>
      </c>
      <c r="V174" s="23">
        <f>Rev_Exp!V73</f>
        <v>441.66666666666663</v>
      </c>
      <c r="W174" s="23">
        <f>Rev_Exp!W73</f>
        <v>450</v>
      </c>
      <c r="X174" s="23">
        <f>Rev_Exp!X73</f>
        <v>458.33333333333337</v>
      </c>
      <c r="Y174" s="23">
        <f>Rev_Exp!Y73</f>
        <v>466.66666666666663</v>
      </c>
      <c r="Z174" s="23">
        <f>Rev_Exp!Z73</f>
        <v>475</v>
      </c>
      <c r="AA174" s="23">
        <f>Rev_Exp!AA73</f>
        <v>483.33333333333337</v>
      </c>
      <c r="AB174" s="23">
        <f>Rev_Exp!AB73</f>
        <v>491.66666666666663</v>
      </c>
      <c r="AC174" s="23">
        <f>Rev_Exp!AC73</f>
        <v>500</v>
      </c>
      <c r="AD174" s="23">
        <f>Rev_Exp!AD73</f>
        <v>508.33333333333331</v>
      </c>
      <c r="AE174" s="23">
        <f>Rev_Exp!AE73</f>
        <v>516.66666666666674</v>
      </c>
      <c r="AF174" s="23">
        <f>Rev_Exp!AF73</f>
        <v>525</v>
      </c>
      <c r="AG174" s="23">
        <f>Rev_Exp!AG73</f>
        <v>533.33333333333326</v>
      </c>
      <c r="AH174" s="23">
        <f>Rev_Exp!AH73</f>
        <v>541.66666666666674</v>
      </c>
      <c r="AI174" s="23">
        <f>Rev_Exp!AI73</f>
        <v>550</v>
      </c>
      <c r="AJ174" s="23">
        <f>Rev_Exp!AJ73</f>
        <v>558.33333333333326</v>
      </c>
      <c r="AK174" s="23">
        <f>Rev_Exp!AK73</f>
        <v>566.66666666666674</v>
      </c>
      <c r="AL174" s="23">
        <f>Rev_Exp!AL73</f>
        <v>575</v>
      </c>
      <c r="AM174" s="23">
        <f>Rev_Exp!AM73</f>
        <v>583.33333333333326</v>
      </c>
      <c r="AN174" s="23">
        <f>Rev_Exp!AN73</f>
        <v>591.66666666666674</v>
      </c>
      <c r="AO174" s="23">
        <f>Rev_Exp!AO73</f>
        <v>600</v>
      </c>
      <c r="AP174" s="23">
        <f>Rev_Exp!AP73</f>
        <v>608.33333333333326</v>
      </c>
      <c r="AQ174" s="23">
        <f>Rev_Exp!AQ73</f>
        <v>616.66666666666674</v>
      </c>
      <c r="AR174" s="23">
        <f>Rev_Exp!AR73</f>
        <v>625</v>
      </c>
      <c r="AS174" s="23">
        <f>Rev_Exp!AS73</f>
        <v>633.33333333333326</v>
      </c>
    </row>
    <row r="175" spans="2:45" hidden="1" outlineLevel="2" x14ac:dyDescent="0.15">
      <c r="C175" s="107" t="str">
        <f>Rev_Exp!B74</f>
        <v>PAYG Fencing</v>
      </c>
      <c r="J175" s="23">
        <f>Rev_Exp!J74</f>
        <v>2481.0619354838709</v>
      </c>
      <c r="K175" s="23">
        <f>Rev_Exp!K74</f>
        <v>4567.1165399999991</v>
      </c>
      <c r="L175" s="23">
        <f>Rev_Exp!L74</f>
        <v>4753.2944516129037</v>
      </c>
      <c r="M175" s="23">
        <f>Rev_Exp!M74</f>
        <v>5821.4309999999996</v>
      </c>
      <c r="N175" s="23">
        <f>Rev_Exp!N74</f>
        <v>1969.8246580645155</v>
      </c>
      <c r="O175" s="23">
        <f>Rev_Exp!O74</f>
        <v>4324.5171290322578</v>
      </c>
      <c r="P175" s="23">
        <f>Rev_Exp!P74</f>
        <v>4722.8832000000002</v>
      </c>
      <c r="Q175" s="23">
        <f>Rev_Exp!Q74</f>
        <v>4681.505206451613</v>
      </c>
      <c r="R175" s="23">
        <f>Rev_Exp!R74</f>
        <v>3527.4685600000003</v>
      </c>
      <c r="S175" s="23">
        <f>Rev_Exp!S74</f>
        <v>4307.8396064516119</v>
      </c>
      <c r="T175" s="23">
        <f>Rev_Exp!T74</f>
        <v>4220.72</v>
      </c>
      <c r="U175" s="23">
        <f>Rev_Exp!U74</f>
        <v>3799.1097290322577</v>
      </c>
      <c r="V175" s="23">
        <f>Rev_Exp!V74</f>
        <v>3322.465548387097</v>
      </c>
      <c r="W175" s="23">
        <f>Rev_Exp!W74</f>
        <v>6335.03262</v>
      </c>
      <c r="X175" s="23">
        <f>Rev_Exp!X74</f>
        <v>6832.8607741935475</v>
      </c>
      <c r="Y175" s="23">
        <f>Rev_Exp!Y74</f>
        <v>7577.4824999999992</v>
      </c>
      <c r="Z175" s="23">
        <f>Rev_Exp!Z74</f>
        <v>2791.9643612903224</v>
      </c>
      <c r="AA175" s="23">
        <f>Rev_Exp!AA74</f>
        <v>5807.2087161290319</v>
      </c>
      <c r="AB175" s="23">
        <f>Rev_Exp!AB74</f>
        <v>5997.3119999999999</v>
      </c>
      <c r="AC175" s="23">
        <f>Rev_Exp!AC74</f>
        <v>6199.831219354839</v>
      </c>
      <c r="AD175" s="23">
        <f>Rev_Exp!AD74</f>
        <v>4641.4059999999999</v>
      </c>
      <c r="AE175" s="23">
        <f>Rev_Exp!AE74</f>
        <v>5388.4013806451612</v>
      </c>
      <c r="AF175" s="23">
        <f>Rev_Exp!AF74</f>
        <v>5761.2828000000009</v>
      </c>
      <c r="AG175" s="23">
        <f>Rev_Exp!AG74</f>
        <v>4911.0442838709669</v>
      </c>
      <c r="AH175" s="23">
        <f>Rev_Exp!AH74</f>
        <v>4077.5713548387102</v>
      </c>
      <c r="AI175" s="23">
        <f>Rev_Exp!AI74</f>
        <v>8488.8034000000007</v>
      </c>
      <c r="AJ175" s="23">
        <f>Rev_Exp!AJ74</f>
        <v>8696.3682580645163</v>
      </c>
      <c r="AK175" s="23">
        <f>Rev_Exp!AK74</f>
        <v>8640</v>
      </c>
      <c r="AL175" s="23">
        <f>Rev_Exp!AL74</f>
        <v>3680.3166580645147</v>
      </c>
      <c r="AM175" s="23">
        <f>Rev_Exp!AM74</f>
        <v>6972.9481161290332</v>
      </c>
      <c r="AN175" s="23">
        <f>Rev_Exp!AN74</f>
        <v>7496.6399999999994</v>
      </c>
      <c r="AO175" s="23">
        <f>Rev_Exp!AO74</f>
        <v>8085.6885290322589</v>
      </c>
      <c r="AP175" s="23">
        <f>Rev_Exp!AP74</f>
        <v>5755.3434400000006</v>
      </c>
      <c r="AQ175" s="23">
        <f>Rev_Exp!AQ74</f>
        <v>6353.7032322580644</v>
      </c>
      <c r="AR175" s="23">
        <f>Rev_Exp!AR74</f>
        <v>7428.467200000001</v>
      </c>
      <c r="AS175" s="23">
        <f>Rev_Exp!AS74</f>
        <v>6022.9788387096769</v>
      </c>
    </row>
    <row r="176" spans="2:45" hidden="1" outlineLevel="2" x14ac:dyDescent="0.15">
      <c r="C176" s="107" t="str">
        <f>Rev_Exp!B75</f>
        <v>Private Hire</v>
      </c>
      <c r="J176" s="23">
        <f>Rev_Exp!J75</f>
        <v>400</v>
      </c>
      <c r="K176" s="23">
        <f>Rev_Exp!K75</f>
        <v>400</v>
      </c>
      <c r="L176" s="23">
        <f>Rev_Exp!L75</f>
        <v>400</v>
      </c>
      <c r="M176" s="23">
        <f>Rev_Exp!M75</f>
        <v>400</v>
      </c>
      <c r="N176" s="23">
        <f>Rev_Exp!N75</f>
        <v>400</v>
      </c>
      <c r="O176" s="23">
        <f>Rev_Exp!O75</f>
        <v>400</v>
      </c>
      <c r="P176" s="23">
        <f>Rev_Exp!P75</f>
        <v>800</v>
      </c>
      <c r="Q176" s="23">
        <f>Rev_Exp!Q75</f>
        <v>800</v>
      </c>
      <c r="R176" s="23">
        <f>Rev_Exp!R75</f>
        <v>800</v>
      </c>
      <c r="S176" s="23">
        <f>Rev_Exp!S75</f>
        <v>800</v>
      </c>
      <c r="T176" s="23">
        <f>Rev_Exp!T75</f>
        <v>800</v>
      </c>
      <c r="U176" s="23">
        <f>Rev_Exp!U75</f>
        <v>800</v>
      </c>
      <c r="V176" s="23">
        <f>Rev_Exp!V75</f>
        <v>800</v>
      </c>
      <c r="W176" s="23">
        <f>Rev_Exp!W75</f>
        <v>800</v>
      </c>
      <c r="X176" s="23">
        <f>Rev_Exp!X75</f>
        <v>800</v>
      </c>
      <c r="Y176" s="23">
        <f>Rev_Exp!Y75</f>
        <v>800</v>
      </c>
      <c r="Z176" s="23">
        <f>Rev_Exp!Z75</f>
        <v>800</v>
      </c>
      <c r="AA176" s="23">
        <f>Rev_Exp!AA75</f>
        <v>800</v>
      </c>
      <c r="AB176" s="23">
        <f>Rev_Exp!AB75</f>
        <v>1200</v>
      </c>
      <c r="AC176" s="23">
        <f>Rev_Exp!AC75</f>
        <v>1200</v>
      </c>
      <c r="AD176" s="23">
        <f>Rev_Exp!AD75</f>
        <v>1200</v>
      </c>
      <c r="AE176" s="23">
        <f>Rev_Exp!AE75</f>
        <v>1200</v>
      </c>
      <c r="AF176" s="23">
        <f>Rev_Exp!AF75</f>
        <v>1200</v>
      </c>
      <c r="AG176" s="23">
        <f>Rev_Exp!AG75</f>
        <v>1200</v>
      </c>
      <c r="AH176" s="23">
        <f>Rev_Exp!AH75</f>
        <v>1200</v>
      </c>
      <c r="AI176" s="23">
        <f>Rev_Exp!AI75</f>
        <v>1200</v>
      </c>
      <c r="AJ176" s="23">
        <f>Rev_Exp!AJ75</f>
        <v>1200</v>
      </c>
      <c r="AK176" s="23">
        <f>Rev_Exp!AK75</f>
        <v>1200</v>
      </c>
      <c r="AL176" s="23">
        <f>Rev_Exp!AL75</f>
        <v>1200</v>
      </c>
      <c r="AM176" s="23">
        <f>Rev_Exp!AM75</f>
        <v>1200</v>
      </c>
      <c r="AN176" s="23">
        <f>Rev_Exp!AN75</f>
        <v>1200</v>
      </c>
      <c r="AO176" s="23">
        <f>Rev_Exp!AO75</f>
        <v>1200</v>
      </c>
      <c r="AP176" s="23">
        <f>Rev_Exp!AP75</f>
        <v>1200</v>
      </c>
      <c r="AQ176" s="23">
        <f>Rev_Exp!AQ75</f>
        <v>1200</v>
      </c>
      <c r="AR176" s="23">
        <f>Rev_Exp!AR75</f>
        <v>1200</v>
      </c>
      <c r="AS176" s="23">
        <f>Rev_Exp!AS75</f>
        <v>1200</v>
      </c>
    </row>
    <row r="177" spans="2:45" hidden="1" outlineLevel="2" x14ac:dyDescent="0.15">
      <c r="C177" s="107" t="str">
        <f>Rev_Exp!B76</f>
        <v>Book a Piste</v>
      </c>
      <c r="J177" s="23">
        <f>Rev_Exp!J76</f>
        <v>40</v>
      </c>
      <c r="K177" s="23">
        <f>Rev_Exp!K76</f>
        <v>40</v>
      </c>
      <c r="L177" s="23">
        <f>Rev_Exp!L76</f>
        <v>40</v>
      </c>
      <c r="M177" s="23">
        <f>Rev_Exp!M76</f>
        <v>40</v>
      </c>
      <c r="N177" s="23">
        <f>Rev_Exp!N76</f>
        <v>40</v>
      </c>
      <c r="O177" s="23">
        <f>Rev_Exp!O76</f>
        <v>40</v>
      </c>
      <c r="P177" s="23">
        <f>Rev_Exp!P76</f>
        <v>40</v>
      </c>
      <c r="Q177" s="23">
        <f>Rev_Exp!Q76</f>
        <v>40</v>
      </c>
      <c r="R177" s="23">
        <f>Rev_Exp!R76</f>
        <v>40</v>
      </c>
      <c r="S177" s="23">
        <f>Rev_Exp!S76</f>
        <v>40</v>
      </c>
      <c r="T177" s="23">
        <f>Rev_Exp!T76</f>
        <v>40</v>
      </c>
      <c r="U177" s="23">
        <f>Rev_Exp!U76</f>
        <v>40</v>
      </c>
      <c r="V177" s="23">
        <f>Rev_Exp!V76</f>
        <v>40</v>
      </c>
      <c r="W177" s="23">
        <f>Rev_Exp!W76</f>
        <v>40</v>
      </c>
      <c r="X177" s="23">
        <f>Rev_Exp!X76</f>
        <v>40</v>
      </c>
      <c r="Y177" s="23">
        <f>Rev_Exp!Y76</f>
        <v>40</v>
      </c>
      <c r="Z177" s="23">
        <f>Rev_Exp!Z76</f>
        <v>40</v>
      </c>
      <c r="AA177" s="23">
        <f>Rev_Exp!AA76</f>
        <v>40</v>
      </c>
      <c r="AB177" s="23">
        <f>Rev_Exp!AB76</f>
        <v>40</v>
      </c>
      <c r="AC177" s="23">
        <f>Rev_Exp!AC76</f>
        <v>40</v>
      </c>
      <c r="AD177" s="23">
        <f>Rev_Exp!AD76</f>
        <v>40</v>
      </c>
      <c r="AE177" s="23">
        <f>Rev_Exp!AE76</f>
        <v>40</v>
      </c>
      <c r="AF177" s="23">
        <f>Rev_Exp!AF76</f>
        <v>40</v>
      </c>
      <c r="AG177" s="23">
        <f>Rev_Exp!AG76</f>
        <v>40</v>
      </c>
      <c r="AH177" s="23">
        <f>Rev_Exp!AH76</f>
        <v>40</v>
      </c>
      <c r="AI177" s="23">
        <f>Rev_Exp!AI76</f>
        <v>40</v>
      </c>
      <c r="AJ177" s="23">
        <f>Rev_Exp!AJ76</f>
        <v>40</v>
      </c>
      <c r="AK177" s="23">
        <f>Rev_Exp!AK76</f>
        <v>40</v>
      </c>
      <c r="AL177" s="23">
        <f>Rev_Exp!AL76</f>
        <v>40</v>
      </c>
      <c r="AM177" s="23">
        <f>Rev_Exp!AM76</f>
        <v>40</v>
      </c>
      <c r="AN177" s="23">
        <f>Rev_Exp!AN76</f>
        <v>40</v>
      </c>
      <c r="AO177" s="23">
        <f>Rev_Exp!AO76</f>
        <v>40</v>
      </c>
      <c r="AP177" s="23">
        <f>Rev_Exp!AP76</f>
        <v>40</v>
      </c>
      <c r="AQ177" s="23">
        <f>Rev_Exp!AQ76</f>
        <v>40</v>
      </c>
      <c r="AR177" s="23">
        <f>Rev_Exp!AR76</f>
        <v>40</v>
      </c>
      <c r="AS177" s="23">
        <f>Rev_Exp!AS76</f>
        <v>40</v>
      </c>
    </row>
    <row r="178" spans="2:45" hidden="1" outlineLevel="2" x14ac:dyDescent="0.15">
      <c r="C178" s="107" t="str">
        <f>Rev_Exp!B77</f>
        <v>Merch Sales</v>
      </c>
      <c r="J178" s="24">
        <f>Rev_Exp!J77</f>
        <v>100</v>
      </c>
      <c r="K178" s="24">
        <f>Rev_Exp!K77</f>
        <v>103.33333333333334</v>
      </c>
      <c r="L178" s="24">
        <f>Rev_Exp!L77</f>
        <v>106.66666666666667</v>
      </c>
      <c r="M178" s="24">
        <f>Rev_Exp!M77</f>
        <v>110</v>
      </c>
      <c r="N178" s="24">
        <f>Rev_Exp!N77</f>
        <v>113.33333333333334</v>
      </c>
      <c r="O178" s="24">
        <f>Rev_Exp!O77</f>
        <v>116.66666666666667</v>
      </c>
      <c r="P178" s="24">
        <f>Rev_Exp!P77</f>
        <v>120</v>
      </c>
      <c r="Q178" s="24">
        <f>Rev_Exp!Q77</f>
        <v>123.33333333333334</v>
      </c>
      <c r="R178" s="24">
        <f>Rev_Exp!R77</f>
        <v>126.66666666666667</v>
      </c>
      <c r="S178" s="24">
        <f>Rev_Exp!S77</f>
        <v>130</v>
      </c>
      <c r="T178" s="24">
        <f>Rev_Exp!T77</f>
        <v>133.33333333333334</v>
      </c>
      <c r="U178" s="24">
        <f>Rev_Exp!U77</f>
        <v>136.66666666666669</v>
      </c>
      <c r="V178" s="24">
        <f>Rev_Exp!V77</f>
        <v>140</v>
      </c>
      <c r="W178" s="24">
        <f>Rev_Exp!W77</f>
        <v>143.33333333333334</v>
      </c>
      <c r="X178" s="24">
        <f>Rev_Exp!X77</f>
        <v>146.66666666666669</v>
      </c>
      <c r="Y178" s="24">
        <f>Rev_Exp!Y77</f>
        <v>150</v>
      </c>
      <c r="Z178" s="24">
        <f>Rev_Exp!Z77</f>
        <v>153.33333333333334</v>
      </c>
      <c r="AA178" s="24">
        <f>Rev_Exp!AA77</f>
        <v>156.66666666666669</v>
      </c>
      <c r="AB178" s="24">
        <f>Rev_Exp!AB77</f>
        <v>160</v>
      </c>
      <c r="AC178" s="24">
        <f>Rev_Exp!AC77</f>
        <v>163.33333333333334</v>
      </c>
      <c r="AD178" s="24">
        <f>Rev_Exp!AD77</f>
        <v>166.66666666666669</v>
      </c>
      <c r="AE178" s="24">
        <f>Rev_Exp!AE77</f>
        <v>170</v>
      </c>
      <c r="AF178" s="24">
        <f>Rev_Exp!AF77</f>
        <v>173.33333333333334</v>
      </c>
      <c r="AG178" s="24">
        <f>Rev_Exp!AG77</f>
        <v>176.66666666666669</v>
      </c>
      <c r="AH178" s="24">
        <f>Rev_Exp!AH77</f>
        <v>180</v>
      </c>
      <c r="AI178" s="24">
        <f>Rev_Exp!AI77</f>
        <v>183.33333333333334</v>
      </c>
      <c r="AJ178" s="24">
        <f>Rev_Exp!AJ77</f>
        <v>186.66666666666669</v>
      </c>
      <c r="AK178" s="24">
        <f>Rev_Exp!AK77</f>
        <v>190</v>
      </c>
      <c r="AL178" s="24">
        <f>Rev_Exp!AL77</f>
        <v>193.33333333333334</v>
      </c>
      <c r="AM178" s="24">
        <f>Rev_Exp!AM77</f>
        <v>196.66666666666669</v>
      </c>
      <c r="AN178" s="24">
        <f>Rev_Exp!AN77</f>
        <v>200</v>
      </c>
      <c r="AO178" s="24">
        <f>Rev_Exp!AO77</f>
        <v>203.33333333333334</v>
      </c>
      <c r="AP178" s="24">
        <f>Rev_Exp!AP77</f>
        <v>206.66666666666669</v>
      </c>
      <c r="AQ178" s="24">
        <f>Rev_Exp!AQ77</f>
        <v>210</v>
      </c>
      <c r="AR178" s="24">
        <f>Rev_Exp!AR77</f>
        <v>213.33333333333334</v>
      </c>
      <c r="AS178" s="24">
        <f>Rev_Exp!AS77</f>
        <v>216.66666666666669</v>
      </c>
    </row>
    <row r="179" spans="2:45" hidden="1" outlineLevel="2" x14ac:dyDescent="0.15">
      <c r="C179" s="107" t="s">
        <v>64</v>
      </c>
      <c r="J179" s="14">
        <f t="shared" ref="J179:AS179" si="58">SUM(J174:J178)</f>
        <v>3371.0619354838709</v>
      </c>
      <c r="K179" s="14">
        <f t="shared" si="58"/>
        <v>5460.4498733333321</v>
      </c>
      <c r="L179" s="14">
        <f t="shared" si="58"/>
        <v>5658.2944516129037</v>
      </c>
      <c r="M179" s="14">
        <f t="shared" si="58"/>
        <v>6738.0976666666666</v>
      </c>
      <c r="N179" s="14">
        <f t="shared" si="58"/>
        <v>2898.1579913978489</v>
      </c>
      <c r="O179" s="14">
        <f t="shared" si="58"/>
        <v>5264.5171290322578</v>
      </c>
      <c r="P179" s="14">
        <f t="shared" si="58"/>
        <v>6074.5498666666672</v>
      </c>
      <c r="Q179" s="14">
        <f t="shared" si="58"/>
        <v>6044.8385397849461</v>
      </c>
      <c r="R179" s="14">
        <f t="shared" si="58"/>
        <v>4902.4685600000003</v>
      </c>
      <c r="S179" s="14">
        <f t="shared" si="58"/>
        <v>5694.5062731182788</v>
      </c>
      <c r="T179" s="14">
        <f t="shared" si="58"/>
        <v>5619.0533333333333</v>
      </c>
      <c r="U179" s="14">
        <f t="shared" si="58"/>
        <v>5209.1097290322577</v>
      </c>
      <c r="V179" s="14">
        <f t="shared" si="58"/>
        <v>4744.1322150537635</v>
      </c>
      <c r="W179" s="14">
        <f t="shared" si="58"/>
        <v>7768.365953333333</v>
      </c>
      <c r="X179" s="14">
        <f t="shared" si="58"/>
        <v>8277.8607741935466</v>
      </c>
      <c r="Y179" s="14">
        <f t="shared" si="58"/>
        <v>9034.1491666666661</v>
      </c>
      <c r="Z179" s="14">
        <f t="shared" si="58"/>
        <v>4260.2976946236549</v>
      </c>
      <c r="AA179" s="14">
        <f t="shared" si="58"/>
        <v>7287.2087161290319</v>
      </c>
      <c r="AB179" s="14">
        <f t="shared" si="58"/>
        <v>7888.9786666666669</v>
      </c>
      <c r="AC179" s="14">
        <f t="shared" si="58"/>
        <v>8103.1645526881721</v>
      </c>
      <c r="AD179" s="14">
        <f t="shared" si="58"/>
        <v>6556.4059999999999</v>
      </c>
      <c r="AE179" s="14">
        <f t="shared" si="58"/>
        <v>7315.0680473118282</v>
      </c>
      <c r="AF179" s="14">
        <f t="shared" si="58"/>
        <v>7699.6161333333339</v>
      </c>
      <c r="AG179" s="14">
        <f t="shared" si="58"/>
        <v>6861.0442838709669</v>
      </c>
      <c r="AH179" s="14">
        <f t="shared" si="58"/>
        <v>6039.2380215053772</v>
      </c>
      <c r="AI179" s="14">
        <f t="shared" si="58"/>
        <v>10462.136733333335</v>
      </c>
      <c r="AJ179" s="14">
        <f t="shared" si="58"/>
        <v>10681.368258064516</v>
      </c>
      <c r="AK179" s="14">
        <f t="shared" si="58"/>
        <v>10636.666666666666</v>
      </c>
      <c r="AL179" s="14">
        <f t="shared" si="58"/>
        <v>5688.6499913978478</v>
      </c>
      <c r="AM179" s="14">
        <f t="shared" si="58"/>
        <v>8992.9481161290332</v>
      </c>
      <c r="AN179" s="14">
        <f t="shared" si="58"/>
        <v>9528.3066666666673</v>
      </c>
      <c r="AO179" s="14">
        <f t="shared" si="58"/>
        <v>10129.021862365593</v>
      </c>
      <c r="AP179" s="14">
        <f t="shared" si="58"/>
        <v>7810.3434400000006</v>
      </c>
      <c r="AQ179" s="14">
        <f t="shared" si="58"/>
        <v>8420.3698989247314</v>
      </c>
      <c r="AR179" s="14">
        <f t="shared" si="58"/>
        <v>9506.8005333333349</v>
      </c>
      <c r="AS179" s="14">
        <f t="shared" si="58"/>
        <v>8112.9788387096769</v>
      </c>
    </row>
    <row r="180" spans="2:45" ht="6" hidden="1" customHeight="1" outlineLevel="2" x14ac:dyDescent="0.15"/>
    <row r="181" spans="2:45" hidden="1" outlineLevel="2" x14ac:dyDescent="0.15">
      <c r="C181" s="107" t="str">
        <f>WC!B69</f>
        <v>Trade Debtors</v>
      </c>
      <c r="J181" s="24">
        <f>-WC!J69</f>
        <v>35</v>
      </c>
      <c r="K181" s="24">
        <f>-WC!K69</f>
        <v>0</v>
      </c>
      <c r="L181" s="24">
        <f>-WC!L69</f>
        <v>0</v>
      </c>
      <c r="M181" s="24">
        <f>-WC!M69</f>
        <v>0</v>
      </c>
      <c r="N181" s="24">
        <f>-WC!N69</f>
        <v>0</v>
      </c>
      <c r="O181" s="24">
        <f>-WC!O69</f>
        <v>0</v>
      </c>
      <c r="P181" s="24">
        <f>-WC!P69</f>
        <v>0</v>
      </c>
      <c r="Q181" s="24">
        <f>-WC!Q69</f>
        <v>0</v>
      </c>
      <c r="R181" s="24">
        <f>-WC!R69</f>
        <v>0</v>
      </c>
      <c r="S181" s="24">
        <f>-WC!S69</f>
        <v>0</v>
      </c>
      <c r="T181" s="24">
        <f>-WC!T69</f>
        <v>0</v>
      </c>
      <c r="U181" s="24">
        <f>-WC!U69</f>
        <v>0</v>
      </c>
      <c r="V181" s="24">
        <f>-WC!V69</f>
        <v>0</v>
      </c>
      <c r="W181" s="24">
        <f>-WC!W69</f>
        <v>0</v>
      </c>
      <c r="X181" s="24">
        <f>-WC!X69</f>
        <v>0</v>
      </c>
      <c r="Y181" s="24">
        <f>-WC!Y69</f>
        <v>0</v>
      </c>
      <c r="Z181" s="24">
        <f>-WC!Z69</f>
        <v>0</v>
      </c>
      <c r="AA181" s="24">
        <f>-WC!AA69</f>
        <v>0</v>
      </c>
      <c r="AB181" s="24">
        <f>-WC!AB69</f>
        <v>0</v>
      </c>
      <c r="AC181" s="24">
        <f>-WC!AC69</f>
        <v>0</v>
      </c>
      <c r="AD181" s="24">
        <f>-WC!AD69</f>
        <v>0</v>
      </c>
      <c r="AE181" s="24">
        <f>-WC!AE69</f>
        <v>0</v>
      </c>
      <c r="AF181" s="24">
        <f>-WC!AF69</f>
        <v>0</v>
      </c>
      <c r="AG181" s="24">
        <f>-WC!AG69</f>
        <v>0</v>
      </c>
      <c r="AH181" s="24">
        <f>-WC!AH69</f>
        <v>0</v>
      </c>
      <c r="AI181" s="24">
        <f>-WC!AI69</f>
        <v>0</v>
      </c>
      <c r="AJ181" s="24">
        <f>-WC!AJ69</f>
        <v>0</v>
      </c>
      <c r="AK181" s="24">
        <f>-WC!AK69</f>
        <v>0</v>
      </c>
      <c r="AL181" s="24">
        <f>-WC!AL69</f>
        <v>0</v>
      </c>
      <c r="AM181" s="24">
        <f>-WC!AM69</f>
        <v>0</v>
      </c>
      <c r="AN181" s="24">
        <f>-WC!AN69</f>
        <v>0</v>
      </c>
      <c r="AO181" s="24">
        <f>-WC!AO69</f>
        <v>0</v>
      </c>
      <c r="AP181" s="24">
        <f>-WC!AP69</f>
        <v>0</v>
      </c>
      <c r="AQ181" s="24">
        <f>-WC!AQ69</f>
        <v>0</v>
      </c>
      <c r="AR181" s="24">
        <f>-WC!AR69</f>
        <v>0</v>
      </c>
      <c r="AS181" s="24">
        <f>-WC!AS69</f>
        <v>0</v>
      </c>
    </row>
    <row r="182" spans="2:45" hidden="1" outlineLevel="2" x14ac:dyDescent="0.15">
      <c r="C182" s="107" t="s">
        <v>117</v>
      </c>
      <c r="J182" s="14">
        <f t="shared" ref="J182:AS182" si="59">SUM(J181:J181)</f>
        <v>35</v>
      </c>
      <c r="K182" s="14">
        <f t="shared" si="59"/>
        <v>0</v>
      </c>
      <c r="L182" s="14">
        <f t="shared" si="59"/>
        <v>0</v>
      </c>
      <c r="M182" s="14">
        <f t="shared" si="59"/>
        <v>0</v>
      </c>
      <c r="N182" s="14">
        <f t="shared" si="59"/>
        <v>0</v>
      </c>
      <c r="O182" s="14">
        <f t="shared" si="59"/>
        <v>0</v>
      </c>
      <c r="P182" s="14">
        <f t="shared" si="59"/>
        <v>0</v>
      </c>
      <c r="Q182" s="14">
        <f t="shared" si="59"/>
        <v>0</v>
      </c>
      <c r="R182" s="14">
        <f t="shared" si="59"/>
        <v>0</v>
      </c>
      <c r="S182" s="14">
        <f t="shared" si="59"/>
        <v>0</v>
      </c>
      <c r="T182" s="14">
        <f t="shared" si="59"/>
        <v>0</v>
      </c>
      <c r="U182" s="14">
        <f t="shared" si="59"/>
        <v>0</v>
      </c>
      <c r="V182" s="14">
        <f t="shared" si="59"/>
        <v>0</v>
      </c>
      <c r="W182" s="14">
        <f t="shared" si="59"/>
        <v>0</v>
      </c>
      <c r="X182" s="14">
        <f t="shared" si="59"/>
        <v>0</v>
      </c>
      <c r="Y182" s="14">
        <f t="shared" si="59"/>
        <v>0</v>
      </c>
      <c r="Z182" s="14">
        <f t="shared" si="59"/>
        <v>0</v>
      </c>
      <c r="AA182" s="14">
        <f t="shared" si="59"/>
        <v>0</v>
      </c>
      <c r="AB182" s="14">
        <f t="shared" si="59"/>
        <v>0</v>
      </c>
      <c r="AC182" s="14">
        <f t="shared" si="59"/>
        <v>0</v>
      </c>
      <c r="AD182" s="14">
        <f t="shared" si="59"/>
        <v>0</v>
      </c>
      <c r="AE182" s="14">
        <f t="shared" si="59"/>
        <v>0</v>
      </c>
      <c r="AF182" s="14">
        <f t="shared" si="59"/>
        <v>0</v>
      </c>
      <c r="AG182" s="14">
        <f t="shared" si="59"/>
        <v>0</v>
      </c>
      <c r="AH182" s="14">
        <f t="shared" si="59"/>
        <v>0</v>
      </c>
      <c r="AI182" s="14">
        <f t="shared" si="59"/>
        <v>0</v>
      </c>
      <c r="AJ182" s="14">
        <f t="shared" si="59"/>
        <v>0</v>
      </c>
      <c r="AK182" s="14">
        <f t="shared" si="59"/>
        <v>0</v>
      </c>
      <c r="AL182" s="14">
        <f t="shared" si="59"/>
        <v>0</v>
      </c>
      <c r="AM182" s="14">
        <f t="shared" si="59"/>
        <v>0</v>
      </c>
      <c r="AN182" s="14">
        <f t="shared" si="59"/>
        <v>0</v>
      </c>
      <c r="AO182" s="14">
        <f t="shared" si="59"/>
        <v>0</v>
      </c>
      <c r="AP182" s="14">
        <f t="shared" si="59"/>
        <v>0</v>
      </c>
      <c r="AQ182" s="14">
        <f t="shared" si="59"/>
        <v>0</v>
      </c>
      <c r="AR182" s="14">
        <f t="shared" si="59"/>
        <v>0</v>
      </c>
      <c r="AS182" s="14">
        <f t="shared" si="59"/>
        <v>0</v>
      </c>
    </row>
    <row r="183" spans="2:45" ht="6" hidden="1" customHeight="1" outlineLevel="2" x14ac:dyDescent="0.15"/>
    <row r="184" spans="2:45" hidden="1" outlineLevel="2" collapsed="1" x14ac:dyDescent="0.15">
      <c r="C184" s="107" t="s">
        <v>640</v>
      </c>
      <c r="J184" s="24">
        <v>0</v>
      </c>
      <c r="K184" s="24">
        <v>0</v>
      </c>
      <c r="L184" s="24">
        <v>0</v>
      </c>
      <c r="M184" s="24">
        <v>0</v>
      </c>
      <c r="N184" s="24">
        <v>0</v>
      </c>
      <c r="O184" s="24">
        <v>0</v>
      </c>
      <c r="P184" s="24">
        <v>0</v>
      </c>
      <c r="Q184" s="24">
        <v>0</v>
      </c>
      <c r="R184" s="24">
        <v>0</v>
      </c>
      <c r="S184" s="24">
        <v>0</v>
      </c>
      <c r="T184" s="24">
        <v>0</v>
      </c>
      <c r="U184" s="24">
        <v>0</v>
      </c>
      <c r="V184" s="24">
        <v>0</v>
      </c>
      <c r="W184" s="24">
        <v>0</v>
      </c>
      <c r="X184" s="24">
        <v>0</v>
      </c>
      <c r="Y184" s="24">
        <v>0</v>
      </c>
      <c r="Z184" s="24">
        <v>0</v>
      </c>
      <c r="AA184" s="24">
        <v>0</v>
      </c>
      <c r="AB184" s="24">
        <v>0</v>
      </c>
      <c r="AC184" s="24">
        <v>0</v>
      </c>
      <c r="AD184" s="24">
        <v>0</v>
      </c>
      <c r="AE184" s="24">
        <v>0</v>
      </c>
      <c r="AF184" s="24">
        <v>0</v>
      </c>
      <c r="AG184" s="24">
        <v>0</v>
      </c>
      <c r="AH184" s="24">
        <v>0</v>
      </c>
      <c r="AI184" s="24">
        <v>0</v>
      </c>
      <c r="AJ184" s="24">
        <v>0</v>
      </c>
      <c r="AK184" s="24">
        <v>0</v>
      </c>
      <c r="AL184" s="24">
        <v>0</v>
      </c>
      <c r="AM184" s="24">
        <v>0</v>
      </c>
      <c r="AN184" s="24">
        <v>0</v>
      </c>
      <c r="AO184" s="24">
        <v>0</v>
      </c>
      <c r="AP184" s="24">
        <v>0</v>
      </c>
      <c r="AQ184" s="24">
        <v>0</v>
      </c>
      <c r="AR184" s="24">
        <v>0</v>
      </c>
      <c r="AS184" s="24">
        <v>0</v>
      </c>
    </row>
    <row r="185" spans="2:45" hidden="1" outlineLevel="2" x14ac:dyDescent="0.15">
      <c r="C185" s="107" t="s">
        <v>119</v>
      </c>
      <c r="J185" s="14">
        <f t="shared" ref="J185:AS185" si="60">SUM(J184:J184)</f>
        <v>0</v>
      </c>
      <c r="K185" s="14">
        <f t="shared" si="60"/>
        <v>0</v>
      </c>
      <c r="L185" s="14">
        <f t="shared" si="60"/>
        <v>0</v>
      </c>
      <c r="M185" s="14">
        <f t="shared" si="60"/>
        <v>0</v>
      </c>
      <c r="N185" s="14">
        <f t="shared" si="60"/>
        <v>0</v>
      </c>
      <c r="O185" s="14">
        <f t="shared" si="60"/>
        <v>0</v>
      </c>
      <c r="P185" s="14">
        <f t="shared" si="60"/>
        <v>0</v>
      </c>
      <c r="Q185" s="14">
        <f t="shared" si="60"/>
        <v>0</v>
      </c>
      <c r="R185" s="14">
        <f t="shared" si="60"/>
        <v>0</v>
      </c>
      <c r="S185" s="14">
        <f t="shared" si="60"/>
        <v>0</v>
      </c>
      <c r="T185" s="14">
        <f t="shared" si="60"/>
        <v>0</v>
      </c>
      <c r="U185" s="14">
        <f t="shared" si="60"/>
        <v>0</v>
      </c>
      <c r="V185" s="14">
        <f t="shared" si="60"/>
        <v>0</v>
      </c>
      <c r="W185" s="14">
        <f t="shared" si="60"/>
        <v>0</v>
      </c>
      <c r="X185" s="14">
        <f t="shared" si="60"/>
        <v>0</v>
      </c>
      <c r="Y185" s="14">
        <f t="shared" si="60"/>
        <v>0</v>
      </c>
      <c r="Z185" s="14">
        <f t="shared" si="60"/>
        <v>0</v>
      </c>
      <c r="AA185" s="14">
        <f t="shared" si="60"/>
        <v>0</v>
      </c>
      <c r="AB185" s="14">
        <f t="shared" si="60"/>
        <v>0</v>
      </c>
      <c r="AC185" s="14">
        <f t="shared" si="60"/>
        <v>0</v>
      </c>
      <c r="AD185" s="14">
        <f t="shared" si="60"/>
        <v>0</v>
      </c>
      <c r="AE185" s="14">
        <f t="shared" si="60"/>
        <v>0</v>
      </c>
      <c r="AF185" s="14">
        <f t="shared" si="60"/>
        <v>0</v>
      </c>
      <c r="AG185" s="14">
        <f t="shared" si="60"/>
        <v>0</v>
      </c>
      <c r="AH185" s="14">
        <f t="shared" si="60"/>
        <v>0</v>
      </c>
      <c r="AI185" s="14">
        <f t="shared" si="60"/>
        <v>0</v>
      </c>
      <c r="AJ185" s="14">
        <f t="shared" si="60"/>
        <v>0</v>
      </c>
      <c r="AK185" s="14">
        <f t="shared" si="60"/>
        <v>0</v>
      </c>
      <c r="AL185" s="14">
        <f t="shared" si="60"/>
        <v>0</v>
      </c>
      <c r="AM185" s="14">
        <f t="shared" si="60"/>
        <v>0</v>
      </c>
      <c r="AN185" s="14">
        <f t="shared" si="60"/>
        <v>0</v>
      </c>
      <c r="AO185" s="14">
        <f t="shared" si="60"/>
        <v>0</v>
      </c>
      <c r="AP185" s="14">
        <f t="shared" si="60"/>
        <v>0</v>
      </c>
      <c r="AQ185" s="14">
        <f t="shared" si="60"/>
        <v>0</v>
      </c>
      <c r="AR185" s="14">
        <f t="shared" si="60"/>
        <v>0</v>
      </c>
      <c r="AS185" s="14">
        <f t="shared" si="60"/>
        <v>0</v>
      </c>
    </row>
    <row r="186" spans="2:45" ht="6" hidden="1" customHeight="1" outlineLevel="2" x14ac:dyDescent="0.1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row>
    <row r="187" spans="2:45" outlineLevel="1" collapsed="1" x14ac:dyDescent="0.15">
      <c r="B187" s="107" t="s">
        <v>120</v>
      </c>
      <c r="J187" s="14">
        <f t="shared" ref="J187:AS187" si="61">J179+J182+J185</f>
        <v>3406.0619354838709</v>
      </c>
      <c r="K187" s="14">
        <f t="shared" si="61"/>
        <v>5460.4498733333321</v>
      </c>
      <c r="L187" s="14">
        <f t="shared" si="61"/>
        <v>5658.2944516129037</v>
      </c>
      <c r="M187" s="14">
        <f t="shared" si="61"/>
        <v>6738.0976666666666</v>
      </c>
      <c r="N187" s="14">
        <f t="shared" si="61"/>
        <v>2898.1579913978489</v>
      </c>
      <c r="O187" s="14">
        <f t="shared" si="61"/>
        <v>5264.5171290322578</v>
      </c>
      <c r="P187" s="14">
        <f t="shared" si="61"/>
        <v>6074.5498666666672</v>
      </c>
      <c r="Q187" s="14">
        <f t="shared" si="61"/>
        <v>6044.8385397849461</v>
      </c>
      <c r="R187" s="14">
        <f t="shared" si="61"/>
        <v>4902.4685600000003</v>
      </c>
      <c r="S187" s="14">
        <f t="shared" si="61"/>
        <v>5694.5062731182788</v>
      </c>
      <c r="T187" s="14">
        <f t="shared" si="61"/>
        <v>5619.0533333333333</v>
      </c>
      <c r="U187" s="14">
        <f t="shared" si="61"/>
        <v>5209.1097290322577</v>
      </c>
      <c r="V187" s="14">
        <f t="shared" si="61"/>
        <v>4744.1322150537635</v>
      </c>
      <c r="W187" s="14">
        <f t="shared" si="61"/>
        <v>7768.365953333333</v>
      </c>
      <c r="X187" s="14">
        <f t="shared" si="61"/>
        <v>8277.8607741935466</v>
      </c>
      <c r="Y187" s="14">
        <f t="shared" si="61"/>
        <v>9034.1491666666661</v>
      </c>
      <c r="Z187" s="14">
        <f t="shared" si="61"/>
        <v>4260.2976946236549</v>
      </c>
      <c r="AA187" s="14">
        <f t="shared" si="61"/>
        <v>7287.2087161290319</v>
      </c>
      <c r="AB187" s="14">
        <f t="shared" si="61"/>
        <v>7888.9786666666669</v>
      </c>
      <c r="AC187" s="14">
        <f t="shared" si="61"/>
        <v>8103.1645526881721</v>
      </c>
      <c r="AD187" s="14">
        <f t="shared" si="61"/>
        <v>6556.4059999999999</v>
      </c>
      <c r="AE187" s="14">
        <f t="shared" si="61"/>
        <v>7315.0680473118282</v>
      </c>
      <c r="AF187" s="14">
        <f t="shared" si="61"/>
        <v>7699.6161333333339</v>
      </c>
      <c r="AG187" s="14">
        <f t="shared" si="61"/>
        <v>6861.0442838709669</v>
      </c>
      <c r="AH187" s="14">
        <f t="shared" si="61"/>
        <v>6039.2380215053772</v>
      </c>
      <c r="AI187" s="14">
        <f t="shared" si="61"/>
        <v>10462.136733333335</v>
      </c>
      <c r="AJ187" s="14">
        <f t="shared" si="61"/>
        <v>10681.368258064516</v>
      </c>
      <c r="AK187" s="14">
        <f t="shared" si="61"/>
        <v>10636.666666666666</v>
      </c>
      <c r="AL187" s="14">
        <f t="shared" si="61"/>
        <v>5688.6499913978478</v>
      </c>
      <c r="AM187" s="14">
        <f t="shared" si="61"/>
        <v>8992.9481161290332</v>
      </c>
      <c r="AN187" s="14">
        <f t="shared" si="61"/>
        <v>9528.3066666666673</v>
      </c>
      <c r="AO187" s="14">
        <f t="shared" si="61"/>
        <v>10129.021862365593</v>
      </c>
      <c r="AP187" s="14">
        <f t="shared" si="61"/>
        <v>7810.3434400000006</v>
      </c>
      <c r="AQ187" s="14">
        <f t="shared" si="61"/>
        <v>8420.3698989247314</v>
      </c>
      <c r="AR187" s="14">
        <f t="shared" si="61"/>
        <v>9506.8005333333349</v>
      </c>
      <c r="AS187" s="14">
        <f t="shared" si="61"/>
        <v>8112.9788387096769</v>
      </c>
    </row>
    <row r="188" spans="2:45" ht="6" hidden="1" customHeight="1" outlineLevel="2" x14ac:dyDescent="0.15"/>
    <row r="189" spans="2:45" hidden="1" outlineLevel="2" x14ac:dyDescent="0.15">
      <c r="C189" s="107" t="str">
        <f>Rev_Exp!B105</f>
        <v>Instructor Grants</v>
      </c>
      <c r="J189" s="23">
        <f>-Rev_Exp!J105</f>
        <v>-769.57999999999981</v>
      </c>
      <c r="K189" s="23">
        <f>-Rev_Exp!K105</f>
        <v>-702.66</v>
      </c>
      <c r="L189" s="23">
        <f>-Rev_Exp!L105</f>
        <v>-736.12</v>
      </c>
      <c r="M189" s="23">
        <f>-Rev_Exp!M105</f>
        <v>-736.12</v>
      </c>
      <c r="N189" s="23">
        <f>-Rev_Exp!N105</f>
        <v>-702.66</v>
      </c>
      <c r="O189" s="23">
        <f>-Rev_Exp!O105</f>
        <v>-769.57999999999981</v>
      </c>
      <c r="P189" s="23">
        <f>-Rev_Exp!P105</f>
        <v>-702.66</v>
      </c>
      <c r="Q189" s="23">
        <f>-Rev_Exp!Q105</f>
        <v>-702.66</v>
      </c>
      <c r="R189" s="23">
        <f>-Rev_Exp!R105</f>
        <v>-736.12</v>
      </c>
      <c r="S189" s="23">
        <f>-Rev_Exp!S105</f>
        <v>-769.57999999999981</v>
      </c>
      <c r="T189" s="23">
        <f>-Rev_Exp!T105</f>
        <v>-669.19999999999993</v>
      </c>
      <c r="U189" s="23">
        <f>-Rev_Exp!U105</f>
        <v>-769.57999999999981</v>
      </c>
      <c r="V189" s="23">
        <f>-Rev_Exp!V105</f>
        <v>-841.28</v>
      </c>
      <c r="W189" s="23">
        <f>-Rev_Exp!W105</f>
        <v>-803.04</v>
      </c>
      <c r="X189" s="23">
        <f>-Rev_Exp!X105</f>
        <v>-879.51999999999987</v>
      </c>
      <c r="Y189" s="23">
        <f>-Rev_Exp!Y105</f>
        <v>-803.04</v>
      </c>
      <c r="Z189" s="23">
        <f>-Rev_Exp!Z105</f>
        <v>-841.28</v>
      </c>
      <c r="AA189" s="23">
        <f>-Rev_Exp!AA105</f>
        <v>-879.51999999999987</v>
      </c>
      <c r="AB189" s="23">
        <f>-Rev_Exp!AB105</f>
        <v>-764.8</v>
      </c>
      <c r="AC189" s="23">
        <f>-Rev_Exp!AC105</f>
        <v>-903.42000000000007</v>
      </c>
      <c r="AD189" s="23">
        <f>-Rev_Exp!AD105</f>
        <v>-946.43999999999994</v>
      </c>
      <c r="AE189" s="23">
        <f>-Rev_Exp!AE105</f>
        <v>-946.43999999999994</v>
      </c>
      <c r="AF189" s="23">
        <f>-Rev_Exp!AF105</f>
        <v>-903.42000000000007</v>
      </c>
      <c r="AG189" s="23">
        <f>-Rev_Exp!AG105</f>
        <v>-989.45999999999992</v>
      </c>
      <c r="AH189" s="23">
        <f>-Rev_Exp!AH105</f>
        <v>-903.42000000000007</v>
      </c>
      <c r="AI189" s="23">
        <f>-Rev_Exp!AI105</f>
        <v>-946.43999999999994</v>
      </c>
      <c r="AJ189" s="23">
        <f>-Rev_Exp!AJ105</f>
        <v>-989.45999999999992</v>
      </c>
      <c r="AK189" s="23">
        <f>-Rev_Exp!AK105</f>
        <v>-860.4</v>
      </c>
      <c r="AL189" s="23">
        <f>-Rev_Exp!AL105</f>
        <v>-989.45999999999992</v>
      </c>
      <c r="AM189" s="23">
        <f>-Rev_Exp!AM105</f>
        <v>-1051.5999999999999</v>
      </c>
      <c r="AN189" s="23">
        <f>-Rev_Exp!AN105</f>
        <v>-956</v>
      </c>
      <c r="AO189" s="23">
        <f>-Rev_Exp!AO105</f>
        <v>-1051.5999999999999</v>
      </c>
      <c r="AP189" s="23">
        <f>-Rev_Exp!AP105</f>
        <v>-1051.5999999999999</v>
      </c>
      <c r="AQ189" s="23">
        <f>-Rev_Exp!AQ105</f>
        <v>-1003.8</v>
      </c>
      <c r="AR189" s="23">
        <f>-Rev_Exp!AR105</f>
        <v>-1051.5999999999999</v>
      </c>
      <c r="AS189" s="23">
        <f>-Rev_Exp!AS105</f>
        <v>-1099.3999999999999</v>
      </c>
    </row>
    <row r="190" spans="2:45" hidden="1" outlineLevel="2" x14ac:dyDescent="0.15">
      <c r="C190" s="107" t="str">
        <f>Rev_Exp!B106</f>
        <v>Merch CoGS</v>
      </c>
      <c r="J190" s="23">
        <f>-Rev_Exp!J106</f>
        <v>-50</v>
      </c>
      <c r="K190" s="23">
        <f>-Rev_Exp!K106</f>
        <v>-51.666666666666671</v>
      </c>
      <c r="L190" s="23">
        <f>-Rev_Exp!L106</f>
        <v>-53.333333333333336</v>
      </c>
      <c r="M190" s="23">
        <f>-Rev_Exp!M106</f>
        <v>-55</v>
      </c>
      <c r="N190" s="23">
        <f>-Rev_Exp!N106</f>
        <v>-56.666666666666671</v>
      </c>
      <c r="O190" s="23">
        <f>-Rev_Exp!O106</f>
        <v>-58.333333333333336</v>
      </c>
      <c r="P190" s="23">
        <f>-Rev_Exp!P106</f>
        <v>-60</v>
      </c>
      <c r="Q190" s="23">
        <f>-Rev_Exp!Q106</f>
        <v>-61.666666666666671</v>
      </c>
      <c r="R190" s="23">
        <f>-Rev_Exp!R106</f>
        <v>-63.333333333333336</v>
      </c>
      <c r="S190" s="23">
        <f>-Rev_Exp!S106</f>
        <v>-65</v>
      </c>
      <c r="T190" s="23">
        <f>-Rev_Exp!T106</f>
        <v>-66.666666666666671</v>
      </c>
      <c r="U190" s="23">
        <f>-Rev_Exp!U106</f>
        <v>-68.333333333333343</v>
      </c>
      <c r="V190" s="23">
        <f>-Rev_Exp!V106</f>
        <v>-70</v>
      </c>
      <c r="W190" s="23">
        <f>-Rev_Exp!W106</f>
        <v>-71.666666666666671</v>
      </c>
      <c r="X190" s="23">
        <f>-Rev_Exp!X106</f>
        <v>-73.333333333333343</v>
      </c>
      <c r="Y190" s="23">
        <f>-Rev_Exp!Y106</f>
        <v>-75</v>
      </c>
      <c r="Z190" s="23">
        <f>-Rev_Exp!Z106</f>
        <v>-76.666666666666671</v>
      </c>
      <c r="AA190" s="23">
        <f>-Rev_Exp!AA106</f>
        <v>-78.333333333333343</v>
      </c>
      <c r="AB190" s="23">
        <f>-Rev_Exp!AB106</f>
        <v>-80</v>
      </c>
      <c r="AC190" s="23">
        <f>-Rev_Exp!AC106</f>
        <v>-81.666666666666671</v>
      </c>
      <c r="AD190" s="23">
        <f>-Rev_Exp!AD106</f>
        <v>-83.333333333333343</v>
      </c>
      <c r="AE190" s="23">
        <f>-Rev_Exp!AE106</f>
        <v>-85</v>
      </c>
      <c r="AF190" s="23">
        <f>-Rev_Exp!AF106</f>
        <v>-86.666666666666671</v>
      </c>
      <c r="AG190" s="23">
        <f>-Rev_Exp!AG106</f>
        <v>-88.333333333333343</v>
      </c>
      <c r="AH190" s="23">
        <f>-Rev_Exp!AH106</f>
        <v>-90</v>
      </c>
      <c r="AI190" s="23">
        <f>-Rev_Exp!AI106</f>
        <v>-91.666666666666671</v>
      </c>
      <c r="AJ190" s="23">
        <f>-Rev_Exp!AJ106</f>
        <v>-93.333333333333343</v>
      </c>
      <c r="AK190" s="23">
        <f>-Rev_Exp!AK106</f>
        <v>-95</v>
      </c>
      <c r="AL190" s="23">
        <f>-Rev_Exp!AL106</f>
        <v>-96.666666666666671</v>
      </c>
      <c r="AM190" s="23">
        <f>-Rev_Exp!AM106</f>
        <v>-98.333333333333343</v>
      </c>
      <c r="AN190" s="23">
        <f>-Rev_Exp!AN106</f>
        <v>-100</v>
      </c>
      <c r="AO190" s="23">
        <f>-Rev_Exp!AO106</f>
        <v>-101.66666666666667</v>
      </c>
      <c r="AP190" s="23">
        <f>-Rev_Exp!AP106</f>
        <v>-103.33333333333334</v>
      </c>
      <c r="AQ190" s="23">
        <f>-Rev_Exp!AQ106</f>
        <v>-105</v>
      </c>
      <c r="AR190" s="23">
        <f>-Rev_Exp!AR106</f>
        <v>-106.66666666666667</v>
      </c>
      <c r="AS190" s="23">
        <f>-Rev_Exp!AS106</f>
        <v>-108.33333333333334</v>
      </c>
    </row>
    <row r="191" spans="2:45" hidden="1" outlineLevel="2" collapsed="1" x14ac:dyDescent="0.15">
      <c r="C191" s="107" t="str">
        <f>Rev_Exp!B107</f>
        <v>Discounts (Gift Cards)</v>
      </c>
      <c r="J191" s="24">
        <f>-Rev_Exp!J107</f>
        <v>-34.734867096774195</v>
      </c>
      <c r="K191" s="24">
        <f>-Rev_Exp!K107</f>
        <v>-63.939631559999988</v>
      </c>
      <c r="L191" s="24">
        <f>-Rev_Exp!L107</f>
        <v>-66.546122322580658</v>
      </c>
      <c r="M191" s="24">
        <f>-Rev_Exp!M107</f>
        <v>-81.500033999999999</v>
      </c>
      <c r="N191" s="24">
        <f>-Rev_Exp!N107</f>
        <v>-27.577545212903217</v>
      </c>
      <c r="O191" s="24">
        <f>-Rev_Exp!O107</f>
        <v>-60.543239806451609</v>
      </c>
      <c r="P191" s="24">
        <f>-Rev_Exp!P107</f>
        <v>-66.120364800000004</v>
      </c>
      <c r="Q191" s="24">
        <f>-Rev_Exp!Q107</f>
        <v>-65.541072890322582</v>
      </c>
      <c r="R191" s="24">
        <f>-Rev_Exp!R107</f>
        <v>-49.384559840000001</v>
      </c>
      <c r="S191" s="24">
        <f>-Rev_Exp!S107</f>
        <v>-60.309754490322568</v>
      </c>
      <c r="T191" s="24">
        <f>-Rev_Exp!T107</f>
        <v>-59.090080000000007</v>
      </c>
      <c r="U191" s="24">
        <f>-Rev_Exp!U107</f>
        <v>-53.187536206451611</v>
      </c>
      <c r="V191" s="24">
        <f>-Rev_Exp!V107</f>
        <v>-46.514517677419356</v>
      </c>
      <c r="W191" s="24">
        <f>-Rev_Exp!W107</f>
        <v>-88.690456679999997</v>
      </c>
      <c r="X191" s="24">
        <f>-Rev_Exp!X107</f>
        <v>-95.660050838709665</v>
      </c>
      <c r="Y191" s="24">
        <f>-Rev_Exp!Y107</f>
        <v>-106.08475499999999</v>
      </c>
      <c r="Z191" s="24">
        <f>-Rev_Exp!Z107</f>
        <v>-39.087501058064511</v>
      </c>
      <c r="AA191" s="24">
        <f>-Rev_Exp!AA107</f>
        <v>-81.300922025806443</v>
      </c>
      <c r="AB191" s="24">
        <f>-Rev_Exp!AB107</f>
        <v>-83.962367999999998</v>
      </c>
      <c r="AC191" s="24">
        <f>-Rev_Exp!AC107</f>
        <v>-86.797637070967752</v>
      </c>
      <c r="AD191" s="24">
        <f>-Rev_Exp!AD107</f>
        <v>-64.979684000000006</v>
      </c>
      <c r="AE191" s="24">
        <f>-Rev_Exp!AE107</f>
        <v>-75.437619329032259</v>
      </c>
      <c r="AF191" s="24">
        <f>-Rev_Exp!AF107</f>
        <v>-80.657959200000008</v>
      </c>
      <c r="AG191" s="24">
        <f>-Rev_Exp!AG107</f>
        <v>-68.754619974193531</v>
      </c>
      <c r="AH191" s="24">
        <f>-Rev_Exp!AH107</f>
        <v>-57.085998967741943</v>
      </c>
      <c r="AI191" s="24">
        <f>-Rev_Exp!AI107</f>
        <v>-118.84324760000001</v>
      </c>
      <c r="AJ191" s="24">
        <f>-Rev_Exp!AJ107</f>
        <v>-121.74915561290324</v>
      </c>
      <c r="AK191" s="24">
        <f>-Rev_Exp!AK107</f>
        <v>-120.96000000000001</v>
      </c>
      <c r="AL191" s="24">
        <f>-Rev_Exp!AL107</f>
        <v>-51.524433212903205</v>
      </c>
      <c r="AM191" s="24">
        <f>-Rev_Exp!AM107</f>
        <v>-97.621273625806467</v>
      </c>
      <c r="AN191" s="24">
        <f>-Rev_Exp!AN107</f>
        <v>-104.95295999999999</v>
      </c>
      <c r="AO191" s="24">
        <f>-Rev_Exp!AO107</f>
        <v>-113.19963940645162</v>
      </c>
      <c r="AP191" s="24">
        <f>-Rev_Exp!AP107</f>
        <v>-80.574808160000003</v>
      </c>
      <c r="AQ191" s="24">
        <f>-Rev_Exp!AQ107</f>
        <v>-88.951845251612909</v>
      </c>
      <c r="AR191" s="24">
        <f>-Rev_Exp!AR107</f>
        <v>-103.99854080000001</v>
      </c>
      <c r="AS191" s="24">
        <f>-Rev_Exp!AS107</f>
        <v>-84.32170374193548</v>
      </c>
    </row>
    <row r="192" spans="2:45" hidden="1" outlineLevel="2" x14ac:dyDescent="0.15">
      <c r="C192" s="107" t="s">
        <v>65</v>
      </c>
      <c r="J192" s="14">
        <f t="shared" ref="J192:AS192" si="62">SUM(J189:J191)</f>
        <v>-854.31486709677404</v>
      </c>
      <c r="K192" s="14">
        <f t="shared" si="62"/>
        <v>-818.26629822666655</v>
      </c>
      <c r="L192" s="14">
        <f t="shared" si="62"/>
        <v>-855.99945565591406</v>
      </c>
      <c r="M192" s="14">
        <f t="shared" si="62"/>
        <v>-872.62003400000003</v>
      </c>
      <c r="N192" s="14">
        <f t="shared" si="62"/>
        <v>-786.90421187956986</v>
      </c>
      <c r="O192" s="14">
        <f t="shared" si="62"/>
        <v>-888.45657313978484</v>
      </c>
      <c r="P192" s="14">
        <f t="shared" si="62"/>
        <v>-828.78036479999992</v>
      </c>
      <c r="Q192" s="14">
        <f t="shared" si="62"/>
        <v>-829.86773955698914</v>
      </c>
      <c r="R192" s="14">
        <f t="shared" si="62"/>
        <v>-848.83789317333333</v>
      </c>
      <c r="S192" s="14">
        <f t="shared" si="62"/>
        <v>-894.88975449032239</v>
      </c>
      <c r="T192" s="14">
        <f t="shared" si="62"/>
        <v>-794.95674666666662</v>
      </c>
      <c r="U192" s="14">
        <f t="shared" si="62"/>
        <v>-891.10086953978475</v>
      </c>
      <c r="V192" s="14">
        <f t="shared" si="62"/>
        <v>-957.79451767741932</v>
      </c>
      <c r="W192" s="14">
        <f t="shared" si="62"/>
        <v>-963.3971233466666</v>
      </c>
      <c r="X192" s="14">
        <f t="shared" si="62"/>
        <v>-1048.5133841720428</v>
      </c>
      <c r="Y192" s="14">
        <f t="shared" si="62"/>
        <v>-984.12475499999994</v>
      </c>
      <c r="Z192" s="14">
        <f t="shared" si="62"/>
        <v>-957.03416772473111</v>
      </c>
      <c r="AA192" s="14">
        <f t="shared" si="62"/>
        <v>-1039.1542553591396</v>
      </c>
      <c r="AB192" s="14">
        <f t="shared" si="62"/>
        <v>-928.76236799999992</v>
      </c>
      <c r="AC192" s="14">
        <f t="shared" si="62"/>
        <v>-1071.8843037376344</v>
      </c>
      <c r="AD192" s="14">
        <f t="shared" si="62"/>
        <v>-1094.7530173333332</v>
      </c>
      <c r="AE192" s="14">
        <f t="shared" si="62"/>
        <v>-1106.8776193290323</v>
      </c>
      <c r="AF192" s="14">
        <f t="shared" si="62"/>
        <v>-1070.7446258666666</v>
      </c>
      <c r="AG192" s="14">
        <f t="shared" si="62"/>
        <v>-1146.5479533075268</v>
      </c>
      <c r="AH192" s="14">
        <f t="shared" si="62"/>
        <v>-1050.505998967742</v>
      </c>
      <c r="AI192" s="14">
        <f t="shared" si="62"/>
        <v>-1156.9499142666666</v>
      </c>
      <c r="AJ192" s="14">
        <f t="shared" si="62"/>
        <v>-1204.5424889462365</v>
      </c>
      <c r="AK192" s="14">
        <f t="shared" si="62"/>
        <v>-1076.3599999999999</v>
      </c>
      <c r="AL192" s="14">
        <f t="shared" si="62"/>
        <v>-1137.6510998795698</v>
      </c>
      <c r="AM192" s="14">
        <f t="shared" si="62"/>
        <v>-1247.5546069591396</v>
      </c>
      <c r="AN192" s="14">
        <f t="shared" si="62"/>
        <v>-1160.9529600000001</v>
      </c>
      <c r="AO192" s="14">
        <f t="shared" si="62"/>
        <v>-1266.4663060731182</v>
      </c>
      <c r="AP192" s="14">
        <f t="shared" si="62"/>
        <v>-1235.5081414933331</v>
      </c>
      <c r="AQ192" s="14">
        <f t="shared" si="62"/>
        <v>-1197.7518452516128</v>
      </c>
      <c r="AR192" s="14">
        <f t="shared" si="62"/>
        <v>-1262.2652074666667</v>
      </c>
      <c r="AS192" s="14">
        <f t="shared" si="62"/>
        <v>-1292.0550370752685</v>
      </c>
    </row>
    <row r="193" spans="3:45" ht="6" hidden="1" customHeight="1" outlineLevel="2" x14ac:dyDescent="0.15"/>
    <row r="194" spans="3:45" hidden="1" outlineLevel="2" x14ac:dyDescent="0.15">
      <c r="C194" s="107" t="str">
        <f>Rev_Exp!B151</f>
        <v>Rent</v>
      </c>
      <c r="J194" s="23">
        <f>-Rev_Exp!J151</f>
        <v>-5833.3333333333339</v>
      </c>
      <c r="K194" s="23">
        <f>-Rev_Exp!K151</f>
        <v>-5833.3333333333339</v>
      </c>
      <c r="L194" s="23">
        <f>-Rev_Exp!L151</f>
        <v>-5833.3333333333339</v>
      </c>
      <c r="M194" s="23">
        <f>-Rev_Exp!M151</f>
        <v>-5833.3333333333339</v>
      </c>
      <c r="N194" s="23">
        <f>-Rev_Exp!N151</f>
        <v>-5833.3333333333339</v>
      </c>
      <c r="O194" s="23">
        <f>-Rev_Exp!O151</f>
        <v>-5833.3333333333339</v>
      </c>
      <c r="P194" s="23">
        <f>-Rev_Exp!P151</f>
        <v>-5833.3333333333339</v>
      </c>
      <c r="Q194" s="23">
        <f>-Rev_Exp!Q151</f>
        <v>-5833.3333333333339</v>
      </c>
      <c r="R194" s="23">
        <f>-Rev_Exp!R151</f>
        <v>-5833.3333333333339</v>
      </c>
      <c r="S194" s="23">
        <f>-Rev_Exp!S151</f>
        <v>-5833.3333333333339</v>
      </c>
      <c r="T194" s="23">
        <f>-Rev_Exp!T151</f>
        <v>-5833.3333333333339</v>
      </c>
      <c r="U194" s="23">
        <f>-Rev_Exp!U151</f>
        <v>-5833.3333333333339</v>
      </c>
      <c r="V194" s="23">
        <f>-Rev_Exp!V151</f>
        <v>-5833.3333333333339</v>
      </c>
      <c r="W194" s="23">
        <f>-Rev_Exp!W151</f>
        <v>-5833.3333333333339</v>
      </c>
      <c r="X194" s="23">
        <f>-Rev_Exp!X151</f>
        <v>-5833.3333333333339</v>
      </c>
      <c r="Y194" s="23">
        <f>-Rev_Exp!Y151</f>
        <v>-5833.3333333333339</v>
      </c>
      <c r="Z194" s="23">
        <f>-Rev_Exp!Z151</f>
        <v>-5833.3333333333339</v>
      </c>
      <c r="AA194" s="23">
        <f>-Rev_Exp!AA151</f>
        <v>-5833.3333333333339</v>
      </c>
      <c r="AB194" s="23">
        <f>-Rev_Exp!AB151</f>
        <v>-5833.3333333333339</v>
      </c>
      <c r="AC194" s="23">
        <f>-Rev_Exp!AC151</f>
        <v>-5833.3333333333339</v>
      </c>
      <c r="AD194" s="23">
        <f>-Rev_Exp!AD151</f>
        <v>-5833.3333333333339</v>
      </c>
      <c r="AE194" s="23">
        <f>-Rev_Exp!AE151</f>
        <v>-5833.3333333333339</v>
      </c>
      <c r="AF194" s="23">
        <f>-Rev_Exp!AF151</f>
        <v>-5833.3333333333339</v>
      </c>
      <c r="AG194" s="23">
        <f>-Rev_Exp!AG151</f>
        <v>-5833.3333333333339</v>
      </c>
      <c r="AH194" s="23">
        <f>-Rev_Exp!AH151</f>
        <v>-5833.3333333333339</v>
      </c>
      <c r="AI194" s="23">
        <f>-Rev_Exp!AI151</f>
        <v>-5833.3333333333339</v>
      </c>
      <c r="AJ194" s="23">
        <f>-Rev_Exp!AJ151</f>
        <v>-5833.3333333333339</v>
      </c>
      <c r="AK194" s="23">
        <f>-Rev_Exp!AK151</f>
        <v>-5833.3333333333339</v>
      </c>
      <c r="AL194" s="23">
        <f>-Rev_Exp!AL151</f>
        <v>-5833.3333333333339</v>
      </c>
      <c r="AM194" s="23">
        <f>-Rev_Exp!AM151</f>
        <v>-5833.3333333333339</v>
      </c>
      <c r="AN194" s="23">
        <f>-Rev_Exp!AN151</f>
        <v>-5833.3333333333339</v>
      </c>
      <c r="AO194" s="23">
        <f>-Rev_Exp!AO151</f>
        <v>-5833.3333333333339</v>
      </c>
      <c r="AP194" s="23">
        <f>-Rev_Exp!AP151</f>
        <v>-5833.3333333333339</v>
      </c>
      <c r="AQ194" s="23">
        <f>-Rev_Exp!AQ151</f>
        <v>-5833.3333333333339</v>
      </c>
      <c r="AR194" s="23">
        <f>-Rev_Exp!AR151</f>
        <v>-5833.3333333333339</v>
      </c>
      <c r="AS194" s="23">
        <f>-Rev_Exp!AS151</f>
        <v>-5833.3333333333339</v>
      </c>
    </row>
    <row r="195" spans="3:45" hidden="1" outlineLevel="2" collapsed="1" x14ac:dyDescent="0.15">
      <c r="C195" s="107" t="str">
        <f>Rev_Exp!B152</f>
        <v>Rates</v>
      </c>
      <c r="J195" s="14">
        <f>-Rev_Exp!J152</f>
        <v>-227.08333333333337</v>
      </c>
      <c r="K195" s="14">
        <f>-Rev_Exp!K152</f>
        <v>-227.08333333333337</v>
      </c>
      <c r="L195" s="14">
        <f>-Rev_Exp!L152</f>
        <v>-227.08333333333337</v>
      </c>
      <c r="M195" s="14">
        <f>-Rev_Exp!M152</f>
        <v>-227.08333333333337</v>
      </c>
      <c r="N195" s="14">
        <f>-Rev_Exp!N152</f>
        <v>-227.08333333333337</v>
      </c>
      <c r="O195" s="14">
        <f>-Rev_Exp!O152</f>
        <v>-227.08333333333337</v>
      </c>
      <c r="P195" s="14">
        <f>-Rev_Exp!P152</f>
        <v>-227.08333333333337</v>
      </c>
      <c r="Q195" s="14">
        <f>-Rev_Exp!Q152</f>
        <v>-227.08333333333337</v>
      </c>
      <c r="R195" s="14">
        <f>-Rev_Exp!R152</f>
        <v>-227.08333333333337</v>
      </c>
      <c r="S195" s="14">
        <f>-Rev_Exp!S152</f>
        <v>-227.08333333333337</v>
      </c>
      <c r="T195" s="14">
        <f>-Rev_Exp!T152</f>
        <v>-227.08333333333337</v>
      </c>
      <c r="U195" s="14">
        <f>-Rev_Exp!U152</f>
        <v>-227.08333333333337</v>
      </c>
      <c r="V195" s="14">
        <f>-Rev_Exp!V152</f>
        <v>-227.08333333333337</v>
      </c>
      <c r="W195" s="14">
        <f>-Rev_Exp!W152</f>
        <v>-227.08333333333337</v>
      </c>
      <c r="X195" s="14">
        <f>-Rev_Exp!X152</f>
        <v>-227.08333333333337</v>
      </c>
      <c r="Y195" s="14">
        <f>-Rev_Exp!Y152</f>
        <v>-227.08333333333337</v>
      </c>
      <c r="Z195" s="14">
        <f>-Rev_Exp!Z152</f>
        <v>-227.08333333333337</v>
      </c>
      <c r="AA195" s="14">
        <f>-Rev_Exp!AA152</f>
        <v>-227.08333333333337</v>
      </c>
      <c r="AB195" s="14">
        <f>-Rev_Exp!AB152</f>
        <v>-227.08333333333337</v>
      </c>
      <c r="AC195" s="14">
        <f>-Rev_Exp!AC152</f>
        <v>-227.08333333333337</v>
      </c>
      <c r="AD195" s="14">
        <f>-Rev_Exp!AD152</f>
        <v>-227.08333333333337</v>
      </c>
      <c r="AE195" s="14">
        <f>-Rev_Exp!AE152</f>
        <v>-227.08333333333337</v>
      </c>
      <c r="AF195" s="14">
        <f>-Rev_Exp!AF152</f>
        <v>-227.08333333333337</v>
      </c>
      <c r="AG195" s="14">
        <f>-Rev_Exp!AG152</f>
        <v>-227.08333333333337</v>
      </c>
      <c r="AH195" s="14">
        <f>-Rev_Exp!AH152</f>
        <v>-227.08333333333337</v>
      </c>
      <c r="AI195" s="14">
        <f>-Rev_Exp!AI152</f>
        <v>-227.08333333333337</v>
      </c>
      <c r="AJ195" s="14">
        <f>-Rev_Exp!AJ152</f>
        <v>-227.08333333333337</v>
      </c>
      <c r="AK195" s="14">
        <f>-Rev_Exp!AK152</f>
        <v>-227.08333333333337</v>
      </c>
      <c r="AL195" s="14">
        <f>-Rev_Exp!AL152</f>
        <v>-227.08333333333337</v>
      </c>
      <c r="AM195" s="14">
        <f>-Rev_Exp!AM152</f>
        <v>-227.08333333333337</v>
      </c>
      <c r="AN195" s="14">
        <f>-Rev_Exp!AN152</f>
        <v>-227.08333333333337</v>
      </c>
      <c r="AO195" s="14">
        <f>-Rev_Exp!AO152</f>
        <v>-227.08333333333337</v>
      </c>
      <c r="AP195" s="14">
        <f>-Rev_Exp!AP152</f>
        <v>-227.08333333333337</v>
      </c>
      <c r="AQ195" s="14">
        <f>-Rev_Exp!AQ152</f>
        <v>-227.08333333333337</v>
      </c>
      <c r="AR195" s="14">
        <f>-Rev_Exp!AR152</f>
        <v>-227.08333333333337</v>
      </c>
      <c r="AS195" s="14">
        <f>-Rev_Exp!AS152</f>
        <v>-227.08333333333337</v>
      </c>
    </row>
    <row r="196" spans="3:45" hidden="1" outlineLevel="2" collapsed="1" x14ac:dyDescent="0.15">
      <c r="C196" s="107" t="str">
        <f>Rev_Exp!B153</f>
        <v>Staff Cost</v>
      </c>
      <c r="J196" s="14">
        <f>-Rev_Exp!J153</f>
        <v>0</v>
      </c>
      <c r="K196" s="14">
        <f>-Rev_Exp!K153</f>
        <v>0</v>
      </c>
      <c r="L196" s="14">
        <f>-Rev_Exp!L153</f>
        <v>0</v>
      </c>
      <c r="M196" s="14">
        <f>-Rev_Exp!M153</f>
        <v>0</v>
      </c>
      <c r="N196" s="14">
        <f>-Rev_Exp!N153</f>
        <v>0</v>
      </c>
      <c r="O196" s="14">
        <f>-Rev_Exp!O153</f>
        <v>0</v>
      </c>
      <c r="P196" s="14">
        <f>-Rev_Exp!P153</f>
        <v>-1115.1000000000001</v>
      </c>
      <c r="Q196" s="14">
        <f>-Rev_Exp!Q153</f>
        <v>-1115.1000000000001</v>
      </c>
      <c r="R196" s="14">
        <f>-Rev_Exp!R153</f>
        <v>-1168.2</v>
      </c>
      <c r="S196" s="14">
        <f>-Rev_Exp!S153</f>
        <v>-1221.3</v>
      </c>
      <c r="T196" s="14">
        <f>-Rev_Exp!T153</f>
        <v>-1062</v>
      </c>
      <c r="U196" s="14">
        <f>-Rev_Exp!U153</f>
        <v>-1221.3</v>
      </c>
      <c r="V196" s="14">
        <f>-Rev_Exp!V153</f>
        <v>-1168.2</v>
      </c>
      <c r="W196" s="14">
        <f>-Rev_Exp!W153</f>
        <v>-1115.1000000000001</v>
      </c>
      <c r="X196" s="14">
        <f>-Rev_Exp!X153</f>
        <v>-1221.3</v>
      </c>
      <c r="Y196" s="14">
        <f>-Rev_Exp!Y153</f>
        <v>-1115.1000000000001</v>
      </c>
      <c r="Z196" s="14">
        <f>-Rev_Exp!Z153</f>
        <v>-1168.2</v>
      </c>
      <c r="AA196" s="14">
        <f>-Rev_Exp!AA153</f>
        <v>-1221.3</v>
      </c>
      <c r="AB196" s="14">
        <f>-Rev_Exp!AB153</f>
        <v>-1062</v>
      </c>
      <c r="AC196" s="14">
        <f>-Rev_Exp!AC153</f>
        <v>-1115.1000000000001</v>
      </c>
      <c r="AD196" s="14">
        <f>-Rev_Exp!AD153</f>
        <v>-1168.2</v>
      </c>
      <c r="AE196" s="14">
        <f>-Rev_Exp!AE153</f>
        <v>-1168.2</v>
      </c>
      <c r="AF196" s="14">
        <f>-Rev_Exp!AF153</f>
        <v>-1115.1000000000001</v>
      </c>
      <c r="AG196" s="14">
        <f>-Rev_Exp!AG153</f>
        <v>-1221.3</v>
      </c>
      <c r="AH196" s="14">
        <f>-Rev_Exp!AH153</f>
        <v>-1115.1000000000001</v>
      </c>
      <c r="AI196" s="14">
        <f>-Rev_Exp!AI153</f>
        <v>-1168.2</v>
      </c>
      <c r="AJ196" s="14">
        <f>-Rev_Exp!AJ153</f>
        <v>-1221.3</v>
      </c>
      <c r="AK196" s="14">
        <f>-Rev_Exp!AK153</f>
        <v>-1062</v>
      </c>
      <c r="AL196" s="14">
        <f>-Rev_Exp!AL153</f>
        <v>-1221.3</v>
      </c>
      <c r="AM196" s="14">
        <f>-Rev_Exp!AM153</f>
        <v>-1168.2</v>
      </c>
      <c r="AN196" s="14">
        <f>-Rev_Exp!AN153</f>
        <v>-1062</v>
      </c>
      <c r="AO196" s="14">
        <f>-Rev_Exp!AO153</f>
        <v>-1168.2</v>
      </c>
      <c r="AP196" s="14">
        <f>-Rev_Exp!AP153</f>
        <v>-1168.2</v>
      </c>
      <c r="AQ196" s="14">
        <f>-Rev_Exp!AQ153</f>
        <v>-1115.1000000000001</v>
      </c>
      <c r="AR196" s="14">
        <f>-Rev_Exp!AR153</f>
        <v>-1168.2</v>
      </c>
      <c r="AS196" s="14">
        <f>-Rev_Exp!AS153</f>
        <v>-1221.3</v>
      </c>
    </row>
    <row r="197" spans="3:45" hidden="1" outlineLevel="2" x14ac:dyDescent="0.15">
      <c r="C197" s="107" t="str">
        <f>Rev_Exp!B154</f>
        <v>Utilities</v>
      </c>
      <c r="J197" s="14">
        <f>-Rev_Exp!J154</f>
        <v>-100</v>
      </c>
      <c r="K197" s="14">
        <f>-Rev_Exp!K154</f>
        <v>-100</v>
      </c>
      <c r="L197" s="14">
        <f>-Rev_Exp!L154</f>
        <v>-100</v>
      </c>
      <c r="M197" s="14">
        <f>-Rev_Exp!M154</f>
        <v>-100</v>
      </c>
      <c r="N197" s="14">
        <f>-Rev_Exp!N154</f>
        <v>-100</v>
      </c>
      <c r="O197" s="14">
        <f>-Rev_Exp!O154</f>
        <v>-100</v>
      </c>
      <c r="P197" s="14">
        <f>-Rev_Exp!P154</f>
        <v>-100</v>
      </c>
      <c r="Q197" s="14">
        <f>-Rev_Exp!Q154</f>
        <v>-100</v>
      </c>
      <c r="R197" s="14">
        <f>-Rev_Exp!R154</f>
        <v>-100</v>
      </c>
      <c r="S197" s="14">
        <f>-Rev_Exp!S154</f>
        <v>-100</v>
      </c>
      <c r="T197" s="14">
        <f>-Rev_Exp!T154</f>
        <v>-100</v>
      </c>
      <c r="U197" s="14">
        <f>-Rev_Exp!U154</f>
        <v>-100</v>
      </c>
      <c r="V197" s="14">
        <f>-Rev_Exp!V154</f>
        <v>-100</v>
      </c>
      <c r="W197" s="14">
        <f>-Rev_Exp!W154</f>
        <v>-100</v>
      </c>
      <c r="X197" s="14">
        <f>-Rev_Exp!X154</f>
        <v>-100</v>
      </c>
      <c r="Y197" s="14">
        <f>-Rev_Exp!Y154</f>
        <v>-100</v>
      </c>
      <c r="Z197" s="14">
        <f>-Rev_Exp!Z154</f>
        <v>-100</v>
      </c>
      <c r="AA197" s="14">
        <f>-Rev_Exp!AA154</f>
        <v>-100</v>
      </c>
      <c r="AB197" s="14">
        <f>-Rev_Exp!AB154</f>
        <v>-100</v>
      </c>
      <c r="AC197" s="14">
        <f>-Rev_Exp!AC154</f>
        <v>-100</v>
      </c>
      <c r="AD197" s="14">
        <f>-Rev_Exp!AD154</f>
        <v>-100</v>
      </c>
      <c r="AE197" s="14">
        <f>-Rev_Exp!AE154</f>
        <v>-100</v>
      </c>
      <c r="AF197" s="14">
        <f>-Rev_Exp!AF154</f>
        <v>-100</v>
      </c>
      <c r="AG197" s="14">
        <f>-Rev_Exp!AG154</f>
        <v>-100</v>
      </c>
      <c r="AH197" s="14">
        <f>-Rev_Exp!AH154</f>
        <v>-100</v>
      </c>
      <c r="AI197" s="14">
        <f>-Rev_Exp!AI154</f>
        <v>-100</v>
      </c>
      <c r="AJ197" s="14">
        <f>-Rev_Exp!AJ154</f>
        <v>-100</v>
      </c>
      <c r="AK197" s="14">
        <f>-Rev_Exp!AK154</f>
        <v>-100</v>
      </c>
      <c r="AL197" s="14">
        <f>-Rev_Exp!AL154</f>
        <v>-100</v>
      </c>
      <c r="AM197" s="14">
        <f>-Rev_Exp!AM154</f>
        <v>-100</v>
      </c>
      <c r="AN197" s="14">
        <f>-Rev_Exp!AN154</f>
        <v>-100</v>
      </c>
      <c r="AO197" s="14">
        <f>-Rev_Exp!AO154</f>
        <v>-100</v>
      </c>
      <c r="AP197" s="14">
        <f>-Rev_Exp!AP154</f>
        <v>-100</v>
      </c>
      <c r="AQ197" s="14">
        <f>-Rev_Exp!AQ154</f>
        <v>-100</v>
      </c>
      <c r="AR197" s="14">
        <f>-Rev_Exp!AR154</f>
        <v>-100</v>
      </c>
      <c r="AS197" s="14">
        <f>-Rev_Exp!AS154</f>
        <v>-100</v>
      </c>
    </row>
    <row r="198" spans="3:45" hidden="1" outlineLevel="2" x14ac:dyDescent="0.15">
      <c r="C198" s="107" t="str">
        <f>Rev_Exp!B155</f>
        <v>Insurance</v>
      </c>
      <c r="J198" s="14">
        <f>-Rev_Exp!J155</f>
        <v>-166.66666666666666</v>
      </c>
      <c r="K198" s="14">
        <f>-Rev_Exp!K155</f>
        <v>-166.66666666666666</v>
      </c>
      <c r="L198" s="14">
        <f>-Rev_Exp!L155</f>
        <v>-166.66666666666666</v>
      </c>
      <c r="M198" s="14">
        <f>-Rev_Exp!M155</f>
        <v>-166.66666666666666</v>
      </c>
      <c r="N198" s="14">
        <f>-Rev_Exp!N155</f>
        <v>-166.66666666666666</v>
      </c>
      <c r="O198" s="14">
        <f>-Rev_Exp!O155</f>
        <v>-166.66666666666666</v>
      </c>
      <c r="P198" s="14">
        <f>-Rev_Exp!P155</f>
        <v>-166.66666666666666</v>
      </c>
      <c r="Q198" s="14">
        <f>-Rev_Exp!Q155</f>
        <v>-166.66666666666666</v>
      </c>
      <c r="R198" s="14">
        <f>-Rev_Exp!R155</f>
        <v>-166.66666666666666</v>
      </c>
      <c r="S198" s="14">
        <f>-Rev_Exp!S155</f>
        <v>-166.66666666666666</v>
      </c>
      <c r="T198" s="14">
        <f>-Rev_Exp!T155</f>
        <v>-166.66666666666666</v>
      </c>
      <c r="U198" s="14">
        <f>-Rev_Exp!U155</f>
        <v>-166.66666666666666</v>
      </c>
      <c r="V198" s="14">
        <f>-Rev_Exp!V155</f>
        <v>-166.66666666666666</v>
      </c>
      <c r="W198" s="14">
        <f>-Rev_Exp!W155</f>
        <v>-166.66666666666666</v>
      </c>
      <c r="X198" s="14">
        <f>-Rev_Exp!X155</f>
        <v>-166.66666666666666</v>
      </c>
      <c r="Y198" s="14">
        <f>-Rev_Exp!Y155</f>
        <v>-166.66666666666666</v>
      </c>
      <c r="Z198" s="14">
        <f>-Rev_Exp!Z155</f>
        <v>-166.66666666666666</v>
      </c>
      <c r="AA198" s="14">
        <f>-Rev_Exp!AA155</f>
        <v>-166.66666666666666</v>
      </c>
      <c r="AB198" s="14">
        <f>-Rev_Exp!AB155</f>
        <v>-166.66666666666666</v>
      </c>
      <c r="AC198" s="14">
        <f>-Rev_Exp!AC155</f>
        <v>-166.66666666666666</v>
      </c>
      <c r="AD198" s="14">
        <f>-Rev_Exp!AD155</f>
        <v>-166.66666666666666</v>
      </c>
      <c r="AE198" s="14">
        <f>-Rev_Exp!AE155</f>
        <v>-166.66666666666666</v>
      </c>
      <c r="AF198" s="14">
        <f>-Rev_Exp!AF155</f>
        <v>-166.66666666666666</v>
      </c>
      <c r="AG198" s="14">
        <f>-Rev_Exp!AG155</f>
        <v>-166.66666666666666</v>
      </c>
      <c r="AH198" s="14">
        <f>-Rev_Exp!AH155</f>
        <v>-166.66666666666666</v>
      </c>
      <c r="AI198" s="14">
        <f>-Rev_Exp!AI155</f>
        <v>-166.66666666666666</v>
      </c>
      <c r="AJ198" s="14">
        <f>-Rev_Exp!AJ155</f>
        <v>-166.66666666666666</v>
      </c>
      <c r="AK198" s="14">
        <f>-Rev_Exp!AK155</f>
        <v>-166.66666666666666</v>
      </c>
      <c r="AL198" s="14">
        <f>-Rev_Exp!AL155</f>
        <v>-166.66666666666666</v>
      </c>
      <c r="AM198" s="14">
        <f>-Rev_Exp!AM155</f>
        <v>-166.66666666666666</v>
      </c>
      <c r="AN198" s="14">
        <f>-Rev_Exp!AN155</f>
        <v>-166.66666666666666</v>
      </c>
      <c r="AO198" s="14">
        <f>-Rev_Exp!AO155</f>
        <v>-166.66666666666666</v>
      </c>
      <c r="AP198" s="14">
        <f>-Rev_Exp!AP155</f>
        <v>-166.66666666666666</v>
      </c>
      <c r="AQ198" s="14">
        <f>-Rev_Exp!AQ155</f>
        <v>-166.66666666666666</v>
      </c>
      <c r="AR198" s="14">
        <f>-Rev_Exp!AR155</f>
        <v>-166.66666666666666</v>
      </c>
      <c r="AS198" s="14">
        <f>-Rev_Exp!AS155</f>
        <v>-166.66666666666666</v>
      </c>
    </row>
    <row r="199" spans="3:45" hidden="1" outlineLevel="2" x14ac:dyDescent="0.15">
      <c r="C199" s="107" t="str">
        <f>Rev_Exp!B156</f>
        <v>HEMA Insurance</v>
      </c>
      <c r="J199" s="14">
        <f>-Rev_Exp!J156</f>
        <v>-75</v>
      </c>
      <c r="K199" s="14">
        <f>-Rev_Exp!K156</f>
        <v>-77.5</v>
      </c>
      <c r="L199" s="14">
        <f>-Rev_Exp!L156</f>
        <v>-80</v>
      </c>
      <c r="M199" s="14">
        <f>-Rev_Exp!M156</f>
        <v>-82.5</v>
      </c>
      <c r="N199" s="14">
        <f>-Rev_Exp!N156</f>
        <v>-85</v>
      </c>
      <c r="O199" s="14">
        <f>-Rev_Exp!O156</f>
        <v>-87.5</v>
      </c>
      <c r="P199" s="14">
        <f>-Rev_Exp!P156</f>
        <v>-90</v>
      </c>
      <c r="Q199" s="14">
        <f>-Rev_Exp!Q156</f>
        <v>-92.5</v>
      </c>
      <c r="R199" s="14">
        <f>-Rev_Exp!R156</f>
        <v>-95</v>
      </c>
      <c r="S199" s="14">
        <f>-Rev_Exp!S156</f>
        <v>-97.5</v>
      </c>
      <c r="T199" s="14">
        <f>-Rev_Exp!T156</f>
        <v>-100</v>
      </c>
      <c r="U199" s="14">
        <f>-Rev_Exp!U156</f>
        <v>-102.5</v>
      </c>
      <c r="V199" s="14">
        <f>-Rev_Exp!V156</f>
        <v>-105</v>
      </c>
      <c r="W199" s="14">
        <f>-Rev_Exp!W156</f>
        <v>-107.5</v>
      </c>
      <c r="X199" s="14">
        <f>-Rev_Exp!X156</f>
        <v>-110</v>
      </c>
      <c r="Y199" s="14">
        <f>-Rev_Exp!Y156</f>
        <v>-112.5</v>
      </c>
      <c r="Z199" s="14">
        <f>-Rev_Exp!Z156</f>
        <v>-115</v>
      </c>
      <c r="AA199" s="14">
        <f>-Rev_Exp!AA156</f>
        <v>-117.5</v>
      </c>
      <c r="AB199" s="14">
        <f>-Rev_Exp!AB156</f>
        <v>-120</v>
      </c>
      <c r="AC199" s="14">
        <f>-Rev_Exp!AC156</f>
        <v>-122.5</v>
      </c>
      <c r="AD199" s="14">
        <f>-Rev_Exp!AD156</f>
        <v>-125</v>
      </c>
      <c r="AE199" s="14">
        <f>-Rev_Exp!AE156</f>
        <v>-127.5</v>
      </c>
      <c r="AF199" s="14">
        <f>-Rev_Exp!AF156</f>
        <v>-130</v>
      </c>
      <c r="AG199" s="14">
        <f>-Rev_Exp!AG156</f>
        <v>-132.5</v>
      </c>
      <c r="AH199" s="14">
        <f>-Rev_Exp!AH156</f>
        <v>-135</v>
      </c>
      <c r="AI199" s="14">
        <f>-Rev_Exp!AI156</f>
        <v>-137.5</v>
      </c>
      <c r="AJ199" s="14">
        <f>-Rev_Exp!AJ156</f>
        <v>-140</v>
      </c>
      <c r="AK199" s="14">
        <f>-Rev_Exp!AK156</f>
        <v>-142.5</v>
      </c>
      <c r="AL199" s="14">
        <f>-Rev_Exp!AL156</f>
        <v>-145</v>
      </c>
      <c r="AM199" s="14">
        <f>-Rev_Exp!AM156</f>
        <v>-147.5</v>
      </c>
      <c r="AN199" s="14">
        <f>-Rev_Exp!AN156</f>
        <v>-150</v>
      </c>
      <c r="AO199" s="14">
        <f>-Rev_Exp!AO156</f>
        <v>-152.5</v>
      </c>
      <c r="AP199" s="14">
        <f>-Rev_Exp!AP156</f>
        <v>-155</v>
      </c>
      <c r="AQ199" s="14">
        <f>-Rev_Exp!AQ156</f>
        <v>-157.5</v>
      </c>
      <c r="AR199" s="14">
        <f>-Rev_Exp!AR156</f>
        <v>-160</v>
      </c>
      <c r="AS199" s="14">
        <f>-Rev_Exp!AS156</f>
        <v>-162.5</v>
      </c>
    </row>
    <row r="200" spans="3:45" hidden="1" outlineLevel="2" x14ac:dyDescent="0.15">
      <c r="C200" s="107" t="str">
        <f>Rev_Exp!B157</f>
        <v>Credit Card Fees</v>
      </c>
      <c r="J200" s="23">
        <f>-Rev_Exp!J157</f>
        <v>-74.163362580645156</v>
      </c>
      <c r="K200" s="23">
        <f>-Rev_Exp!K157</f>
        <v>-120.12989721333329</v>
      </c>
      <c r="L200" s="23">
        <f>-Rev_Exp!L157</f>
        <v>-124.48247793548387</v>
      </c>
      <c r="M200" s="23">
        <f>-Rev_Exp!M157</f>
        <v>-148.23814866666666</v>
      </c>
      <c r="N200" s="23">
        <f>-Rev_Exp!N157</f>
        <v>-63.759475810752676</v>
      </c>
      <c r="O200" s="23">
        <f>-Rev_Exp!O157</f>
        <v>-115.81937683870966</v>
      </c>
      <c r="P200" s="23">
        <f>-Rev_Exp!P157</f>
        <v>-133.64009706666667</v>
      </c>
      <c r="Q200" s="23">
        <f>-Rev_Exp!Q157</f>
        <v>-132.98644787526879</v>
      </c>
      <c r="R200" s="23">
        <f>-Rev_Exp!R157</f>
        <v>-107.85430832</v>
      </c>
      <c r="S200" s="23">
        <f>-Rev_Exp!S157</f>
        <v>-125.27913800860213</v>
      </c>
      <c r="T200" s="23">
        <f>-Rev_Exp!T157</f>
        <v>-123.61917333333332</v>
      </c>
      <c r="U200" s="23">
        <f>-Rev_Exp!U157</f>
        <v>-114.60041403870966</v>
      </c>
      <c r="V200" s="23">
        <f>-Rev_Exp!V157</f>
        <v>-104.37090873118279</v>
      </c>
      <c r="W200" s="23">
        <f>-Rev_Exp!W157</f>
        <v>-170.90405097333331</v>
      </c>
      <c r="X200" s="23">
        <f>-Rev_Exp!X157</f>
        <v>-182.112937032258</v>
      </c>
      <c r="Y200" s="23">
        <f>-Rev_Exp!Y157</f>
        <v>-198.75128166666664</v>
      </c>
      <c r="Z200" s="23">
        <f>-Rev_Exp!Z157</f>
        <v>-93.726549281720409</v>
      </c>
      <c r="AA200" s="23">
        <f>-Rev_Exp!AA157</f>
        <v>-160.31859175483871</v>
      </c>
      <c r="AB200" s="23">
        <f>-Rev_Exp!AB157</f>
        <v>-173.55753066666665</v>
      </c>
      <c r="AC200" s="23">
        <f>-Rev_Exp!AC157</f>
        <v>-178.26962015913978</v>
      </c>
      <c r="AD200" s="23">
        <f>-Rev_Exp!AD157</f>
        <v>-144.24093199999999</v>
      </c>
      <c r="AE200" s="23">
        <f>-Rev_Exp!AE157</f>
        <v>-160.93149704086022</v>
      </c>
      <c r="AF200" s="23">
        <f>-Rev_Exp!AF157</f>
        <v>-169.39155493333334</v>
      </c>
      <c r="AG200" s="23">
        <f>-Rev_Exp!AG157</f>
        <v>-150.94297424516125</v>
      </c>
      <c r="AH200" s="23">
        <f>-Rev_Exp!AH157</f>
        <v>-132.86323647311829</v>
      </c>
      <c r="AI200" s="23">
        <f>-Rev_Exp!AI157</f>
        <v>-230.16700813333335</v>
      </c>
      <c r="AJ200" s="23">
        <f>-Rev_Exp!AJ157</f>
        <v>-234.99010167741935</v>
      </c>
      <c r="AK200" s="23">
        <f>-Rev_Exp!AK157</f>
        <v>-234.00666666666663</v>
      </c>
      <c r="AL200" s="23">
        <f>-Rev_Exp!AL157</f>
        <v>-125.15029981075264</v>
      </c>
      <c r="AM200" s="23">
        <f>-Rev_Exp!AM157</f>
        <v>-197.84485855483871</v>
      </c>
      <c r="AN200" s="23">
        <f>-Rev_Exp!AN157</f>
        <v>-209.62274666666667</v>
      </c>
      <c r="AO200" s="23">
        <f>-Rev_Exp!AO157</f>
        <v>-222.83848097204302</v>
      </c>
      <c r="AP200" s="23">
        <f>-Rev_Exp!AP157</f>
        <v>-171.82755567999999</v>
      </c>
      <c r="AQ200" s="23">
        <f>-Rev_Exp!AQ157</f>
        <v>-185.24813777634407</v>
      </c>
      <c r="AR200" s="23">
        <f>-Rev_Exp!AR157</f>
        <v>-209.14961173333336</v>
      </c>
      <c r="AS200" s="23">
        <f>-Rev_Exp!AS157</f>
        <v>-178.48553445161289</v>
      </c>
    </row>
    <row r="201" spans="3:45" hidden="1" outlineLevel="2" x14ac:dyDescent="0.15">
      <c r="C201" s="107" t="str">
        <f>Rev_Exp!B158</f>
        <v>Cleaning &amp; Other</v>
      </c>
      <c r="J201" s="24">
        <f>-Rev_Exp!J158</f>
        <v>-200</v>
      </c>
      <c r="K201" s="24">
        <f>-Rev_Exp!K158</f>
        <v>-200</v>
      </c>
      <c r="L201" s="24">
        <f>-Rev_Exp!L158</f>
        <v>-200</v>
      </c>
      <c r="M201" s="24">
        <f>-Rev_Exp!M158</f>
        <v>-200</v>
      </c>
      <c r="N201" s="24">
        <f>-Rev_Exp!N158</f>
        <v>-200</v>
      </c>
      <c r="O201" s="24">
        <f>-Rev_Exp!O158</f>
        <v>-200</v>
      </c>
      <c r="P201" s="24">
        <f>-Rev_Exp!P158</f>
        <v>-200</v>
      </c>
      <c r="Q201" s="24">
        <f>-Rev_Exp!Q158</f>
        <v>-200</v>
      </c>
      <c r="R201" s="24">
        <f>-Rev_Exp!R158</f>
        <v>-200</v>
      </c>
      <c r="S201" s="24">
        <f>-Rev_Exp!S158</f>
        <v>-200</v>
      </c>
      <c r="T201" s="24">
        <f>-Rev_Exp!T158</f>
        <v>-200</v>
      </c>
      <c r="U201" s="24">
        <f>-Rev_Exp!U158</f>
        <v>-200</v>
      </c>
      <c r="V201" s="24">
        <f>-Rev_Exp!V158</f>
        <v>-200</v>
      </c>
      <c r="W201" s="24">
        <f>-Rev_Exp!W158</f>
        <v>-200</v>
      </c>
      <c r="X201" s="24">
        <f>-Rev_Exp!X158</f>
        <v>-200</v>
      </c>
      <c r="Y201" s="24">
        <f>-Rev_Exp!Y158</f>
        <v>-200</v>
      </c>
      <c r="Z201" s="24">
        <f>-Rev_Exp!Z158</f>
        <v>-200</v>
      </c>
      <c r="AA201" s="24">
        <f>-Rev_Exp!AA158</f>
        <v>-200</v>
      </c>
      <c r="AB201" s="24">
        <f>-Rev_Exp!AB158</f>
        <v>-200</v>
      </c>
      <c r="AC201" s="24">
        <f>-Rev_Exp!AC158</f>
        <v>-200</v>
      </c>
      <c r="AD201" s="24">
        <f>-Rev_Exp!AD158</f>
        <v>-200</v>
      </c>
      <c r="AE201" s="24">
        <f>-Rev_Exp!AE158</f>
        <v>-200</v>
      </c>
      <c r="AF201" s="24">
        <f>-Rev_Exp!AF158</f>
        <v>-200</v>
      </c>
      <c r="AG201" s="24">
        <f>-Rev_Exp!AG158</f>
        <v>-200</v>
      </c>
      <c r="AH201" s="24">
        <f>-Rev_Exp!AH158</f>
        <v>-200</v>
      </c>
      <c r="AI201" s="24">
        <f>-Rev_Exp!AI158</f>
        <v>-200</v>
      </c>
      <c r="AJ201" s="24">
        <f>-Rev_Exp!AJ158</f>
        <v>-200</v>
      </c>
      <c r="AK201" s="24">
        <f>-Rev_Exp!AK158</f>
        <v>-200</v>
      </c>
      <c r="AL201" s="24">
        <f>-Rev_Exp!AL158</f>
        <v>-200</v>
      </c>
      <c r="AM201" s="24">
        <f>-Rev_Exp!AM158</f>
        <v>-200</v>
      </c>
      <c r="AN201" s="24">
        <f>-Rev_Exp!AN158</f>
        <v>-200</v>
      </c>
      <c r="AO201" s="24">
        <f>-Rev_Exp!AO158</f>
        <v>-200</v>
      </c>
      <c r="AP201" s="24">
        <f>-Rev_Exp!AP158</f>
        <v>-200</v>
      </c>
      <c r="AQ201" s="24">
        <f>-Rev_Exp!AQ158</f>
        <v>-200</v>
      </c>
      <c r="AR201" s="24">
        <f>-Rev_Exp!AR158</f>
        <v>-200</v>
      </c>
      <c r="AS201" s="24">
        <f>-Rev_Exp!AS158</f>
        <v>-200</v>
      </c>
    </row>
    <row r="202" spans="3:45" hidden="1" outlineLevel="2" x14ac:dyDescent="0.15">
      <c r="C202" s="107" t="s">
        <v>68</v>
      </c>
      <c r="J202" s="14">
        <f t="shared" ref="J202:AS202" si="63">SUM(J194:J201)</f>
        <v>-6676.2466959139792</v>
      </c>
      <c r="K202" s="14">
        <f t="shared" si="63"/>
        <v>-6724.7132305466675</v>
      </c>
      <c r="L202" s="14">
        <f t="shared" si="63"/>
        <v>-6731.5658112688179</v>
      </c>
      <c r="M202" s="14">
        <f t="shared" si="63"/>
        <v>-6757.8214820000003</v>
      </c>
      <c r="N202" s="14">
        <f t="shared" si="63"/>
        <v>-6675.8428091440865</v>
      </c>
      <c r="O202" s="14">
        <f t="shared" si="63"/>
        <v>-6730.402710172044</v>
      </c>
      <c r="P202" s="14">
        <f t="shared" si="63"/>
        <v>-7865.8234304000007</v>
      </c>
      <c r="Q202" s="14">
        <f t="shared" si="63"/>
        <v>-7867.6697812086031</v>
      </c>
      <c r="R202" s="14">
        <f t="shared" si="63"/>
        <v>-7898.137641653334</v>
      </c>
      <c r="S202" s="14">
        <f t="shared" si="63"/>
        <v>-7971.162471341936</v>
      </c>
      <c r="T202" s="14">
        <f t="shared" si="63"/>
        <v>-7812.7025066666674</v>
      </c>
      <c r="U202" s="14">
        <f t="shared" si="63"/>
        <v>-7965.4837473720436</v>
      </c>
      <c r="V202" s="14">
        <f t="shared" si="63"/>
        <v>-7904.6542420645164</v>
      </c>
      <c r="W202" s="14">
        <f t="shared" si="63"/>
        <v>-7920.5873843066674</v>
      </c>
      <c r="X202" s="14">
        <f t="shared" si="63"/>
        <v>-8040.496270365592</v>
      </c>
      <c r="Y202" s="14">
        <f t="shared" si="63"/>
        <v>-7953.434615000001</v>
      </c>
      <c r="Z202" s="14">
        <f t="shared" si="63"/>
        <v>-7904.0098826150543</v>
      </c>
      <c r="AA202" s="14">
        <f t="shared" si="63"/>
        <v>-8026.2019250881731</v>
      </c>
      <c r="AB202" s="14">
        <f t="shared" si="63"/>
        <v>-7882.6408640000009</v>
      </c>
      <c r="AC202" s="14">
        <f t="shared" si="63"/>
        <v>-7942.9529534924741</v>
      </c>
      <c r="AD202" s="14">
        <f t="shared" si="63"/>
        <v>-7964.5242653333335</v>
      </c>
      <c r="AE202" s="14">
        <f t="shared" si="63"/>
        <v>-7983.7148303741942</v>
      </c>
      <c r="AF202" s="14">
        <f t="shared" si="63"/>
        <v>-7941.5748882666676</v>
      </c>
      <c r="AG202" s="14">
        <f t="shared" si="63"/>
        <v>-8031.8263075784953</v>
      </c>
      <c r="AH202" s="14">
        <f t="shared" si="63"/>
        <v>-7910.0465698064527</v>
      </c>
      <c r="AI202" s="14">
        <f t="shared" si="63"/>
        <v>-8062.9503414666669</v>
      </c>
      <c r="AJ202" s="14">
        <f t="shared" si="63"/>
        <v>-8123.3734350107534</v>
      </c>
      <c r="AK202" s="14">
        <f t="shared" si="63"/>
        <v>-7965.59</v>
      </c>
      <c r="AL202" s="14">
        <f t="shared" si="63"/>
        <v>-8018.5336331440867</v>
      </c>
      <c r="AM202" s="14">
        <f t="shared" si="63"/>
        <v>-8040.6281918881723</v>
      </c>
      <c r="AN202" s="14">
        <f t="shared" si="63"/>
        <v>-7948.7060800000008</v>
      </c>
      <c r="AO202" s="14">
        <f t="shared" si="63"/>
        <v>-8070.6218143053766</v>
      </c>
      <c r="AP202" s="14">
        <f t="shared" si="63"/>
        <v>-8022.1108890133337</v>
      </c>
      <c r="AQ202" s="14">
        <f t="shared" si="63"/>
        <v>-7984.9314711096786</v>
      </c>
      <c r="AR202" s="14">
        <f t="shared" si="63"/>
        <v>-8064.4329450666673</v>
      </c>
      <c r="AS202" s="14">
        <f t="shared" si="63"/>
        <v>-8089.3688677849468</v>
      </c>
    </row>
    <row r="203" spans="3:45" ht="6" hidden="1" customHeight="1" outlineLevel="2" x14ac:dyDescent="0.15"/>
    <row r="204" spans="3:45" hidden="1" outlineLevel="2" x14ac:dyDescent="0.15">
      <c r="C204" s="107" t="str">
        <f>WC!B127</f>
        <v>Inventory</v>
      </c>
      <c r="J204" s="24">
        <f ca="1">-WC!J127</f>
        <v>279</v>
      </c>
      <c r="K204" s="24">
        <f ca="1">-WC!K127</f>
        <v>0</v>
      </c>
      <c r="L204" s="24">
        <f ca="1">-WC!L127</f>
        <v>0</v>
      </c>
      <c r="M204" s="24">
        <f ca="1">-WC!M127</f>
        <v>0</v>
      </c>
      <c r="N204" s="24">
        <f ca="1">-WC!N127</f>
        <v>0</v>
      </c>
      <c r="O204" s="24">
        <f ca="1">-WC!O127</f>
        <v>0</v>
      </c>
      <c r="P204" s="24">
        <f ca="1">-WC!P127</f>
        <v>0</v>
      </c>
      <c r="Q204" s="24">
        <f ca="1">-WC!Q127</f>
        <v>0</v>
      </c>
      <c r="R204" s="24">
        <f ca="1">-WC!R127</f>
        <v>0</v>
      </c>
      <c r="S204" s="24">
        <f ca="1">-WC!S127</f>
        <v>0</v>
      </c>
      <c r="T204" s="24">
        <f ca="1">-WC!T127</f>
        <v>0</v>
      </c>
      <c r="U204" s="24">
        <f ca="1">-WC!U127</f>
        <v>0</v>
      </c>
      <c r="V204" s="24">
        <f ca="1">-WC!V127</f>
        <v>0</v>
      </c>
      <c r="W204" s="24">
        <f ca="1">-WC!W127</f>
        <v>0</v>
      </c>
      <c r="X204" s="24">
        <f ca="1">-WC!X127</f>
        <v>0</v>
      </c>
      <c r="Y204" s="24">
        <f ca="1">-WC!Y127</f>
        <v>0</v>
      </c>
      <c r="Z204" s="24">
        <f ca="1">-WC!Z127</f>
        <v>0</v>
      </c>
      <c r="AA204" s="24">
        <f ca="1">-WC!AA127</f>
        <v>0</v>
      </c>
      <c r="AB204" s="24">
        <f ca="1">-WC!AB127</f>
        <v>0</v>
      </c>
      <c r="AC204" s="24">
        <f ca="1">-WC!AC127</f>
        <v>0</v>
      </c>
      <c r="AD204" s="24">
        <f ca="1">-WC!AD127</f>
        <v>0</v>
      </c>
      <c r="AE204" s="24">
        <f ca="1">-WC!AE127</f>
        <v>0</v>
      </c>
      <c r="AF204" s="24">
        <f ca="1">-WC!AF127</f>
        <v>0</v>
      </c>
      <c r="AG204" s="24">
        <f ca="1">-WC!AG127</f>
        <v>0</v>
      </c>
      <c r="AH204" s="24">
        <f ca="1">-WC!AH127</f>
        <v>0</v>
      </c>
      <c r="AI204" s="24">
        <f ca="1">-WC!AI127</f>
        <v>0</v>
      </c>
      <c r="AJ204" s="24">
        <f ca="1">-WC!AJ127</f>
        <v>0</v>
      </c>
      <c r="AK204" s="24">
        <f ca="1">-WC!AK127</f>
        <v>0</v>
      </c>
      <c r="AL204" s="24">
        <f ca="1">-WC!AL127</f>
        <v>0</v>
      </c>
      <c r="AM204" s="24">
        <f ca="1">-WC!AM127</f>
        <v>0</v>
      </c>
      <c r="AN204" s="24">
        <f ca="1">-WC!AN127</f>
        <v>0</v>
      </c>
      <c r="AO204" s="24">
        <f ca="1">-WC!AO127</f>
        <v>0</v>
      </c>
      <c r="AP204" s="24">
        <f ca="1">-WC!AP127</f>
        <v>0</v>
      </c>
      <c r="AQ204" s="24">
        <f ca="1">-WC!AQ127</f>
        <v>0</v>
      </c>
      <c r="AR204" s="24">
        <f ca="1">-WC!AR127</f>
        <v>0</v>
      </c>
      <c r="AS204" s="24">
        <f ca="1">-WC!AS127</f>
        <v>0</v>
      </c>
    </row>
    <row r="205" spans="3:45" hidden="1" outlineLevel="2" x14ac:dyDescent="0.15">
      <c r="C205" s="107" t="s">
        <v>121</v>
      </c>
      <c r="J205" s="14">
        <f t="shared" ref="J205:AS205" ca="1" si="64">SUM(J204:J204)</f>
        <v>279</v>
      </c>
      <c r="K205" s="14">
        <f t="shared" ca="1" si="64"/>
        <v>0</v>
      </c>
      <c r="L205" s="14">
        <f t="shared" ca="1" si="64"/>
        <v>0</v>
      </c>
      <c r="M205" s="14">
        <f t="shared" ca="1" si="64"/>
        <v>0</v>
      </c>
      <c r="N205" s="14">
        <f t="shared" ca="1" si="64"/>
        <v>0</v>
      </c>
      <c r="O205" s="14">
        <f t="shared" ca="1" si="64"/>
        <v>0</v>
      </c>
      <c r="P205" s="14">
        <f t="shared" ca="1" si="64"/>
        <v>0</v>
      </c>
      <c r="Q205" s="14">
        <f t="shared" ca="1" si="64"/>
        <v>0</v>
      </c>
      <c r="R205" s="14">
        <f t="shared" ca="1" si="64"/>
        <v>0</v>
      </c>
      <c r="S205" s="14">
        <f t="shared" ca="1" si="64"/>
        <v>0</v>
      </c>
      <c r="T205" s="14">
        <f t="shared" ca="1" si="64"/>
        <v>0</v>
      </c>
      <c r="U205" s="14">
        <f t="shared" ca="1" si="64"/>
        <v>0</v>
      </c>
      <c r="V205" s="14">
        <f t="shared" ca="1" si="64"/>
        <v>0</v>
      </c>
      <c r="W205" s="14">
        <f t="shared" ca="1" si="64"/>
        <v>0</v>
      </c>
      <c r="X205" s="14">
        <f t="shared" ca="1" si="64"/>
        <v>0</v>
      </c>
      <c r="Y205" s="14">
        <f t="shared" ca="1" si="64"/>
        <v>0</v>
      </c>
      <c r="Z205" s="14">
        <f t="shared" ca="1" si="64"/>
        <v>0</v>
      </c>
      <c r="AA205" s="14">
        <f t="shared" ca="1" si="64"/>
        <v>0</v>
      </c>
      <c r="AB205" s="14">
        <f t="shared" ca="1" si="64"/>
        <v>0</v>
      </c>
      <c r="AC205" s="14">
        <f t="shared" ca="1" si="64"/>
        <v>0</v>
      </c>
      <c r="AD205" s="14">
        <f t="shared" ca="1" si="64"/>
        <v>0</v>
      </c>
      <c r="AE205" s="14">
        <f t="shared" ca="1" si="64"/>
        <v>0</v>
      </c>
      <c r="AF205" s="14">
        <f t="shared" ca="1" si="64"/>
        <v>0</v>
      </c>
      <c r="AG205" s="14">
        <f t="shared" ca="1" si="64"/>
        <v>0</v>
      </c>
      <c r="AH205" s="14">
        <f t="shared" ca="1" si="64"/>
        <v>0</v>
      </c>
      <c r="AI205" s="14">
        <f t="shared" ca="1" si="64"/>
        <v>0</v>
      </c>
      <c r="AJ205" s="14">
        <f t="shared" ca="1" si="64"/>
        <v>0</v>
      </c>
      <c r="AK205" s="14">
        <f t="shared" ca="1" si="64"/>
        <v>0</v>
      </c>
      <c r="AL205" s="14">
        <f t="shared" ca="1" si="64"/>
        <v>0</v>
      </c>
      <c r="AM205" s="14">
        <f t="shared" ca="1" si="64"/>
        <v>0</v>
      </c>
      <c r="AN205" s="14">
        <f t="shared" ca="1" si="64"/>
        <v>0</v>
      </c>
      <c r="AO205" s="14">
        <f t="shared" ca="1" si="64"/>
        <v>0</v>
      </c>
      <c r="AP205" s="14">
        <f t="shared" ca="1" si="64"/>
        <v>0</v>
      </c>
      <c r="AQ205" s="14">
        <f t="shared" ca="1" si="64"/>
        <v>0</v>
      </c>
      <c r="AR205" s="14">
        <f t="shared" ca="1" si="64"/>
        <v>0</v>
      </c>
      <c r="AS205" s="14">
        <f t="shared" ca="1" si="64"/>
        <v>0</v>
      </c>
    </row>
    <row r="206" spans="3:45" ht="6" hidden="1" customHeight="1" outlineLevel="2" x14ac:dyDescent="0.15"/>
    <row r="207" spans="3:45" hidden="1" outlineLevel="2" x14ac:dyDescent="0.15">
      <c r="C207" s="107" t="str">
        <f>WC!B222</f>
        <v>Creditors (Monthly)</v>
      </c>
      <c r="J207" s="23">
        <f>WC!J222</f>
        <v>-4844.322580645161</v>
      </c>
      <c r="K207" s="23">
        <f>WC!K222</f>
        <v>10.322580645161281</v>
      </c>
      <c r="L207" s="23">
        <f>WC!L222</f>
        <v>-10.322580645161281</v>
      </c>
      <c r="M207" s="23">
        <f>WC!M222</f>
        <v>10.322580645161281</v>
      </c>
      <c r="N207" s="23">
        <f>WC!N222</f>
        <v>-10.322580645161281</v>
      </c>
      <c r="O207" s="23">
        <f>WC!O222</f>
        <v>0</v>
      </c>
      <c r="P207" s="23">
        <f>WC!P222</f>
        <v>20.645161290322562</v>
      </c>
      <c r="Q207" s="23">
        <f>WC!Q222</f>
        <v>-20.645161290322562</v>
      </c>
      <c r="R207" s="23">
        <f>WC!R222</f>
        <v>10.322580645161281</v>
      </c>
      <c r="S207" s="23">
        <f>WC!S222</f>
        <v>-10.322580645161281</v>
      </c>
      <c r="T207" s="23">
        <f>WC!T222</f>
        <v>10.322580645161281</v>
      </c>
      <c r="U207" s="23">
        <f>WC!U222</f>
        <v>-10.322580645161281</v>
      </c>
      <c r="V207" s="23">
        <f>WC!V222</f>
        <v>0</v>
      </c>
      <c r="W207" s="23">
        <f>WC!W222</f>
        <v>10.322580645161281</v>
      </c>
      <c r="X207" s="23">
        <f>WC!X222</f>
        <v>-10.322580645161281</v>
      </c>
      <c r="Y207" s="23">
        <f>WC!Y222</f>
        <v>10.322580645161281</v>
      </c>
      <c r="Z207" s="23">
        <f>WC!Z222</f>
        <v>-10.322580645161281</v>
      </c>
      <c r="AA207" s="23">
        <f>WC!AA222</f>
        <v>0</v>
      </c>
      <c r="AB207" s="23">
        <f>WC!AB222</f>
        <v>30.9677419354839</v>
      </c>
      <c r="AC207" s="23">
        <f>WC!AC222</f>
        <v>-30.967741935483843</v>
      </c>
      <c r="AD207" s="23">
        <f>WC!AD222</f>
        <v>10.322580645161281</v>
      </c>
      <c r="AE207" s="23">
        <f>WC!AE222</f>
        <v>-10.322580645161281</v>
      </c>
      <c r="AF207" s="23">
        <f>WC!AF222</f>
        <v>10.322580645161281</v>
      </c>
      <c r="AG207" s="23">
        <f>WC!AG222</f>
        <v>-10.322580645161281</v>
      </c>
      <c r="AH207" s="23">
        <f>WC!AH222</f>
        <v>0</v>
      </c>
      <c r="AI207" s="23">
        <f>WC!AI222</f>
        <v>10.322580645161281</v>
      </c>
      <c r="AJ207" s="23">
        <f>WC!AJ222</f>
        <v>-10.322580645161281</v>
      </c>
      <c r="AK207" s="23">
        <f>WC!AK222</f>
        <v>10.322580645161281</v>
      </c>
      <c r="AL207" s="23">
        <f>WC!AL222</f>
        <v>-10.322580645161281</v>
      </c>
      <c r="AM207" s="23">
        <f>WC!AM222</f>
        <v>0</v>
      </c>
      <c r="AN207" s="23">
        <f>WC!AN222</f>
        <v>30.9677419354839</v>
      </c>
      <c r="AO207" s="23">
        <f>WC!AO222</f>
        <v>-30.967741935483843</v>
      </c>
      <c r="AP207" s="23">
        <f>WC!AP222</f>
        <v>10.322580645161281</v>
      </c>
      <c r="AQ207" s="23">
        <f>WC!AQ222</f>
        <v>-10.322580645161281</v>
      </c>
      <c r="AR207" s="23">
        <f>WC!AR222</f>
        <v>10.322580645161281</v>
      </c>
      <c r="AS207" s="23">
        <f>WC!AS222</f>
        <v>-10.322580645161281</v>
      </c>
    </row>
    <row r="208" spans="3:45" hidden="1" outlineLevel="2" collapsed="1" x14ac:dyDescent="0.15">
      <c r="C208" s="107" t="str">
        <f>WC!B223</f>
        <v>Creditors (Quarterly)</v>
      </c>
      <c r="J208" s="24">
        <f>WC!J223</f>
        <v>7007.1413978494629</v>
      </c>
      <c r="K208" s="24">
        <f>WC!K223</f>
        <v>-8508.1413978494638</v>
      </c>
      <c r="L208" s="24">
        <f>WC!L223</f>
        <v>8008.6200000000008</v>
      </c>
      <c r="M208" s="24">
        <f>WC!M223</f>
        <v>7750.2774193548394</v>
      </c>
      <c r="N208" s="24">
        <f>WC!N223</f>
        <v>-15758.897419354842</v>
      </c>
      <c r="O208" s="24">
        <f>WC!O223</f>
        <v>8042.0800000000008</v>
      </c>
      <c r="P208" s="24">
        <f>WC!P223</f>
        <v>7975.1600000000008</v>
      </c>
      <c r="Q208" s="24">
        <f>WC!Q223</f>
        <v>-16017.240000000002</v>
      </c>
      <c r="R208" s="24">
        <f>WC!R223</f>
        <v>8008.6200000000008</v>
      </c>
      <c r="S208" s="24">
        <f>WC!S223</f>
        <v>7515.7040645161296</v>
      </c>
      <c r="T208" s="24">
        <f>WC!T223</f>
        <v>-15524.324064516131</v>
      </c>
      <c r="U208" s="24">
        <f>WC!U223</f>
        <v>8042.0800000000008</v>
      </c>
      <c r="V208" s="24">
        <f>WC!V223</f>
        <v>7333.2012903225814</v>
      </c>
      <c r="W208" s="24">
        <f>WC!W223</f>
        <v>-15375.281290322582</v>
      </c>
      <c r="X208" s="24">
        <f>WC!X223</f>
        <v>8152.02</v>
      </c>
      <c r="Y208" s="24">
        <f>WC!Y223</f>
        <v>7812.5716129032262</v>
      </c>
      <c r="Z208" s="24">
        <f>WC!Z223</f>
        <v>-15964.591612903228</v>
      </c>
      <c r="AA208" s="24">
        <f>WC!AA223</f>
        <v>8152.02</v>
      </c>
      <c r="AB208" s="24">
        <f>WC!AB223</f>
        <v>8037.3000000000011</v>
      </c>
      <c r="AC208" s="24">
        <f>WC!AC223</f>
        <v>-15926.351612903225</v>
      </c>
      <c r="AD208" s="24">
        <f>WC!AD223</f>
        <v>7955.9716129032258</v>
      </c>
      <c r="AE208" s="24">
        <f>WC!AE223</f>
        <v>7679.8482365591408</v>
      </c>
      <c r="AF208" s="24">
        <f>WC!AF223</f>
        <v>-15898.788236559139</v>
      </c>
      <c r="AG208" s="24">
        <f>WC!AG223</f>
        <v>8261.9600000000009</v>
      </c>
      <c r="AH208" s="24">
        <f>WC!AH223</f>
        <v>7379.1509677419363</v>
      </c>
      <c r="AI208" s="24">
        <f>WC!AI223</f>
        <v>-15641.110967741935</v>
      </c>
      <c r="AJ208" s="24">
        <f>WC!AJ223</f>
        <v>8261.9600000000009</v>
      </c>
      <c r="AK208" s="24">
        <f>WC!AK223</f>
        <v>7866.3851612903227</v>
      </c>
      <c r="AL208" s="24">
        <f>WC!AL223</f>
        <v>-16128.345161290325</v>
      </c>
      <c r="AM208" s="24">
        <f>WC!AM223</f>
        <v>8324.1</v>
      </c>
      <c r="AN208" s="24">
        <f>WC!AN223</f>
        <v>8228.5000000000018</v>
      </c>
      <c r="AO208" s="24">
        <f>WC!AO223</f>
        <v>-16284.080645161293</v>
      </c>
      <c r="AP208" s="24">
        <f>WC!AP223</f>
        <v>8055.5806451612907</v>
      </c>
      <c r="AQ208" s="24">
        <f>WC!AQ223</f>
        <v>7731.8525806451626</v>
      </c>
      <c r="AR208" s="24">
        <f>WC!AR223</f>
        <v>-16055.952580645162</v>
      </c>
      <c r="AS208" s="24">
        <f>WC!AS223</f>
        <v>8371.9000000000015</v>
      </c>
    </row>
    <row r="209" spans="2:45" hidden="1" outlineLevel="2" x14ac:dyDescent="0.15">
      <c r="C209" s="107" t="s">
        <v>122</v>
      </c>
      <c r="J209" s="14">
        <f t="shared" ref="J209:AS209" si="65">SUM(J207:J208)</f>
        <v>2162.8188172043019</v>
      </c>
      <c r="K209" s="14">
        <f t="shared" si="65"/>
        <v>-8497.8188172043028</v>
      </c>
      <c r="L209" s="14">
        <f t="shared" si="65"/>
        <v>7998.2974193548398</v>
      </c>
      <c r="M209" s="14">
        <f t="shared" si="65"/>
        <v>7760.6</v>
      </c>
      <c r="N209" s="14">
        <f t="shared" si="65"/>
        <v>-15769.220000000003</v>
      </c>
      <c r="O209" s="14">
        <f t="shared" si="65"/>
        <v>8042.0800000000008</v>
      </c>
      <c r="P209" s="14">
        <f t="shared" si="65"/>
        <v>7995.8051612903237</v>
      </c>
      <c r="Q209" s="14">
        <f t="shared" si="65"/>
        <v>-16037.885161290324</v>
      </c>
      <c r="R209" s="14">
        <f t="shared" si="65"/>
        <v>8018.9425806451618</v>
      </c>
      <c r="S209" s="14">
        <f t="shared" si="65"/>
        <v>7505.3814838709686</v>
      </c>
      <c r="T209" s="14">
        <f t="shared" si="65"/>
        <v>-15514.00148387097</v>
      </c>
      <c r="U209" s="14">
        <f t="shared" si="65"/>
        <v>8031.7574193548398</v>
      </c>
      <c r="V209" s="14">
        <f t="shared" si="65"/>
        <v>7333.2012903225814</v>
      </c>
      <c r="W209" s="14">
        <f t="shared" si="65"/>
        <v>-15364.958709677421</v>
      </c>
      <c r="X209" s="14">
        <f t="shared" si="65"/>
        <v>8141.6974193548394</v>
      </c>
      <c r="Y209" s="14">
        <f t="shared" si="65"/>
        <v>7822.8941935483872</v>
      </c>
      <c r="Z209" s="14">
        <f t="shared" si="65"/>
        <v>-15974.914193548389</v>
      </c>
      <c r="AA209" s="14">
        <f t="shared" si="65"/>
        <v>8152.02</v>
      </c>
      <c r="AB209" s="14">
        <f t="shared" si="65"/>
        <v>8068.267741935485</v>
      </c>
      <c r="AC209" s="14">
        <f t="shared" si="65"/>
        <v>-15957.319354838708</v>
      </c>
      <c r="AD209" s="14">
        <f t="shared" si="65"/>
        <v>7966.2941935483868</v>
      </c>
      <c r="AE209" s="14">
        <f t="shared" si="65"/>
        <v>7669.5256559139798</v>
      </c>
      <c r="AF209" s="14">
        <f t="shared" si="65"/>
        <v>-15888.465655913978</v>
      </c>
      <c r="AG209" s="14">
        <f t="shared" si="65"/>
        <v>8251.6374193548399</v>
      </c>
      <c r="AH209" s="14">
        <f t="shared" si="65"/>
        <v>7379.1509677419363</v>
      </c>
      <c r="AI209" s="14">
        <f t="shared" si="65"/>
        <v>-15630.788387096774</v>
      </c>
      <c r="AJ209" s="14">
        <f t="shared" si="65"/>
        <v>8251.6374193548399</v>
      </c>
      <c r="AK209" s="14">
        <f t="shared" si="65"/>
        <v>7876.7077419354837</v>
      </c>
      <c r="AL209" s="14">
        <f t="shared" si="65"/>
        <v>-16138.667741935486</v>
      </c>
      <c r="AM209" s="14">
        <f t="shared" si="65"/>
        <v>8324.1</v>
      </c>
      <c r="AN209" s="14">
        <f t="shared" si="65"/>
        <v>8259.4677419354848</v>
      </c>
      <c r="AO209" s="14">
        <f t="shared" si="65"/>
        <v>-16315.048387096776</v>
      </c>
      <c r="AP209" s="14">
        <f t="shared" si="65"/>
        <v>8065.9032258064517</v>
      </c>
      <c r="AQ209" s="14">
        <f t="shared" si="65"/>
        <v>7721.5300000000016</v>
      </c>
      <c r="AR209" s="14">
        <f t="shared" si="65"/>
        <v>-16045.630000000001</v>
      </c>
      <c r="AS209" s="14">
        <f t="shared" si="65"/>
        <v>8361.5774193548405</v>
      </c>
    </row>
    <row r="210" spans="2:45" ht="6" hidden="1" customHeight="1" outlineLevel="2" x14ac:dyDescent="0.15"/>
    <row r="211" spans="2:45" hidden="1" outlineLevel="2" x14ac:dyDescent="0.15">
      <c r="C211" s="107" t="str">
        <f>WC!B284</f>
        <v>Inventory Payables Category 1</v>
      </c>
      <c r="J211" s="24">
        <f>WC!J284</f>
        <v>0</v>
      </c>
      <c r="K211" s="24">
        <f>WC!K284</f>
        <v>0</v>
      </c>
      <c r="L211" s="24">
        <f>WC!L284</f>
        <v>0</v>
      </c>
      <c r="M211" s="24">
        <f>WC!M284</f>
        <v>0</v>
      </c>
      <c r="N211" s="24">
        <f>WC!N284</f>
        <v>0</v>
      </c>
      <c r="O211" s="24">
        <f>WC!O284</f>
        <v>0</v>
      </c>
      <c r="P211" s="24">
        <f>WC!P284</f>
        <v>0</v>
      </c>
      <c r="Q211" s="24">
        <f>WC!Q284</f>
        <v>0</v>
      </c>
      <c r="R211" s="24">
        <f>WC!R284</f>
        <v>0</v>
      </c>
      <c r="S211" s="24">
        <f>WC!S284</f>
        <v>0</v>
      </c>
      <c r="T211" s="24">
        <f>WC!T284</f>
        <v>0</v>
      </c>
      <c r="U211" s="24">
        <f>WC!U284</f>
        <v>0</v>
      </c>
      <c r="V211" s="24">
        <f>WC!V284</f>
        <v>0</v>
      </c>
      <c r="W211" s="24">
        <f>WC!W284</f>
        <v>0</v>
      </c>
      <c r="X211" s="24">
        <f>WC!X284</f>
        <v>0</v>
      </c>
      <c r="Y211" s="24">
        <f>WC!Y284</f>
        <v>0</v>
      </c>
      <c r="Z211" s="24">
        <f>WC!Z284</f>
        <v>0</v>
      </c>
      <c r="AA211" s="24">
        <f>WC!AA284</f>
        <v>0</v>
      </c>
      <c r="AB211" s="24">
        <f>WC!AB284</f>
        <v>0</v>
      </c>
      <c r="AC211" s="24">
        <f>WC!AC284</f>
        <v>0</v>
      </c>
      <c r="AD211" s="24">
        <f>WC!AD284</f>
        <v>0</v>
      </c>
      <c r="AE211" s="24">
        <f>WC!AE284</f>
        <v>0</v>
      </c>
      <c r="AF211" s="24">
        <f>WC!AF284</f>
        <v>0</v>
      </c>
      <c r="AG211" s="24">
        <f>WC!AG284</f>
        <v>0</v>
      </c>
      <c r="AH211" s="24">
        <f>WC!AH284</f>
        <v>0</v>
      </c>
      <c r="AI211" s="24">
        <f>WC!AI284</f>
        <v>0</v>
      </c>
      <c r="AJ211" s="24">
        <f>WC!AJ284</f>
        <v>0</v>
      </c>
      <c r="AK211" s="24">
        <f>WC!AK284</f>
        <v>0</v>
      </c>
      <c r="AL211" s="24">
        <f>WC!AL284</f>
        <v>0</v>
      </c>
      <c r="AM211" s="24">
        <f>WC!AM284</f>
        <v>0</v>
      </c>
      <c r="AN211" s="24">
        <f>WC!AN284</f>
        <v>0</v>
      </c>
      <c r="AO211" s="24">
        <f>WC!AO284</f>
        <v>0</v>
      </c>
      <c r="AP211" s="24">
        <f>WC!AP284</f>
        <v>0</v>
      </c>
      <c r="AQ211" s="24">
        <f>WC!AQ284</f>
        <v>0</v>
      </c>
      <c r="AR211" s="24">
        <f>WC!AR284</f>
        <v>0</v>
      </c>
      <c r="AS211" s="24">
        <f>WC!AS284</f>
        <v>0</v>
      </c>
    </row>
    <row r="212" spans="2:45" hidden="1" outlineLevel="2" x14ac:dyDescent="0.15">
      <c r="C212" s="107" t="s">
        <v>123</v>
      </c>
      <c r="J212" s="14">
        <f t="shared" ref="J212:AS212" si="66">SUM(J211:J211)</f>
        <v>0</v>
      </c>
      <c r="K212" s="14">
        <f t="shared" si="66"/>
        <v>0</v>
      </c>
      <c r="L212" s="14">
        <f t="shared" si="66"/>
        <v>0</v>
      </c>
      <c r="M212" s="14">
        <f t="shared" si="66"/>
        <v>0</v>
      </c>
      <c r="N212" s="14">
        <f t="shared" si="66"/>
        <v>0</v>
      </c>
      <c r="O212" s="14">
        <f t="shared" si="66"/>
        <v>0</v>
      </c>
      <c r="P212" s="14">
        <f t="shared" si="66"/>
        <v>0</v>
      </c>
      <c r="Q212" s="14">
        <f t="shared" si="66"/>
        <v>0</v>
      </c>
      <c r="R212" s="14">
        <f t="shared" si="66"/>
        <v>0</v>
      </c>
      <c r="S212" s="14">
        <f t="shared" si="66"/>
        <v>0</v>
      </c>
      <c r="T212" s="14">
        <f t="shared" si="66"/>
        <v>0</v>
      </c>
      <c r="U212" s="14">
        <f t="shared" si="66"/>
        <v>0</v>
      </c>
      <c r="V212" s="14">
        <f t="shared" si="66"/>
        <v>0</v>
      </c>
      <c r="W212" s="14">
        <f t="shared" si="66"/>
        <v>0</v>
      </c>
      <c r="X212" s="14">
        <f t="shared" si="66"/>
        <v>0</v>
      </c>
      <c r="Y212" s="14">
        <f t="shared" si="66"/>
        <v>0</v>
      </c>
      <c r="Z212" s="14">
        <f t="shared" si="66"/>
        <v>0</v>
      </c>
      <c r="AA212" s="14">
        <f t="shared" si="66"/>
        <v>0</v>
      </c>
      <c r="AB212" s="14">
        <f t="shared" si="66"/>
        <v>0</v>
      </c>
      <c r="AC212" s="14">
        <f t="shared" si="66"/>
        <v>0</v>
      </c>
      <c r="AD212" s="14">
        <f t="shared" si="66"/>
        <v>0</v>
      </c>
      <c r="AE212" s="14">
        <f t="shared" si="66"/>
        <v>0</v>
      </c>
      <c r="AF212" s="14">
        <f t="shared" si="66"/>
        <v>0</v>
      </c>
      <c r="AG212" s="14">
        <f t="shared" si="66"/>
        <v>0</v>
      </c>
      <c r="AH212" s="14">
        <f t="shared" si="66"/>
        <v>0</v>
      </c>
      <c r="AI212" s="14">
        <f t="shared" si="66"/>
        <v>0</v>
      </c>
      <c r="AJ212" s="14">
        <f t="shared" si="66"/>
        <v>0</v>
      </c>
      <c r="AK212" s="14">
        <f t="shared" si="66"/>
        <v>0</v>
      </c>
      <c r="AL212" s="14">
        <f t="shared" si="66"/>
        <v>0</v>
      </c>
      <c r="AM212" s="14">
        <f t="shared" si="66"/>
        <v>0</v>
      </c>
      <c r="AN212" s="14">
        <f t="shared" si="66"/>
        <v>0</v>
      </c>
      <c r="AO212" s="14">
        <f t="shared" si="66"/>
        <v>0</v>
      </c>
      <c r="AP212" s="14">
        <f t="shared" si="66"/>
        <v>0</v>
      </c>
      <c r="AQ212" s="14">
        <f t="shared" si="66"/>
        <v>0</v>
      </c>
      <c r="AR212" s="14">
        <f t="shared" si="66"/>
        <v>0</v>
      </c>
      <c r="AS212" s="14">
        <f t="shared" si="66"/>
        <v>0</v>
      </c>
    </row>
    <row r="213" spans="2:45" ht="6" hidden="1" customHeight="1" outlineLevel="2" x14ac:dyDescent="0.15"/>
    <row r="214" spans="2:45" hidden="1" outlineLevel="2" collapsed="1" x14ac:dyDescent="0.15">
      <c r="C214" s="107" t="str">
        <f>Rev_Exp!B203</f>
        <v>Other Expenses - Cash Payments</v>
      </c>
      <c r="J214" s="23">
        <f>Rev_Exp!J203</f>
        <v>0</v>
      </c>
      <c r="K214" s="23">
        <f>Rev_Exp!K203</f>
        <v>0</v>
      </c>
      <c r="L214" s="23">
        <f>Rev_Exp!L203</f>
        <v>0</v>
      </c>
      <c r="M214" s="23">
        <f>Rev_Exp!M203</f>
        <v>0</v>
      </c>
      <c r="N214" s="23">
        <f>Rev_Exp!N203</f>
        <v>0</v>
      </c>
      <c r="O214" s="23">
        <f>Rev_Exp!O203</f>
        <v>0</v>
      </c>
      <c r="P214" s="23">
        <f>Rev_Exp!P203</f>
        <v>0</v>
      </c>
      <c r="Q214" s="23">
        <f>Rev_Exp!Q203</f>
        <v>0</v>
      </c>
      <c r="R214" s="23">
        <f>Rev_Exp!R203</f>
        <v>0</v>
      </c>
      <c r="S214" s="23">
        <f>Rev_Exp!S203</f>
        <v>0</v>
      </c>
      <c r="T214" s="23">
        <f>Rev_Exp!T203</f>
        <v>0</v>
      </c>
      <c r="U214" s="23">
        <f>Rev_Exp!U203</f>
        <v>0</v>
      </c>
      <c r="V214" s="23">
        <f>Rev_Exp!V203</f>
        <v>0</v>
      </c>
      <c r="W214" s="23">
        <f>Rev_Exp!W203</f>
        <v>0</v>
      </c>
      <c r="X214" s="23">
        <f>Rev_Exp!X203</f>
        <v>0</v>
      </c>
      <c r="Y214" s="23">
        <f>Rev_Exp!Y203</f>
        <v>0</v>
      </c>
      <c r="Z214" s="23">
        <f>Rev_Exp!Z203</f>
        <v>0</v>
      </c>
      <c r="AA214" s="23">
        <f>Rev_Exp!AA203</f>
        <v>0</v>
      </c>
      <c r="AB214" s="23">
        <f>Rev_Exp!AB203</f>
        <v>0</v>
      </c>
      <c r="AC214" s="23">
        <f>Rev_Exp!AC203</f>
        <v>0</v>
      </c>
      <c r="AD214" s="23">
        <f>Rev_Exp!AD203</f>
        <v>0</v>
      </c>
      <c r="AE214" s="23">
        <f>Rev_Exp!AE203</f>
        <v>0</v>
      </c>
      <c r="AF214" s="23">
        <f>Rev_Exp!AF203</f>
        <v>0</v>
      </c>
      <c r="AG214" s="23">
        <f>Rev_Exp!AG203</f>
        <v>0</v>
      </c>
      <c r="AH214" s="23">
        <f>Rev_Exp!AH203</f>
        <v>0</v>
      </c>
      <c r="AI214" s="23">
        <f>Rev_Exp!AI203</f>
        <v>0</v>
      </c>
      <c r="AJ214" s="23">
        <f>Rev_Exp!AJ203</f>
        <v>0</v>
      </c>
      <c r="AK214" s="23">
        <f>Rev_Exp!AK203</f>
        <v>0</v>
      </c>
      <c r="AL214" s="23">
        <f>Rev_Exp!AL203</f>
        <v>0</v>
      </c>
      <c r="AM214" s="23">
        <f>Rev_Exp!AM203</f>
        <v>0</v>
      </c>
      <c r="AN214" s="23">
        <f>Rev_Exp!AN203</f>
        <v>0</v>
      </c>
      <c r="AO214" s="23">
        <f>Rev_Exp!AO203</f>
        <v>0</v>
      </c>
      <c r="AP214" s="23">
        <f>Rev_Exp!AP203</f>
        <v>0</v>
      </c>
      <c r="AQ214" s="23">
        <f>Rev_Exp!AQ203</f>
        <v>0</v>
      </c>
      <c r="AR214" s="23">
        <f>Rev_Exp!AR203</f>
        <v>0</v>
      </c>
      <c r="AS214" s="23">
        <f>Rev_Exp!AS203</f>
        <v>0</v>
      </c>
    </row>
    <row r="215" spans="2:45" hidden="1" outlineLevel="2" collapsed="1" x14ac:dyDescent="0.15">
      <c r="C215" s="107" t="str">
        <f>Other!B111</f>
        <v>Other Current Liabilities - Cash Payments</v>
      </c>
      <c r="J215" s="24">
        <f>Other!J111</f>
        <v>0</v>
      </c>
      <c r="K215" s="24">
        <f>Other!K111</f>
        <v>0</v>
      </c>
      <c r="L215" s="24">
        <f>Other!L111</f>
        <v>0</v>
      </c>
      <c r="M215" s="24">
        <f>Other!M111</f>
        <v>0</v>
      </c>
      <c r="N215" s="24">
        <f>Other!N111</f>
        <v>0</v>
      </c>
      <c r="O215" s="24">
        <f>Other!O111</f>
        <v>0</v>
      </c>
      <c r="P215" s="24">
        <f>Other!P111</f>
        <v>0</v>
      </c>
      <c r="Q215" s="24">
        <f>Other!Q111</f>
        <v>0</v>
      </c>
      <c r="R215" s="24">
        <f>Other!R111</f>
        <v>0</v>
      </c>
      <c r="S215" s="24">
        <f>Other!S111</f>
        <v>0</v>
      </c>
      <c r="T215" s="24">
        <f>Other!T111</f>
        <v>0</v>
      </c>
      <c r="U215" s="24">
        <f>Other!U111</f>
        <v>0</v>
      </c>
      <c r="V215" s="24">
        <f>Other!V111</f>
        <v>0</v>
      </c>
      <c r="W215" s="24">
        <f>Other!W111</f>
        <v>0</v>
      </c>
      <c r="X215" s="24">
        <f>Other!X111</f>
        <v>0</v>
      </c>
      <c r="Y215" s="24">
        <f>Other!Y111</f>
        <v>0</v>
      </c>
      <c r="Z215" s="24">
        <f>Other!Z111</f>
        <v>0</v>
      </c>
      <c r="AA215" s="24">
        <f>Other!AA111</f>
        <v>0</v>
      </c>
      <c r="AB215" s="24">
        <f>Other!AB111</f>
        <v>0</v>
      </c>
      <c r="AC215" s="24">
        <f>Other!AC111</f>
        <v>0</v>
      </c>
      <c r="AD215" s="24">
        <f>Other!AD111</f>
        <v>0</v>
      </c>
      <c r="AE215" s="24">
        <f>Other!AE111</f>
        <v>0</v>
      </c>
      <c r="AF215" s="24">
        <f>Other!AF111</f>
        <v>0</v>
      </c>
      <c r="AG215" s="24">
        <f>Other!AG111</f>
        <v>0</v>
      </c>
      <c r="AH215" s="24">
        <f>Other!AH111</f>
        <v>0</v>
      </c>
      <c r="AI215" s="24">
        <f>Other!AI111</f>
        <v>0</v>
      </c>
      <c r="AJ215" s="24">
        <f>Other!AJ111</f>
        <v>0</v>
      </c>
      <c r="AK215" s="24">
        <f>Other!AK111</f>
        <v>0</v>
      </c>
      <c r="AL215" s="24">
        <f>Other!AL111</f>
        <v>0</v>
      </c>
      <c r="AM215" s="24">
        <f>Other!AM111</f>
        <v>0</v>
      </c>
      <c r="AN215" s="24">
        <f>Other!AN111</f>
        <v>0</v>
      </c>
      <c r="AO215" s="24">
        <f>Other!AO111</f>
        <v>0</v>
      </c>
      <c r="AP215" s="24">
        <f>Other!AP111</f>
        <v>0</v>
      </c>
      <c r="AQ215" s="24">
        <f>Other!AQ111</f>
        <v>0</v>
      </c>
      <c r="AR215" s="24">
        <f>Other!AR111</f>
        <v>0</v>
      </c>
      <c r="AS215" s="24">
        <f>Other!AS111</f>
        <v>0</v>
      </c>
    </row>
    <row r="216" spans="2:45" hidden="1" outlineLevel="2" x14ac:dyDescent="0.15">
      <c r="C216" s="107" t="s">
        <v>124</v>
      </c>
      <c r="J216" s="14">
        <f t="shared" ref="J216:AS216" si="67">SUM(J214:J215)</f>
        <v>0</v>
      </c>
      <c r="K216" s="14">
        <f t="shared" si="67"/>
        <v>0</v>
      </c>
      <c r="L216" s="14">
        <f t="shared" si="67"/>
        <v>0</v>
      </c>
      <c r="M216" s="14">
        <f t="shared" si="67"/>
        <v>0</v>
      </c>
      <c r="N216" s="14">
        <f t="shared" si="67"/>
        <v>0</v>
      </c>
      <c r="O216" s="14">
        <f t="shared" si="67"/>
        <v>0</v>
      </c>
      <c r="P216" s="14">
        <f t="shared" si="67"/>
        <v>0</v>
      </c>
      <c r="Q216" s="14">
        <f t="shared" si="67"/>
        <v>0</v>
      </c>
      <c r="R216" s="14">
        <f t="shared" si="67"/>
        <v>0</v>
      </c>
      <c r="S216" s="14">
        <f t="shared" si="67"/>
        <v>0</v>
      </c>
      <c r="T216" s="14">
        <f t="shared" si="67"/>
        <v>0</v>
      </c>
      <c r="U216" s="14">
        <f t="shared" si="67"/>
        <v>0</v>
      </c>
      <c r="V216" s="14">
        <f t="shared" si="67"/>
        <v>0</v>
      </c>
      <c r="W216" s="14">
        <f t="shared" si="67"/>
        <v>0</v>
      </c>
      <c r="X216" s="14">
        <f t="shared" si="67"/>
        <v>0</v>
      </c>
      <c r="Y216" s="14">
        <f t="shared" si="67"/>
        <v>0</v>
      </c>
      <c r="Z216" s="14">
        <f t="shared" si="67"/>
        <v>0</v>
      </c>
      <c r="AA216" s="14">
        <f t="shared" si="67"/>
        <v>0</v>
      </c>
      <c r="AB216" s="14">
        <f t="shared" si="67"/>
        <v>0</v>
      </c>
      <c r="AC216" s="14">
        <f t="shared" si="67"/>
        <v>0</v>
      </c>
      <c r="AD216" s="14">
        <f t="shared" si="67"/>
        <v>0</v>
      </c>
      <c r="AE216" s="14">
        <f t="shared" si="67"/>
        <v>0</v>
      </c>
      <c r="AF216" s="14">
        <f t="shared" si="67"/>
        <v>0</v>
      </c>
      <c r="AG216" s="14">
        <f t="shared" si="67"/>
        <v>0</v>
      </c>
      <c r="AH216" s="14">
        <f t="shared" si="67"/>
        <v>0</v>
      </c>
      <c r="AI216" s="14">
        <f t="shared" si="67"/>
        <v>0</v>
      </c>
      <c r="AJ216" s="14">
        <f t="shared" si="67"/>
        <v>0</v>
      </c>
      <c r="AK216" s="14">
        <f t="shared" si="67"/>
        <v>0</v>
      </c>
      <c r="AL216" s="14">
        <f t="shared" si="67"/>
        <v>0</v>
      </c>
      <c r="AM216" s="14">
        <f t="shared" si="67"/>
        <v>0</v>
      </c>
      <c r="AN216" s="14">
        <f t="shared" si="67"/>
        <v>0</v>
      </c>
      <c r="AO216" s="14">
        <f t="shared" si="67"/>
        <v>0</v>
      </c>
      <c r="AP216" s="14">
        <f t="shared" si="67"/>
        <v>0</v>
      </c>
      <c r="AQ216" s="14">
        <f t="shared" si="67"/>
        <v>0</v>
      </c>
      <c r="AR216" s="14">
        <f t="shared" si="67"/>
        <v>0</v>
      </c>
      <c r="AS216" s="14">
        <f t="shared" si="67"/>
        <v>0</v>
      </c>
    </row>
    <row r="217" spans="2:45" ht="6" hidden="1" customHeight="1" outlineLevel="2" x14ac:dyDescent="0.1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row>
    <row r="218" spans="2:45" outlineLevel="1" collapsed="1" x14ac:dyDescent="0.15">
      <c r="B218" s="107" t="s">
        <v>126</v>
      </c>
      <c r="J218" s="14">
        <f t="shared" ref="J218:AS218" ca="1" si="68">J192+J202+J205+J209+J212+J216</f>
        <v>-5088.7427458064512</v>
      </c>
      <c r="K218" s="14">
        <f t="shared" ca="1" si="68"/>
        <v>-16040.798345977637</v>
      </c>
      <c r="L218" s="14">
        <f t="shared" ca="1" si="68"/>
        <v>410.73215243010782</v>
      </c>
      <c r="M218" s="14">
        <f t="shared" ca="1" si="68"/>
        <v>130.15848399999959</v>
      </c>
      <c r="N218" s="14">
        <f t="shared" ca="1" si="68"/>
        <v>-23231.967021023658</v>
      </c>
      <c r="O218" s="14">
        <f t="shared" ca="1" si="68"/>
        <v>423.22071668817171</v>
      </c>
      <c r="P218" s="14">
        <f t="shared" ca="1" si="68"/>
        <v>-698.79863390967694</v>
      </c>
      <c r="Q218" s="14">
        <f t="shared" ca="1" si="68"/>
        <v>-24735.422682055916</v>
      </c>
      <c r="R218" s="14">
        <f t="shared" ca="1" si="68"/>
        <v>-728.03295418150628</v>
      </c>
      <c r="S218" s="14">
        <f t="shared" ca="1" si="68"/>
        <v>-1360.6707419612894</v>
      </c>
      <c r="T218" s="14">
        <f t="shared" ca="1" si="68"/>
        <v>-24121.660737204304</v>
      </c>
      <c r="U218" s="14">
        <f t="shared" ca="1" si="68"/>
        <v>-824.82719755698872</v>
      </c>
      <c r="V218" s="14">
        <f t="shared" ca="1" si="68"/>
        <v>-1529.2474694193543</v>
      </c>
      <c r="W218" s="14">
        <f t="shared" ca="1" si="68"/>
        <v>-24248.943217330758</v>
      </c>
      <c r="X218" s="14">
        <f t="shared" ca="1" si="68"/>
        <v>-947.31223518279512</v>
      </c>
      <c r="Y218" s="14">
        <f t="shared" ca="1" si="68"/>
        <v>-1114.6651764516137</v>
      </c>
      <c r="Z218" s="14">
        <f t="shared" ca="1" si="68"/>
        <v>-24835.958243888177</v>
      </c>
      <c r="AA218" s="14">
        <f t="shared" ca="1" si="68"/>
        <v>-913.33618044731156</v>
      </c>
      <c r="AB218" s="14">
        <f t="shared" ca="1" si="68"/>
        <v>-743.13549006451558</v>
      </c>
      <c r="AC218" s="14">
        <f t="shared" ca="1" si="68"/>
        <v>-24972.156612068815</v>
      </c>
      <c r="AD218" s="14">
        <f t="shared" ca="1" si="68"/>
        <v>-1092.9830891182792</v>
      </c>
      <c r="AE218" s="14">
        <f t="shared" ca="1" si="68"/>
        <v>-1421.0667937892467</v>
      </c>
      <c r="AF218" s="14">
        <f t="shared" ca="1" si="68"/>
        <v>-24900.785170047311</v>
      </c>
      <c r="AG218" s="14">
        <f t="shared" ca="1" si="68"/>
        <v>-926.73684153118302</v>
      </c>
      <c r="AH218" s="14">
        <f t="shared" ca="1" si="68"/>
        <v>-1581.4016010322575</v>
      </c>
      <c r="AI218" s="14">
        <f t="shared" ca="1" si="68"/>
        <v>-24850.688642830108</v>
      </c>
      <c r="AJ218" s="14">
        <f t="shared" ca="1" si="68"/>
        <v>-1076.278504602149</v>
      </c>
      <c r="AK218" s="14">
        <f t="shared" ca="1" si="68"/>
        <v>-1165.242258064517</v>
      </c>
      <c r="AL218" s="14">
        <f t="shared" ca="1" si="68"/>
        <v>-25294.852474959142</v>
      </c>
      <c r="AM218" s="14">
        <f t="shared" ca="1" si="68"/>
        <v>-964.08279884731201</v>
      </c>
      <c r="AN218" s="14">
        <f t="shared" ca="1" si="68"/>
        <v>-850.19129806451565</v>
      </c>
      <c r="AO218" s="14">
        <f t="shared" ca="1" si="68"/>
        <v>-25652.136507475272</v>
      </c>
      <c r="AP218" s="14">
        <f t="shared" ca="1" si="68"/>
        <v>-1191.7158047002149</v>
      </c>
      <c r="AQ218" s="14">
        <f t="shared" ca="1" si="68"/>
        <v>-1461.1533163612903</v>
      </c>
      <c r="AR218" s="14">
        <f t="shared" ca="1" si="68"/>
        <v>-25372.328152533337</v>
      </c>
      <c r="AS218" s="14">
        <f t="shared" ca="1" si="68"/>
        <v>-1019.8464855053753</v>
      </c>
    </row>
    <row r="219" spans="2:45" ht="6" hidden="1" customHeight="1" outlineLevel="2" x14ac:dyDescent="0.15"/>
    <row r="220" spans="2:45" outlineLevel="1" collapsed="1" x14ac:dyDescent="0.15">
      <c r="B220" s="107" t="s">
        <v>127</v>
      </c>
      <c r="J220" s="14">
        <f>Other!J31</f>
        <v>0</v>
      </c>
      <c r="K220" s="14">
        <f ca="1">Other!K31</f>
        <v>0</v>
      </c>
      <c r="L220" s="14">
        <f ca="1">Other!L31</f>
        <v>0</v>
      </c>
      <c r="M220" s="14">
        <f ca="1">Other!M31</f>
        <v>0</v>
      </c>
      <c r="N220" s="14">
        <f ca="1">Other!N31</f>
        <v>0</v>
      </c>
      <c r="O220" s="14">
        <f ca="1">Other!O31</f>
        <v>0</v>
      </c>
      <c r="P220" s="14">
        <f ca="1">Other!P31</f>
        <v>0</v>
      </c>
      <c r="Q220" s="14">
        <f ca="1">Other!Q31</f>
        <v>0</v>
      </c>
      <c r="R220" s="14">
        <f ca="1">Other!R31</f>
        <v>0</v>
      </c>
      <c r="S220" s="14">
        <f ca="1">Other!S31</f>
        <v>0</v>
      </c>
      <c r="T220" s="14">
        <f ca="1">Other!T31</f>
        <v>0</v>
      </c>
      <c r="U220" s="14">
        <f ca="1">Other!U31</f>
        <v>0</v>
      </c>
      <c r="V220" s="14">
        <f ca="1">Other!V31</f>
        <v>0</v>
      </c>
      <c r="W220" s="14">
        <f ca="1">Other!W31</f>
        <v>0</v>
      </c>
      <c r="X220" s="14">
        <f ca="1">Other!X31</f>
        <v>0</v>
      </c>
      <c r="Y220" s="14">
        <f ca="1">Other!Y31</f>
        <v>0</v>
      </c>
      <c r="Z220" s="14">
        <f ca="1">Other!Z31</f>
        <v>0</v>
      </c>
      <c r="AA220" s="14">
        <f ca="1">Other!AA31</f>
        <v>0</v>
      </c>
      <c r="AB220" s="14">
        <f ca="1">Other!AB31</f>
        <v>0</v>
      </c>
      <c r="AC220" s="14">
        <f ca="1">Other!AC31</f>
        <v>0</v>
      </c>
      <c r="AD220" s="14">
        <f ca="1">Other!AD31</f>
        <v>0</v>
      </c>
      <c r="AE220" s="14">
        <f ca="1">Other!AE31</f>
        <v>0</v>
      </c>
      <c r="AF220" s="14">
        <f ca="1">Other!AF31</f>
        <v>0</v>
      </c>
      <c r="AG220" s="14">
        <f ca="1">Other!AG31</f>
        <v>0</v>
      </c>
      <c r="AH220" s="14">
        <f ca="1">Other!AH31</f>
        <v>0</v>
      </c>
      <c r="AI220" s="14">
        <f ca="1">Other!AI31</f>
        <v>0</v>
      </c>
      <c r="AJ220" s="14">
        <f ca="1">Other!AJ31</f>
        <v>0</v>
      </c>
      <c r="AK220" s="14">
        <f ca="1">Other!AK31</f>
        <v>0</v>
      </c>
      <c r="AL220" s="14">
        <f ca="1">Other!AL31</f>
        <v>0</v>
      </c>
      <c r="AM220" s="14">
        <f ca="1">Other!AM31</f>
        <v>0</v>
      </c>
      <c r="AN220" s="14">
        <f ca="1">Other!AN31</f>
        <v>0</v>
      </c>
      <c r="AO220" s="14">
        <f ca="1">Other!AO31</f>
        <v>0</v>
      </c>
      <c r="AP220" s="14">
        <f ca="1">Other!AP31</f>
        <v>0</v>
      </c>
      <c r="AQ220" s="14">
        <f ca="1">Other!AQ31</f>
        <v>0</v>
      </c>
      <c r="AR220" s="14">
        <f ca="1">Other!AR31</f>
        <v>0</v>
      </c>
      <c r="AS220" s="14">
        <f ca="1">Other!AS31</f>
        <v>0</v>
      </c>
    </row>
    <row r="221" spans="2:45" ht="6" hidden="1" customHeight="1" outlineLevel="2" x14ac:dyDescent="0.15"/>
    <row r="222" spans="2:45" hidden="1" outlineLevel="2" x14ac:dyDescent="0.15">
      <c r="C222" s="107" t="s">
        <v>641</v>
      </c>
      <c r="J222" s="14">
        <f ca="1">Tax!J221</f>
        <v>-43156.449339182793</v>
      </c>
      <c r="K222" s="14">
        <f ca="1">Tax!K221</f>
        <v>-1220.7759794426665</v>
      </c>
      <c r="L222" s="14">
        <f ca="1">Tax!L221</f>
        <v>-1220.9798289204309</v>
      </c>
      <c r="M222" s="14">
        <f ca="1">Tax!M221</f>
        <v>-1225.0642964000008</v>
      </c>
      <c r="N222" s="14">
        <f ca="1">Tax!N221</f>
        <v>-1207.501895162151</v>
      </c>
      <c r="O222" s="14">
        <f ca="1">Tax!O221</f>
        <v>-1217.2472087010756</v>
      </c>
      <c r="P222" s="14">
        <f ca="1">Tax!P221</f>
        <v>-1363.1646860800001</v>
      </c>
      <c r="Q222" s="14">
        <f ca="1">Tax!Q221</f>
        <v>-1362.3672895750533</v>
      </c>
      <c r="R222" s="14">
        <f ca="1">Tax!R221</f>
        <v>-1367.2941949973338</v>
      </c>
      <c r="S222" s="14">
        <f ca="1">Tax!S221</f>
        <v>-1380.7324942683872</v>
      </c>
      <c r="T222" s="14">
        <f ca="1">Tax!T221</f>
        <v>-1347.8738346666669</v>
      </c>
      <c r="U222" s="14">
        <f ca="1">Tax!U221</f>
        <v>-1377.263416141076</v>
      </c>
      <c r="V222" s="14">
        <f ca="1">Tax!V221</f>
        <v>-1363.9308484129033</v>
      </c>
      <c r="W222" s="14">
        <f ca="1">Tax!W221</f>
        <v>-1365.9508101946658</v>
      </c>
      <c r="X222" s="14">
        <f ca="1">Tax!X221</f>
        <v>-1388.7659207397855</v>
      </c>
      <c r="Y222" s="14">
        <f ca="1">Tax!Y221</f>
        <v>-1370.1869230000002</v>
      </c>
      <c r="Z222" s="14">
        <f ca="1">Tax!Z221</f>
        <v>-1359.1353098563432</v>
      </c>
      <c r="AA222" s="14">
        <f ca="1">Tax!AA221</f>
        <v>-1382.4070516843012</v>
      </c>
      <c r="AB222" s="14">
        <f ca="1">Tax!AB221</f>
        <v>-1272.5281728000009</v>
      </c>
      <c r="AC222" s="14">
        <f ca="1">Tax!AC221</f>
        <v>-1283.4239240318275</v>
      </c>
      <c r="AD222" s="14">
        <f ca="1">Tax!AD221</f>
        <v>-1286.5715197333329</v>
      </c>
      <c r="AE222" s="14">
        <f ca="1">Tax!AE221</f>
        <v>-1289.2429660748385</v>
      </c>
      <c r="AF222" s="14">
        <f ca="1">Tax!AF221</f>
        <v>-1279.6483109866658</v>
      </c>
      <c r="AG222" s="14">
        <f ca="1">Tax!AG221</f>
        <v>-1296.5319281823668</v>
      </c>
      <c r="AH222" s="14">
        <f ca="1">Tax!AH221</f>
        <v>-1271.0093139612909</v>
      </c>
      <c r="AI222" s="14">
        <f ca="1">Tax!AI221</f>
        <v>-1300.4234016266673</v>
      </c>
      <c r="AJ222" s="14">
        <f ca="1">Tax!AJ221</f>
        <v>-1311.3413536688167</v>
      </c>
      <c r="AK222" s="14">
        <f ca="1">Tax!AK221</f>
        <v>-1278.6180000000004</v>
      </c>
      <c r="AL222" s="14">
        <f ca="1">Tax!AL221</f>
        <v>-1288.0400599621507</v>
      </c>
      <c r="AM222" s="14">
        <f ca="1">Tax!AM221</f>
        <v>-1291.2923050443005</v>
      </c>
      <c r="AN222" s="14">
        <f ca="1">Tax!AN221</f>
        <v>-1271.7412160000013</v>
      </c>
      <c r="AO222" s="14">
        <f ca="1">Tax!AO221</f>
        <v>-1294.9576961944085</v>
      </c>
      <c r="AP222" s="14">
        <f ca="1">Tax!AP221</f>
        <v>-1284.0888444693337</v>
      </c>
      <c r="AQ222" s="14">
        <f ca="1">Tax!AQ221</f>
        <v>-1275.4862942219343</v>
      </c>
      <c r="AR222" s="14">
        <f ca="1">Tax!AR221</f>
        <v>-1290.219922346666</v>
      </c>
      <c r="AS222" s="14">
        <f ca="1">Tax!AS221</f>
        <v>-1294.0404402236563</v>
      </c>
    </row>
    <row r="223" spans="2:45" hidden="1" outlineLevel="2" x14ac:dyDescent="0.15">
      <c r="C223" s="107" t="s">
        <v>642</v>
      </c>
      <c r="J223" s="24">
        <f>Tax!J222</f>
        <v>0</v>
      </c>
      <c r="K223" s="24">
        <f>Tax!K222</f>
        <v>0</v>
      </c>
      <c r="L223" s="24">
        <f ca="1">Tax!L222</f>
        <v>44377.22531862546</v>
      </c>
      <c r="M223" s="24">
        <f>Tax!M222</f>
        <v>0</v>
      </c>
      <c r="N223" s="24">
        <f>Tax!N222</f>
        <v>0</v>
      </c>
      <c r="O223" s="24">
        <f ca="1">Tax!O222</f>
        <v>3653.5460204825827</v>
      </c>
      <c r="P223" s="24">
        <f>Tax!P222</f>
        <v>0</v>
      </c>
      <c r="Q223" s="24">
        <f>Tax!Q222</f>
        <v>0</v>
      </c>
      <c r="R223" s="24">
        <f ca="1">Tax!R222</f>
        <v>3942.779184356129</v>
      </c>
      <c r="S223" s="24">
        <f>Tax!S222</f>
        <v>0</v>
      </c>
      <c r="T223" s="24">
        <f>Tax!T222</f>
        <v>0</v>
      </c>
      <c r="U223" s="24">
        <f ca="1">Tax!U222</f>
        <v>4095.9005239323878</v>
      </c>
      <c r="V223" s="24">
        <f>Tax!V222</f>
        <v>0</v>
      </c>
      <c r="W223" s="24">
        <f>Tax!W222</f>
        <v>0</v>
      </c>
      <c r="X223" s="24">
        <f ca="1">Tax!X222</f>
        <v>4107.1450747486451</v>
      </c>
      <c r="Y223" s="24">
        <f>Tax!Y222</f>
        <v>0</v>
      </c>
      <c r="Z223" s="24">
        <f>Tax!Z222</f>
        <v>0</v>
      </c>
      <c r="AA223" s="24">
        <f ca="1">Tax!AA222</f>
        <v>4118.0881535961289</v>
      </c>
      <c r="AB223" s="24">
        <f>Tax!AB222</f>
        <v>0</v>
      </c>
      <c r="AC223" s="24">
        <f>Tax!AC222</f>
        <v>0</v>
      </c>
      <c r="AD223" s="24">
        <f ca="1">Tax!AD222</f>
        <v>3938.3591485161296</v>
      </c>
      <c r="AE223" s="24">
        <f>Tax!AE222</f>
        <v>0</v>
      </c>
      <c r="AF223" s="24">
        <f>Tax!AF222</f>
        <v>0</v>
      </c>
      <c r="AG223" s="24">
        <f ca="1">Tax!AG222</f>
        <v>3855.4627967948372</v>
      </c>
      <c r="AH223" s="24">
        <f>Tax!AH222</f>
        <v>0</v>
      </c>
      <c r="AI223" s="24">
        <f>Tax!AI222</f>
        <v>0</v>
      </c>
      <c r="AJ223" s="24">
        <f ca="1">Tax!AJ222</f>
        <v>3867.964643770325</v>
      </c>
      <c r="AK223" s="24">
        <f>Tax!AK222</f>
        <v>0</v>
      </c>
      <c r="AL223" s="24">
        <f>Tax!AL222</f>
        <v>0</v>
      </c>
      <c r="AM223" s="24">
        <f ca="1">Tax!AM222</f>
        <v>3877.9994136309679</v>
      </c>
      <c r="AN223" s="24">
        <f>Tax!AN222</f>
        <v>0</v>
      </c>
      <c r="AO223" s="24">
        <f>Tax!AO222</f>
        <v>0</v>
      </c>
      <c r="AP223" s="24">
        <f ca="1">Tax!AP222</f>
        <v>3857.9912172387103</v>
      </c>
      <c r="AQ223" s="24">
        <f>Tax!AQ222</f>
        <v>0</v>
      </c>
      <c r="AR223" s="24">
        <f>Tax!AR222</f>
        <v>0</v>
      </c>
      <c r="AS223" s="24">
        <f ca="1">Tax!AS222</f>
        <v>3849.7950610379339</v>
      </c>
    </row>
    <row r="224" spans="2:45" outlineLevel="1" collapsed="1" x14ac:dyDescent="0.15">
      <c r="B224" s="107" t="s">
        <v>128</v>
      </c>
      <c r="J224" s="14">
        <f t="shared" ref="J224:AS224" ca="1" si="69">SUM(J222:J223)</f>
        <v>-43156.449339182793</v>
      </c>
      <c r="K224" s="14">
        <f t="shared" ca="1" si="69"/>
        <v>-1220.7759794426665</v>
      </c>
      <c r="L224" s="14">
        <f t="shared" ca="1" si="69"/>
        <v>43156.245489705027</v>
      </c>
      <c r="M224" s="14">
        <f t="shared" ca="1" si="69"/>
        <v>-1225.0642964000008</v>
      </c>
      <c r="N224" s="14">
        <f t="shared" ca="1" si="69"/>
        <v>-1207.501895162151</v>
      </c>
      <c r="O224" s="14">
        <f t="shared" ca="1" si="69"/>
        <v>2436.2988117815071</v>
      </c>
      <c r="P224" s="14">
        <f t="shared" ca="1" si="69"/>
        <v>-1363.1646860800001</v>
      </c>
      <c r="Q224" s="14">
        <f t="shared" ca="1" si="69"/>
        <v>-1362.3672895750533</v>
      </c>
      <c r="R224" s="14">
        <f t="shared" ca="1" si="69"/>
        <v>2575.4849893587952</v>
      </c>
      <c r="S224" s="14">
        <f t="shared" ca="1" si="69"/>
        <v>-1380.7324942683872</v>
      </c>
      <c r="T224" s="14">
        <f t="shared" ca="1" si="69"/>
        <v>-1347.8738346666669</v>
      </c>
      <c r="U224" s="14">
        <f t="shared" ca="1" si="69"/>
        <v>2718.6371077913118</v>
      </c>
      <c r="V224" s="14">
        <f t="shared" ca="1" si="69"/>
        <v>-1363.9308484129033</v>
      </c>
      <c r="W224" s="14">
        <f t="shared" ca="1" si="69"/>
        <v>-1365.9508101946658</v>
      </c>
      <c r="X224" s="14">
        <f t="shared" ca="1" si="69"/>
        <v>2718.3791540088596</v>
      </c>
      <c r="Y224" s="14">
        <f t="shared" ca="1" si="69"/>
        <v>-1370.1869230000002</v>
      </c>
      <c r="Z224" s="14">
        <f t="shared" ca="1" si="69"/>
        <v>-1359.1353098563432</v>
      </c>
      <c r="AA224" s="14">
        <f t="shared" ca="1" si="69"/>
        <v>2735.6811019118277</v>
      </c>
      <c r="AB224" s="14">
        <f t="shared" ca="1" si="69"/>
        <v>-1272.5281728000009</v>
      </c>
      <c r="AC224" s="14">
        <f t="shared" ca="1" si="69"/>
        <v>-1283.4239240318275</v>
      </c>
      <c r="AD224" s="14">
        <f t="shared" ca="1" si="69"/>
        <v>2651.7876287827967</v>
      </c>
      <c r="AE224" s="14">
        <f t="shared" ca="1" si="69"/>
        <v>-1289.2429660748385</v>
      </c>
      <c r="AF224" s="14">
        <f t="shared" ca="1" si="69"/>
        <v>-1279.6483109866658</v>
      </c>
      <c r="AG224" s="14">
        <f t="shared" ca="1" si="69"/>
        <v>2558.9308686124705</v>
      </c>
      <c r="AH224" s="14">
        <f t="shared" ca="1" si="69"/>
        <v>-1271.0093139612909</v>
      </c>
      <c r="AI224" s="14">
        <f t="shared" ca="1" si="69"/>
        <v>-1300.4234016266673</v>
      </c>
      <c r="AJ224" s="14">
        <f t="shared" ca="1" si="69"/>
        <v>2556.6232901015082</v>
      </c>
      <c r="AK224" s="14">
        <f t="shared" ca="1" si="69"/>
        <v>-1278.6180000000004</v>
      </c>
      <c r="AL224" s="14">
        <f t="shared" ca="1" si="69"/>
        <v>-1288.0400599621507</v>
      </c>
      <c r="AM224" s="14">
        <f t="shared" ca="1" si="69"/>
        <v>2586.7071085866673</v>
      </c>
      <c r="AN224" s="14">
        <f t="shared" ca="1" si="69"/>
        <v>-1271.7412160000013</v>
      </c>
      <c r="AO224" s="14">
        <f t="shared" ca="1" si="69"/>
        <v>-1294.9576961944085</v>
      </c>
      <c r="AP224" s="14">
        <f t="shared" ca="1" si="69"/>
        <v>2573.9023727693766</v>
      </c>
      <c r="AQ224" s="14">
        <f t="shared" ca="1" si="69"/>
        <v>-1275.4862942219343</v>
      </c>
      <c r="AR224" s="14">
        <f t="shared" ca="1" si="69"/>
        <v>-1290.219922346666</v>
      </c>
      <c r="AS224" s="14">
        <f t="shared" ca="1" si="69"/>
        <v>2555.7546208142776</v>
      </c>
    </row>
    <row r="225" spans="2:45" ht="6" hidden="1" customHeight="1" outlineLevel="2" x14ac:dyDescent="0.15"/>
    <row r="226" spans="2:45" hidden="1" outlineLevel="2" x14ac:dyDescent="0.15">
      <c r="C226" s="107" t="str">
        <f>Capital!B26</f>
        <v>Interest Payable Category 1</v>
      </c>
      <c r="J226" s="24">
        <f>Capital!J26</f>
        <v>0</v>
      </c>
      <c r="K226" s="24">
        <f>Capital!K26</f>
        <v>0</v>
      </c>
      <c r="L226" s="24">
        <f>Capital!L26</f>
        <v>0</v>
      </c>
      <c r="M226" s="24">
        <f>Capital!M26</f>
        <v>0</v>
      </c>
      <c r="N226" s="24">
        <f>Capital!N26</f>
        <v>0</v>
      </c>
      <c r="O226" s="24">
        <f>Capital!O26</f>
        <v>0</v>
      </c>
      <c r="P226" s="24">
        <f>Capital!P26</f>
        <v>0</v>
      </c>
      <c r="Q226" s="24">
        <f>Capital!Q26</f>
        <v>0</v>
      </c>
      <c r="R226" s="24">
        <f>Capital!R26</f>
        <v>0</v>
      </c>
      <c r="S226" s="24">
        <f>Capital!S26</f>
        <v>0</v>
      </c>
      <c r="T226" s="24">
        <f>Capital!T26</f>
        <v>0</v>
      </c>
      <c r="U226" s="24">
        <f>Capital!U26</f>
        <v>0</v>
      </c>
      <c r="V226" s="24">
        <f>Capital!V26</f>
        <v>0</v>
      </c>
      <c r="W226" s="24">
        <f>Capital!W26</f>
        <v>0</v>
      </c>
      <c r="X226" s="24">
        <f>Capital!X26</f>
        <v>0</v>
      </c>
      <c r="Y226" s="24">
        <f>Capital!Y26</f>
        <v>0</v>
      </c>
      <c r="Z226" s="24">
        <f>Capital!Z26</f>
        <v>0</v>
      </c>
      <c r="AA226" s="24">
        <f>Capital!AA26</f>
        <v>0</v>
      </c>
      <c r="AB226" s="24">
        <f>Capital!AB26</f>
        <v>0</v>
      </c>
      <c r="AC226" s="24">
        <f>Capital!AC26</f>
        <v>0</v>
      </c>
      <c r="AD226" s="24">
        <f>Capital!AD26</f>
        <v>0</v>
      </c>
      <c r="AE226" s="24">
        <f>Capital!AE26</f>
        <v>0</v>
      </c>
      <c r="AF226" s="24">
        <f>Capital!AF26</f>
        <v>0</v>
      </c>
      <c r="AG226" s="24">
        <f>Capital!AG26</f>
        <v>0</v>
      </c>
      <c r="AH226" s="24">
        <f>Capital!AH26</f>
        <v>0</v>
      </c>
      <c r="AI226" s="24">
        <f>Capital!AI26</f>
        <v>0</v>
      </c>
      <c r="AJ226" s="24">
        <f>Capital!AJ26</f>
        <v>0</v>
      </c>
      <c r="AK226" s="24">
        <f>Capital!AK26</f>
        <v>0</v>
      </c>
      <c r="AL226" s="24">
        <f>Capital!AL26</f>
        <v>0</v>
      </c>
      <c r="AM226" s="24">
        <f>Capital!AM26</f>
        <v>0</v>
      </c>
      <c r="AN226" s="24">
        <f>Capital!AN26</f>
        <v>0</v>
      </c>
      <c r="AO226" s="24">
        <f>Capital!AO26</f>
        <v>0</v>
      </c>
      <c r="AP226" s="24">
        <f>Capital!AP26</f>
        <v>0</v>
      </c>
      <c r="AQ226" s="24">
        <f>Capital!AQ26</f>
        <v>0</v>
      </c>
      <c r="AR226" s="24">
        <f>Capital!AR26</f>
        <v>0</v>
      </c>
      <c r="AS226" s="24">
        <f>Capital!AS26</f>
        <v>0</v>
      </c>
    </row>
    <row r="227" spans="2:45" hidden="1" outlineLevel="2" x14ac:dyDescent="0.15">
      <c r="C227" s="107" t="s">
        <v>643</v>
      </c>
      <c r="J227" s="14">
        <f t="shared" ref="J227:AS227" si="70">SUM(J226:J226)</f>
        <v>0</v>
      </c>
      <c r="K227" s="14">
        <f t="shared" si="70"/>
        <v>0</v>
      </c>
      <c r="L227" s="14">
        <f t="shared" si="70"/>
        <v>0</v>
      </c>
      <c r="M227" s="14">
        <f t="shared" si="70"/>
        <v>0</v>
      </c>
      <c r="N227" s="14">
        <f t="shared" si="70"/>
        <v>0</v>
      </c>
      <c r="O227" s="14">
        <f t="shared" si="70"/>
        <v>0</v>
      </c>
      <c r="P227" s="14">
        <f t="shared" si="70"/>
        <v>0</v>
      </c>
      <c r="Q227" s="14">
        <f t="shared" si="70"/>
        <v>0</v>
      </c>
      <c r="R227" s="14">
        <f t="shared" si="70"/>
        <v>0</v>
      </c>
      <c r="S227" s="14">
        <f t="shared" si="70"/>
        <v>0</v>
      </c>
      <c r="T227" s="14">
        <f t="shared" si="70"/>
        <v>0</v>
      </c>
      <c r="U227" s="14">
        <f t="shared" si="70"/>
        <v>0</v>
      </c>
      <c r="V227" s="14">
        <f t="shared" si="70"/>
        <v>0</v>
      </c>
      <c r="W227" s="14">
        <f t="shared" si="70"/>
        <v>0</v>
      </c>
      <c r="X227" s="14">
        <f t="shared" si="70"/>
        <v>0</v>
      </c>
      <c r="Y227" s="14">
        <f t="shared" si="70"/>
        <v>0</v>
      </c>
      <c r="Z227" s="14">
        <f t="shared" si="70"/>
        <v>0</v>
      </c>
      <c r="AA227" s="14">
        <f t="shared" si="70"/>
        <v>0</v>
      </c>
      <c r="AB227" s="14">
        <f t="shared" si="70"/>
        <v>0</v>
      </c>
      <c r="AC227" s="14">
        <f t="shared" si="70"/>
        <v>0</v>
      </c>
      <c r="AD227" s="14">
        <f t="shared" si="70"/>
        <v>0</v>
      </c>
      <c r="AE227" s="14">
        <f t="shared" si="70"/>
        <v>0</v>
      </c>
      <c r="AF227" s="14">
        <f t="shared" si="70"/>
        <v>0</v>
      </c>
      <c r="AG227" s="14">
        <f t="shared" si="70"/>
        <v>0</v>
      </c>
      <c r="AH227" s="14">
        <f t="shared" si="70"/>
        <v>0</v>
      </c>
      <c r="AI227" s="14">
        <f t="shared" si="70"/>
        <v>0</v>
      </c>
      <c r="AJ227" s="14">
        <f t="shared" si="70"/>
        <v>0</v>
      </c>
      <c r="AK227" s="14">
        <f t="shared" si="70"/>
        <v>0</v>
      </c>
      <c r="AL227" s="14">
        <f t="shared" si="70"/>
        <v>0</v>
      </c>
      <c r="AM227" s="14">
        <f t="shared" si="70"/>
        <v>0</v>
      </c>
      <c r="AN227" s="14">
        <f t="shared" si="70"/>
        <v>0</v>
      </c>
      <c r="AO227" s="14">
        <f t="shared" si="70"/>
        <v>0</v>
      </c>
      <c r="AP227" s="14">
        <f t="shared" si="70"/>
        <v>0</v>
      </c>
      <c r="AQ227" s="14">
        <f t="shared" si="70"/>
        <v>0</v>
      </c>
      <c r="AR227" s="14">
        <f t="shared" si="70"/>
        <v>0</v>
      </c>
      <c r="AS227" s="14">
        <f t="shared" si="70"/>
        <v>0</v>
      </c>
    </row>
    <row r="228" spans="2:45" ht="6" hidden="1" customHeight="1" outlineLevel="2" x14ac:dyDescent="0.15"/>
    <row r="229" spans="2:45" hidden="1" outlineLevel="2" x14ac:dyDescent="0.15">
      <c r="C229" s="107" t="str">
        <f>Capital!I45</f>
        <v>Operating Grants</v>
      </c>
      <c r="J229" s="23">
        <f>Capital!J45</f>
        <v>0</v>
      </c>
      <c r="K229" s="23">
        <f>Capital!K45</f>
        <v>0</v>
      </c>
      <c r="L229" s="23">
        <f>Capital!L45</f>
        <v>0</v>
      </c>
      <c r="M229" s="23">
        <f>Capital!M45</f>
        <v>0</v>
      </c>
      <c r="N229" s="23">
        <f>Capital!N45</f>
        <v>0</v>
      </c>
      <c r="O229" s="23">
        <f>Capital!O45</f>
        <v>0</v>
      </c>
      <c r="P229" s="23">
        <f>Capital!P45</f>
        <v>0</v>
      </c>
      <c r="Q229" s="23">
        <f>Capital!Q45</f>
        <v>0</v>
      </c>
      <c r="R229" s="23">
        <f>Capital!R45</f>
        <v>0</v>
      </c>
      <c r="S229" s="23">
        <f>Capital!S45</f>
        <v>0</v>
      </c>
      <c r="T229" s="23">
        <f>Capital!T45</f>
        <v>0</v>
      </c>
      <c r="U229" s="23">
        <f>Capital!U45</f>
        <v>0</v>
      </c>
      <c r="V229" s="23">
        <f>Capital!V45</f>
        <v>0</v>
      </c>
      <c r="W229" s="23">
        <f>Capital!W45</f>
        <v>0</v>
      </c>
      <c r="X229" s="23">
        <f>Capital!X45</f>
        <v>0</v>
      </c>
      <c r="Y229" s="23">
        <f>Capital!Y45</f>
        <v>0</v>
      </c>
      <c r="Z229" s="23">
        <f>Capital!Z45</f>
        <v>0</v>
      </c>
      <c r="AA229" s="23">
        <f>Capital!AA45</f>
        <v>0</v>
      </c>
      <c r="AB229" s="23">
        <f>Capital!AB45</f>
        <v>0</v>
      </c>
      <c r="AC229" s="23">
        <f>Capital!AC45</f>
        <v>0</v>
      </c>
      <c r="AD229" s="23">
        <f>Capital!AD45</f>
        <v>0</v>
      </c>
      <c r="AE229" s="23">
        <f>Capital!AE45</f>
        <v>0</v>
      </c>
      <c r="AF229" s="23">
        <f>Capital!AF45</f>
        <v>0</v>
      </c>
      <c r="AG229" s="23">
        <f>Capital!AG45</f>
        <v>0</v>
      </c>
      <c r="AH229" s="23">
        <f>Capital!AH45</f>
        <v>0</v>
      </c>
      <c r="AI229" s="23">
        <f>Capital!AI45</f>
        <v>0</v>
      </c>
      <c r="AJ229" s="23">
        <f>Capital!AJ45</f>
        <v>0</v>
      </c>
      <c r="AK229" s="23">
        <f>Capital!AK45</f>
        <v>0</v>
      </c>
      <c r="AL229" s="23">
        <f>Capital!AL45</f>
        <v>0</v>
      </c>
      <c r="AM229" s="23">
        <f>Capital!AM45</f>
        <v>0</v>
      </c>
      <c r="AN229" s="23">
        <f>Capital!AN45</f>
        <v>0</v>
      </c>
      <c r="AO229" s="23">
        <f>Capital!AO45</f>
        <v>0</v>
      </c>
      <c r="AP229" s="23">
        <f>Capital!AP45</f>
        <v>0</v>
      </c>
      <c r="AQ229" s="23">
        <f>Capital!AQ45</f>
        <v>0</v>
      </c>
      <c r="AR229" s="23">
        <f>Capital!AR45</f>
        <v>0</v>
      </c>
      <c r="AS229" s="23">
        <f>Capital!AS45</f>
        <v>0</v>
      </c>
    </row>
    <row r="230" spans="2:45" hidden="1" outlineLevel="2" collapsed="1" x14ac:dyDescent="0.15">
      <c r="C230" s="107" t="str">
        <f>Capital!I71</f>
        <v>CAPEX Grant</v>
      </c>
      <c r="J230" s="24">
        <f>Capital!J71</f>
        <v>0</v>
      </c>
      <c r="K230" s="24">
        <f>Capital!K71</f>
        <v>0</v>
      </c>
      <c r="L230" s="24">
        <f>Capital!L71</f>
        <v>0</v>
      </c>
      <c r="M230" s="24">
        <f>Capital!M71</f>
        <v>0</v>
      </c>
      <c r="N230" s="24">
        <f>Capital!N71</f>
        <v>0</v>
      </c>
      <c r="O230" s="24">
        <f>Capital!O71</f>
        <v>0</v>
      </c>
      <c r="P230" s="24">
        <f>Capital!P71</f>
        <v>0</v>
      </c>
      <c r="Q230" s="24">
        <f>Capital!Q71</f>
        <v>0</v>
      </c>
      <c r="R230" s="24">
        <f>Capital!R71</f>
        <v>0</v>
      </c>
      <c r="S230" s="24">
        <f>Capital!S71</f>
        <v>0</v>
      </c>
      <c r="T230" s="24">
        <f>Capital!T71</f>
        <v>0</v>
      </c>
      <c r="U230" s="24">
        <f>Capital!U71</f>
        <v>0</v>
      </c>
      <c r="V230" s="24">
        <f>Capital!V71</f>
        <v>0</v>
      </c>
      <c r="W230" s="24">
        <f>Capital!W71</f>
        <v>0</v>
      </c>
      <c r="X230" s="24">
        <f>Capital!X71</f>
        <v>0</v>
      </c>
      <c r="Y230" s="24">
        <f>Capital!Y71</f>
        <v>0</v>
      </c>
      <c r="Z230" s="24">
        <f>Capital!Z71</f>
        <v>0</v>
      </c>
      <c r="AA230" s="24">
        <f>Capital!AA71</f>
        <v>0</v>
      </c>
      <c r="AB230" s="24">
        <f>Capital!AB71</f>
        <v>0</v>
      </c>
      <c r="AC230" s="24">
        <f>Capital!AC71</f>
        <v>0</v>
      </c>
      <c r="AD230" s="24">
        <f>Capital!AD71</f>
        <v>0</v>
      </c>
      <c r="AE230" s="24">
        <f>Capital!AE71</f>
        <v>0</v>
      </c>
      <c r="AF230" s="24">
        <f>Capital!AF71</f>
        <v>0</v>
      </c>
      <c r="AG230" s="24">
        <f>Capital!AG71</f>
        <v>0</v>
      </c>
      <c r="AH230" s="24">
        <f>Capital!AH71</f>
        <v>0</v>
      </c>
      <c r="AI230" s="24">
        <f>Capital!AI71</f>
        <v>0</v>
      </c>
      <c r="AJ230" s="24">
        <f>Capital!AJ71</f>
        <v>0</v>
      </c>
      <c r="AK230" s="24">
        <f>Capital!AK71</f>
        <v>0</v>
      </c>
      <c r="AL230" s="24">
        <f>Capital!AL71</f>
        <v>0</v>
      </c>
      <c r="AM230" s="24">
        <f>Capital!AM71</f>
        <v>0</v>
      </c>
      <c r="AN230" s="24">
        <f>Capital!AN71</f>
        <v>0</v>
      </c>
      <c r="AO230" s="24">
        <f>Capital!AO71</f>
        <v>0</v>
      </c>
      <c r="AP230" s="24">
        <f>Capital!AP71</f>
        <v>0</v>
      </c>
      <c r="AQ230" s="24">
        <f>Capital!AQ71</f>
        <v>0</v>
      </c>
      <c r="AR230" s="24">
        <f>Capital!AR71</f>
        <v>0</v>
      </c>
      <c r="AS230" s="24">
        <f>Capital!AS71</f>
        <v>0</v>
      </c>
    </row>
    <row r="231" spans="2:45" hidden="1" outlineLevel="2" x14ac:dyDescent="0.15">
      <c r="C231" s="107" t="s">
        <v>644</v>
      </c>
      <c r="J231" s="14">
        <f t="shared" ref="J231:AS231" si="71">SUM(J229:J230)</f>
        <v>0</v>
      </c>
      <c r="K231" s="14">
        <f t="shared" si="71"/>
        <v>0</v>
      </c>
      <c r="L231" s="14">
        <f t="shared" si="71"/>
        <v>0</v>
      </c>
      <c r="M231" s="14">
        <f t="shared" si="71"/>
        <v>0</v>
      </c>
      <c r="N231" s="14">
        <f t="shared" si="71"/>
        <v>0</v>
      </c>
      <c r="O231" s="14">
        <f t="shared" si="71"/>
        <v>0</v>
      </c>
      <c r="P231" s="14">
        <f t="shared" si="71"/>
        <v>0</v>
      </c>
      <c r="Q231" s="14">
        <f t="shared" si="71"/>
        <v>0</v>
      </c>
      <c r="R231" s="14">
        <f t="shared" si="71"/>
        <v>0</v>
      </c>
      <c r="S231" s="14">
        <f t="shared" si="71"/>
        <v>0</v>
      </c>
      <c r="T231" s="14">
        <f t="shared" si="71"/>
        <v>0</v>
      </c>
      <c r="U231" s="14">
        <f t="shared" si="71"/>
        <v>0</v>
      </c>
      <c r="V231" s="14">
        <f t="shared" si="71"/>
        <v>0</v>
      </c>
      <c r="W231" s="14">
        <f t="shared" si="71"/>
        <v>0</v>
      </c>
      <c r="X231" s="14">
        <f t="shared" si="71"/>
        <v>0</v>
      </c>
      <c r="Y231" s="14">
        <f t="shared" si="71"/>
        <v>0</v>
      </c>
      <c r="Z231" s="14">
        <f t="shared" si="71"/>
        <v>0</v>
      </c>
      <c r="AA231" s="14">
        <f t="shared" si="71"/>
        <v>0</v>
      </c>
      <c r="AB231" s="14">
        <f t="shared" si="71"/>
        <v>0</v>
      </c>
      <c r="AC231" s="14">
        <f t="shared" si="71"/>
        <v>0</v>
      </c>
      <c r="AD231" s="14">
        <f t="shared" si="71"/>
        <v>0</v>
      </c>
      <c r="AE231" s="14">
        <f t="shared" si="71"/>
        <v>0</v>
      </c>
      <c r="AF231" s="14">
        <f t="shared" si="71"/>
        <v>0</v>
      </c>
      <c r="AG231" s="14">
        <f t="shared" si="71"/>
        <v>0</v>
      </c>
      <c r="AH231" s="14">
        <f t="shared" si="71"/>
        <v>0</v>
      </c>
      <c r="AI231" s="14">
        <f t="shared" si="71"/>
        <v>0</v>
      </c>
      <c r="AJ231" s="14">
        <f t="shared" si="71"/>
        <v>0</v>
      </c>
      <c r="AK231" s="14">
        <f t="shared" si="71"/>
        <v>0</v>
      </c>
      <c r="AL231" s="14">
        <f t="shared" si="71"/>
        <v>0</v>
      </c>
      <c r="AM231" s="14">
        <f t="shared" si="71"/>
        <v>0</v>
      </c>
      <c r="AN231" s="14">
        <f t="shared" si="71"/>
        <v>0</v>
      </c>
      <c r="AO231" s="14">
        <f t="shared" si="71"/>
        <v>0</v>
      </c>
      <c r="AP231" s="14">
        <f t="shared" si="71"/>
        <v>0</v>
      </c>
      <c r="AQ231" s="14">
        <f t="shared" si="71"/>
        <v>0</v>
      </c>
      <c r="AR231" s="14">
        <f t="shared" si="71"/>
        <v>0</v>
      </c>
      <c r="AS231" s="14">
        <f t="shared" si="71"/>
        <v>0</v>
      </c>
    </row>
    <row r="232" spans="2:45" ht="6" hidden="1" customHeight="1" outlineLevel="2" x14ac:dyDescent="0.1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row>
    <row r="233" spans="2:45" outlineLevel="1" collapsed="1" x14ac:dyDescent="0.15">
      <c r="B233" s="107" t="s">
        <v>129</v>
      </c>
      <c r="J233" s="14">
        <f t="shared" ref="J233:AS233" si="72">J227+J231</f>
        <v>0</v>
      </c>
      <c r="K233" s="14">
        <f t="shared" si="72"/>
        <v>0</v>
      </c>
      <c r="L233" s="14">
        <f t="shared" si="72"/>
        <v>0</v>
      </c>
      <c r="M233" s="14">
        <f t="shared" si="72"/>
        <v>0</v>
      </c>
      <c r="N233" s="14">
        <f t="shared" si="72"/>
        <v>0</v>
      </c>
      <c r="O233" s="14">
        <f t="shared" si="72"/>
        <v>0</v>
      </c>
      <c r="P233" s="14">
        <f t="shared" si="72"/>
        <v>0</v>
      </c>
      <c r="Q233" s="14">
        <f t="shared" si="72"/>
        <v>0</v>
      </c>
      <c r="R233" s="14">
        <f t="shared" si="72"/>
        <v>0</v>
      </c>
      <c r="S233" s="14">
        <f t="shared" si="72"/>
        <v>0</v>
      </c>
      <c r="T233" s="14">
        <f t="shared" si="72"/>
        <v>0</v>
      </c>
      <c r="U233" s="14">
        <f t="shared" si="72"/>
        <v>0</v>
      </c>
      <c r="V233" s="14">
        <f t="shared" si="72"/>
        <v>0</v>
      </c>
      <c r="W233" s="14">
        <f t="shared" si="72"/>
        <v>0</v>
      </c>
      <c r="X233" s="14">
        <f t="shared" si="72"/>
        <v>0</v>
      </c>
      <c r="Y233" s="14">
        <f t="shared" si="72"/>
        <v>0</v>
      </c>
      <c r="Z233" s="14">
        <f t="shared" si="72"/>
        <v>0</v>
      </c>
      <c r="AA233" s="14">
        <f t="shared" si="72"/>
        <v>0</v>
      </c>
      <c r="AB233" s="14">
        <f t="shared" si="72"/>
        <v>0</v>
      </c>
      <c r="AC233" s="14">
        <f t="shared" si="72"/>
        <v>0</v>
      </c>
      <c r="AD233" s="14">
        <f t="shared" si="72"/>
        <v>0</v>
      </c>
      <c r="AE233" s="14">
        <f t="shared" si="72"/>
        <v>0</v>
      </c>
      <c r="AF233" s="14">
        <f t="shared" si="72"/>
        <v>0</v>
      </c>
      <c r="AG233" s="14">
        <f t="shared" si="72"/>
        <v>0</v>
      </c>
      <c r="AH233" s="14">
        <f t="shared" si="72"/>
        <v>0</v>
      </c>
      <c r="AI233" s="14">
        <f t="shared" si="72"/>
        <v>0</v>
      </c>
      <c r="AJ233" s="14">
        <f t="shared" si="72"/>
        <v>0</v>
      </c>
      <c r="AK233" s="14">
        <f t="shared" si="72"/>
        <v>0</v>
      </c>
      <c r="AL233" s="14">
        <f t="shared" si="72"/>
        <v>0</v>
      </c>
      <c r="AM233" s="14">
        <f t="shared" si="72"/>
        <v>0</v>
      </c>
      <c r="AN233" s="14">
        <f t="shared" si="72"/>
        <v>0</v>
      </c>
      <c r="AO233" s="14">
        <f t="shared" si="72"/>
        <v>0</v>
      </c>
      <c r="AP233" s="14">
        <f t="shared" si="72"/>
        <v>0</v>
      </c>
      <c r="AQ233" s="14">
        <f t="shared" si="72"/>
        <v>0</v>
      </c>
      <c r="AR233" s="14">
        <f t="shared" si="72"/>
        <v>0</v>
      </c>
      <c r="AS233" s="14">
        <f t="shared" si="72"/>
        <v>0</v>
      </c>
    </row>
    <row r="234" spans="2:45" ht="6" hidden="1" customHeight="1" outlineLevel="2" x14ac:dyDescent="0.15"/>
    <row r="235" spans="2:45" outlineLevel="1" collapsed="1" x14ac:dyDescent="0.15">
      <c r="B235" s="107" t="s">
        <v>130</v>
      </c>
      <c r="J235" s="14">
        <f>Tax!J379</f>
        <v>0</v>
      </c>
      <c r="K235" s="14">
        <f>Tax!K379</f>
        <v>0</v>
      </c>
      <c r="L235" s="14">
        <f ca="1">Tax!L379</f>
        <v>0</v>
      </c>
      <c r="M235" s="14">
        <f>Tax!M379</f>
        <v>0</v>
      </c>
      <c r="N235" s="14">
        <f>Tax!N379</f>
        <v>0</v>
      </c>
      <c r="O235" s="14">
        <f ca="1">Tax!O379</f>
        <v>0</v>
      </c>
      <c r="P235" s="14">
        <f>Tax!P379</f>
        <v>0</v>
      </c>
      <c r="Q235" s="14">
        <f>Tax!Q379</f>
        <v>0</v>
      </c>
      <c r="R235" s="14">
        <f ca="1">Tax!R379</f>
        <v>0</v>
      </c>
      <c r="S235" s="14">
        <f>Tax!S379</f>
        <v>0</v>
      </c>
      <c r="T235" s="14">
        <f ca="1">Tax!T379</f>
        <v>0</v>
      </c>
      <c r="U235" s="14">
        <f ca="1">Tax!U379</f>
        <v>0</v>
      </c>
      <c r="V235" s="14">
        <f ca="1">Tax!V379</f>
        <v>0</v>
      </c>
      <c r="W235" s="14">
        <f ca="1">Tax!W379</f>
        <v>0</v>
      </c>
      <c r="X235" s="14">
        <f ca="1">Tax!X379</f>
        <v>0</v>
      </c>
      <c r="Y235" s="14">
        <f ca="1">Tax!Y379</f>
        <v>0</v>
      </c>
      <c r="Z235" s="14">
        <f ca="1">Tax!Z379</f>
        <v>0</v>
      </c>
      <c r="AA235" s="14">
        <f ca="1">Tax!AA379</f>
        <v>0</v>
      </c>
      <c r="AB235" s="14">
        <f ca="1">Tax!AB379</f>
        <v>0</v>
      </c>
      <c r="AC235" s="14">
        <f ca="1">Tax!AC379</f>
        <v>0</v>
      </c>
      <c r="AD235" s="14">
        <f ca="1">Tax!AD379</f>
        <v>0</v>
      </c>
      <c r="AE235" s="14">
        <f ca="1">Tax!AE379</f>
        <v>0</v>
      </c>
      <c r="AF235" s="14">
        <f ca="1">Tax!AF379</f>
        <v>0</v>
      </c>
      <c r="AG235" s="14">
        <f ca="1">Tax!AG379</f>
        <v>0</v>
      </c>
      <c r="AH235" s="14">
        <f ca="1">Tax!AH379</f>
        <v>0</v>
      </c>
      <c r="AI235" s="14">
        <f ca="1">Tax!AI379</f>
        <v>0</v>
      </c>
      <c r="AJ235" s="14">
        <f ca="1">Tax!AJ379</f>
        <v>0</v>
      </c>
      <c r="AK235" s="14">
        <f ca="1">Tax!AK379</f>
        <v>0</v>
      </c>
      <c r="AL235" s="14">
        <f ca="1">Tax!AL379</f>
        <v>0</v>
      </c>
      <c r="AM235" s="14">
        <f ca="1">Tax!AM379</f>
        <v>0</v>
      </c>
      <c r="AN235" s="14">
        <f ca="1">Tax!AN379</f>
        <v>0</v>
      </c>
      <c r="AO235" s="14">
        <f ca="1">Tax!AO379</f>
        <v>0</v>
      </c>
      <c r="AP235" s="14">
        <f ca="1">Tax!AP379</f>
        <v>0</v>
      </c>
      <c r="AQ235" s="14">
        <f ca="1">Tax!AQ379</f>
        <v>0</v>
      </c>
      <c r="AR235" s="14">
        <f ca="1">Tax!AR379</f>
        <v>0</v>
      </c>
      <c r="AS235" s="14">
        <f ca="1">Tax!AS379</f>
        <v>0</v>
      </c>
    </row>
    <row r="236" spans="2:45" ht="6" hidden="1" customHeight="1" outlineLevel="2" x14ac:dyDescent="0.15"/>
    <row r="237" spans="2:45" hidden="1" outlineLevel="2" x14ac:dyDescent="0.15">
      <c r="B237" s="107" t="str">
        <f>Other!B51</f>
        <v>Other Current Assets - Operating Cash Flows</v>
      </c>
      <c r="J237" s="24">
        <f>Other!J51</f>
        <v>0</v>
      </c>
      <c r="K237" s="24">
        <f>Other!K51</f>
        <v>0</v>
      </c>
      <c r="L237" s="24">
        <f>Other!L51</f>
        <v>0</v>
      </c>
      <c r="M237" s="24">
        <f>Other!M51</f>
        <v>0</v>
      </c>
      <c r="N237" s="24">
        <f>Other!N51</f>
        <v>0</v>
      </c>
      <c r="O237" s="24">
        <f>Other!O51</f>
        <v>0</v>
      </c>
      <c r="P237" s="24">
        <f>Other!P51</f>
        <v>0</v>
      </c>
      <c r="Q237" s="24">
        <f>Other!Q51</f>
        <v>0</v>
      </c>
      <c r="R237" s="24">
        <f>Other!R51</f>
        <v>0</v>
      </c>
      <c r="S237" s="24">
        <f>Other!S51</f>
        <v>0</v>
      </c>
      <c r="T237" s="24">
        <f>Other!T51</f>
        <v>0</v>
      </c>
      <c r="U237" s="24">
        <f>Other!U51</f>
        <v>0</v>
      </c>
      <c r="V237" s="24">
        <f>Other!V51</f>
        <v>0</v>
      </c>
      <c r="W237" s="24">
        <f>Other!W51</f>
        <v>0</v>
      </c>
      <c r="X237" s="24">
        <f>Other!X51</f>
        <v>0</v>
      </c>
      <c r="Y237" s="24">
        <f>Other!Y51</f>
        <v>0</v>
      </c>
      <c r="Z237" s="24">
        <f>Other!Z51</f>
        <v>0</v>
      </c>
      <c r="AA237" s="24">
        <f>Other!AA51</f>
        <v>0</v>
      </c>
      <c r="AB237" s="24">
        <f>Other!AB51</f>
        <v>0</v>
      </c>
      <c r="AC237" s="24">
        <f>Other!AC51</f>
        <v>0</v>
      </c>
      <c r="AD237" s="24">
        <f>Other!AD51</f>
        <v>0</v>
      </c>
      <c r="AE237" s="24">
        <f>Other!AE51</f>
        <v>0</v>
      </c>
      <c r="AF237" s="24">
        <f>Other!AF51</f>
        <v>0</v>
      </c>
      <c r="AG237" s="24">
        <f>Other!AG51</f>
        <v>0</v>
      </c>
      <c r="AH237" s="24">
        <f>Other!AH51</f>
        <v>0</v>
      </c>
      <c r="AI237" s="24">
        <f>Other!AI51</f>
        <v>0</v>
      </c>
      <c r="AJ237" s="24">
        <f>Other!AJ51</f>
        <v>0</v>
      </c>
      <c r="AK237" s="24">
        <f>Other!AK51</f>
        <v>0</v>
      </c>
      <c r="AL237" s="24">
        <f>Other!AL51</f>
        <v>0</v>
      </c>
      <c r="AM237" s="24">
        <f>Other!AM51</f>
        <v>0</v>
      </c>
      <c r="AN237" s="24">
        <f>Other!AN51</f>
        <v>0</v>
      </c>
      <c r="AO237" s="24">
        <f>Other!AO51</f>
        <v>0</v>
      </c>
      <c r="AP237" s="24">
        <f>Other!AP51</f>
        <v>0</v>
      </c>
      <c r="AQ237" s="24">
        <f>Other!AQ51</f>
        <v>0</v>
      </c>
      <c r="AR237" s="24">
        <f>Other!AR51</f>
        <v>0</v>
      </c>
      <c r="AS237" s="24">
        <f>Other!AS51</f>
        <v>0</v>
      </c>
    </row>
    <row r="238" spans="2:45" outlineLevel="1" collapsed="1" x14ac:dyDescent="0.15">
      <c r="B238" s="107" t="s">
        <v>131</v>
      </c>
      <c r="J238" s="14">
        <f t="shared" ref="J238:AS238" si="73">SUM(J237:J237)</f>
        <v>0</v>
      </c>
      <c r="K238" s="14">
        <f t="shared" si="73"/>
        <v>0</v>
      </c>
      <c r="L238" s="14">
        <f t="shared" si="73"/>
        <v>0</v>
      </c>
      <c r="M238" s="14">
        <f t="shared" si="73"/>
        <v>0</v>
      </c>
      <c r="N238" s="14">
        <f t="shared" si="73"/>
        <v>0</v>
      </c>
      <c r="O238" s="14">
        <f t="shared" si="73"/>
        <v>0</v>
      </c>
      <c r="P238" s="14">
        <f t="shared" si="73"/>
        <v>0</v>
      </c>
      <c r="Q238" s="14">
        <f t="shared" si="73"/>
        <v>0</v>
      </c>
      <c r="R238" s="14">
        <f t="shared" si="73"/>
        <v>0</v>
      </c>
      <c r="S238" s="14">
        <f t="shared" si="73"/>
        <v>0</v>
      </c>
      <c r="T238" s="14">
        <f t="shared" si="73"/>
        <v>0</v>
      </c>
      <c r="U238" s="14">
        <f t="shared" si="73"/>
        <v>0</v>
      </c>
      <c r="V238" s="14">
        <f t="shared" si="73"/>
        <v>0</v>
      </c>
      <c r="W238" s="14">
        <f t="shared" si="73"/>
        <v>0</v>
      </c>
      <c r="X238" s="14">
        <f t="shared" si="73"/>
        <v>0</v>
      </c>
      <c r="Y238" s="14">
        <f t="shared" si="73"/>
        <v>0</v>
      </c>
      <c r="Z238" s="14">
        <f t="shared" si="73"/>
        <v>0</v>
      </c>
      <c r="AA238" s="14">
        <f t="shared" si="73"/>
        <v>0</v>
      </c>
      <c r="AB238" s="14">
        <f t="shared" si="73"/>
        <v>0</v>
      </c>
      <c r="AC238" s="14">
        <f t="shared" si="73"/>
        <v>0</v>
      </c>
      <c r="AD238" s="14">
        <f t="shared" si="73"/>
        <v>0</v>
      </c>
      <c r="AE238" s="14">
        <f t="shared" si="73"/>
        <v>0</v>
      </c>
      <c r="AF238" s="14">
        <f t="shared" si="73"/>
        <v>0</v>
      </c>
      <c r="AG238" s="14">
        <f t="shared" si="73"/>
        <v>0</v>
      </c>
      <c r="AH238" s="14">
        <f t="shared" si="73"/>
        <v>0</v>
      </c>
      <c r="AI238" s="14">
        <f t="shared" si="73"/>
        <v>0</v>
      </c>
      <c r="AJ238" s="14">
        <f t="shared" si="73"/>
        <v>0</v>
      </c>
      <c r="AK238" s="14">
        <f t="shared" si="73"/>
        <v>0</v>
      </c>
      <c r="AL238" s="14">
        <f t="shared" si="73"/>
        <v>0</v>
      </c>
      <c r="AM238" s="14">
        <f t="shared" si="73"/>
        <v>0</v>
      </c>
      <c r="AN238" s="14">
        <f t="shared" si="73"/>
        <v>0</v>
      </c>
      <c r="AO238" s="14">
        <f t="shared" si="73"/>
        <v>0</v>
      </c>
      <c r="AP238" s="14">
        <f t="shared" si="73"/>
        <v>0</v>
      </c>
      <c r="AQ238" s="14">
        <f t="shared" si="73"/>
        <v>0</v>
      </c>
      <c r="AR238" s="14">
        <f t="shared" si="73"/>
        <v>0</v>
      </c>
      <c r="AS238" s="14">
        <f t="shared" si="73"/>
        <v>0</v>
      </c>
    </row>
    <row r="239" spans="2:45" ht="6" hidden="1" customHeight="1" outlineLevel="2" x14ac:dyDescent="0.15"/>
    <row r="240" spans="2:45" outlineLevel="1" collapsed="1" x14ac:dyDescent="0.15">
      <c r="B240" s="16" t="s">
        <v>645</v>
      </c>
      <c r="J240" s="19">
        <f t="shared" ref="J240:AS240" ca="1" si="74">J187+J218+J220+J224+J233+J235+J238</f>
        <v>-44839.13014950537</v>
      </c>
      <c r="K240" s="19">
        <f t="shared" ca="1" si="74"/>
        <v>-11801.124452086973</v>
      </c>
      <c r="L240" s="19">
        <f t="shared" ca="1" si="74"/>
        <v>49225.272093748041</v>
      </c>
      <c r="M240" s="19">
        <f t="shared" ca="1" si="74"/>
        <v>5643.1918542666654</v>
      </c>
      <c r="N240" s="19">
        <f t="shared" ca="1" si="74"/>
        <v>-21541.310924787958</v>
      </c>
      <c r="O240" s="19">
        <f t="shared" ca="1" si="74"/>
        <v>8124.0366575019361</v>
      </c>
      <c r="P240" s="19">
        <f t="shared" ca="1" si="74"/>
        <v>4012.5865466769901</v>
      </c>
      <c r="Q240" s="19">
        <f t="shared" ca="1" si="74"/>
        <v>-20052.951431846024</v>
      </c>
      <c r="R240" s="19">
        <f t="shared" ca="1" si="74"/>
        <v>6749.9205951772892</v>
      </c>
      <c r="S240" s="19">
        <f t="shared" ca="1" si="74"/>
        <v>2953.1030368886022</v>
      </c>
      <c r="T240" s="19">
        <f t="shared" ca="1" si="74"/>
        <v>-19850.481238537635</v>
      </c>
      <c r="U240" s="19">
        <f t="shared" ca="1" si="74"/>
        <v>7102.9196392665808</v>
      </c>
      <c r="V240" s="19">
        <f t="shared" ca="1" si="74"/>
        <v>1850.9538972215059</v>
      </c>
      <c r="W240" s="19">
        <f t="shared" ca="1" si="74"/>
        <v>-17846.528074192091</v>
      </c>
      <c r="X240" s="19">
        <f t="shared" ca="1" si="74"/>
        <v>10048.92769301961</v>
      </c>
      <c r="Y240" s="19">
        <f t="shared" ca="1" si="74"/>
        <v>6549.2970672150523</v>
      </c>
      <c r="Z240" s="19">
        <f t="shared" ca="1" si="74"/>
        <v>-21934.795859120866</v>
      </c>
      <c r="AA240" s="19">
        <f t="shared" ca="1" si="74"/>
        <v>9109.553637593548</v>
      </c>
      <c r="AB240" s="19">
        <f t="shared" ca="1" si="74"/>
        <v>5873.3150038021504</v>
      </c>
      <c r="AC240" s="19">
        <f t="shared" ca="1" si="74"/>
        <v>-18152.415983412469</v>
      </c>
      <c r="AD240" s="19">
        <f t="shared" ca="1" si="74"/>
        <v>8115.2105396645175</v>
      </c>
      <c r="AE240" s="19">
        <f t="shared" ca="1" si="74"/>
        <v>4604.758287447743</v>
      </c>
      <c r="AF240" s="19">
        <f t="shared" ca="1" si="74"/>
        <v>-18480.817347700642</v>
      </c>
      <c r="AG240" s="19">
        <f t="shared" ca="1" si="74"/>
        <v>8493.2383109522543</v>
      </c>
      <c r="AH240" s="19">
        <f t="shared" ca="1" si="74"/>
        <v>3186.8271065118288</v>
      </c>
      <c r="AI240" s="19">
        <f t="shared" ca="1" si="74"/>
        <v>-15688.97531112344</v>
      </c>
      <c r="AJ240" s="19">
        <f t="shared" ca="1" si="74"/>
        <v>12161.713043563876</v>
      </c>
      <c r="AK240" s="19">
        <f t="shared" ca="1" si="74"/>
        <v>8192.8064086021495</v>
      </c>
      <c r="AL240" s="19">
        <f t="shared" ca="1" si="74"/>
        <v>-20894.242543523444</v>
      </c>
      <c r="AM240" s="19">
        <f t="shared" ca="1" si="74"/>
        <v>10615.572425868388</v>
      </c>
      <c r="AN240" s="19">
        <f t="shared" ca="1" si="74"/>
        <v>7406.3741526021504</v>
      </c>
      <c r="AO240" s="19">
        <f t="shared" ca="1" si="74"/>
        <v>-16818.072341304087</v>
      </c>
      <c r="AP240" s="19">
        <f t="shared" ca="1" si="74"/>
        <v>9192.5300080691632</v>
      </c>
      <c r="AQ240" s="19">
        <f t="shared" ca="1" si="74"/>
        <v>5683.7302883415068</v>
      </c>
      <c r="AR240" s="19">
        <f t="shared" ca="1" si="74"/>
        <v>-17155.747541546669</v>
      </c>
      <c r="AS240" s="19">
        <f t="shared" ca="1" si="74"/>
        <v>9648.8869740185801</v>
      </c>
    </row>
    <row r="241" spans="2:45" ht="6" customHeight="1" outlineLevel="1" x14ac:dyDescent="0.15"/>
    <row r="242" spans="2:45" hidden="1" outlineLevel="2" x14ac:dyDescent="0.15">
      <c r="B242" s="107" t="str">
        <f>Assets!B75</f>
        <v>Fencing Equipment</v>
      </c>
      <c r="J242" s="23">
        <f>-Assets!J75</f>
        <v>-10000</v>
      </c>
      <c r="K242" s="23">
        <f>-Assets!K75</f>
        <v>0</v>
      </c>
      <c r="L242" s="23">
        <f>-Assets!L75</f>
        <v>0</v>
      </c>
      <c r="M242" s="23">
        <f>-Assets!M75</f>
        <v>0</v>
      </c>
      <c r="N242" s="23">
        <f>-Assets!N75</f>
        <v>0</v>
      </c>
      <c r="O242" s="23">
        <f>-Assets!O75</f>
        <v>0</v>
      </c>
      <c r="P242" s="23">
        <f>-Assets!P75</f>
        <v>0</v>
      </c>
      <c r="Q242" s="23">
        <f>-Assets!Q75</f>
        <v>0</v>
      </c>
      <c r="R242" s="23">
        <f>-Assets!R75</f>
        <v>0</v>
      </c>
      <c r="S242" s="23">
        <f>-Assets!S75</f>
        <v>0</v>
      </c>
      <c r="T242" s="23">
        <f>-Assets!T75</f>
        <v>0</v>
      </c>
      <c r="U242" s="23">
        <f>-Assets!U75</f>
        <v>0</v>
      </c>
      <c r="V242" s="23">
        <f>-Assets!V75</f>
        <v>0</v>
      </c>
      <c r="W242" s="23">
        <f>-Assets!W75</f>
        <v>0</v>
      </c>
      <c r="X242" s="23">
        <f>-Assets!X75</f>
        <v>0</v>
      </c>
      <c r="Y242" s="23">
        <f>-Assets!Y75</f>
        <v>0</v>
      </c>
      <c r="Z242" s="23">
        <f>-Assets!Z75</f>
        <v>0</v>
      </c>
      <c r="AA242" s="23">
        <f>-Assets!AA75</f>
        <v>0</v>
      </c>
      <c r="AB242" s="23">
        <f>-Assets!AB75</f>
        <v>0</v>
      </c>
      <c r="AC242" s="23">
        <f>-Assets!AC75</f>
        <v>0</v>
      </c>
      <c r="AD242" s="23">
        <f>-Assets!AD75</f>
        <v>0</v>
      </c>
      <c r="AE242" s="23">
        <f>-Assets!AE75</f>
        <v>0</v>
      </c>
      <c r="AF242" s="23">
        <f>-Assets!AF75</f>
        <v>0</v>
      </c>
      <c r="AG242" s="23">
        <f>-Assets!AG75</f>
        <v>0</v>
      </c>
      <c r="AH242" s="23">
        <f>-Assets!AH75</f>
        <v>0</v>
      </c>
      <c r="AI242" s="23">
        <f>-Assets!AI75</f>
        <v>0</v>
      </c>
      <c r="AJ242" s="23">
        <f>-Assets!AJ75</f>
        <v>0</v>
      </c>
      <c r="AK242" s="23">
        <f>-Assets!AK75</f>
        <v>0</v>
      </c>
      <c r="AL242" s="23">
        <f>-Assets!AL75</f>
        <v>0</v>
      </c>
      <c r="AM242" s="23">
        <f>-Assets!AM75</f>
        <v>0</v>
      </c>
      <c r="AN242" s="23">
        <f>-Assets!AN75</f>
        <v>0</v>
      </c>
      <c r="AO242" s="23">
        <f>-Assets!AO75</f>
        <v>0</v>
      </c>
      <c r="AP242" s="23">
        <f>-Assets!AP75</f>
        <v>0</v>
      </c>
      <c r="AQ242" s="23">
        <f>-Assets!AQ75</f>
        <v>0</v>
      </c>
      <c r="AR242" s="23">
        <f>-Assets!AR75</f>
        <v>0</v>
      </c>
      <c r="AS242" s="23">
        <f>-Assets!AS75</f>
        <v>0</v>
      </c>
    </row>
    <row r="243" spans="2:45" hidden="1" outlineLevel="2" collapsed="1" x14ac:dyDescent="0.15">
      <c r="B243" s="107" t="str">
        <f>Assets!B76</f>
        <v>Leashold Improvements</v>
      </c>
      <c r="J243" s="24">
        <f>-Assets!J76</f>
        <v>-200000</v>
      </c>
      <c r="K243" s="24">
        <f>-Assets!K76</f>
        <v>0</v>
      </c>
      <c r="L243" s="24">
        <f>-Assets!L76</f>
        <v>0</v>
      </c>
      <c r="M243" s="24">
        <f>-Assets!M76</f>
        <v>0</v>
      </c>
      <c r="N243" s="24">
        <f>-Assets!N76</f>
        <v>0</v>
      </c>
      <c r="O243" s="24">
        <f>-Assets!O76</f>
        <v>0</v>
      </c>
      <c r="P243" s="24">
        <f>-Assets!P76</f>
        <v>0</v>
      </c>
      <c r="Q243" s="24">
        <f>-Assets!Q76</f>
        <v>0</v>
      </c>
      <c r="R243" s="24">
        <f>-Assets!R76</f>
        <v>0</v>
      </c>
      <c r="S243" s="24">
        <f>-Assets!S76</f>
        <v>0</v>
      </c>
      <c r="T243" s="24">
        <f>-Assets!T76</f>
        <v>0</v>
      </c>
      <c r="U243" s="24">
        <f>-Assets!U76</f>
        <v>0</v>
      </c>
      <c r="V243" s="24">
        <f>-Assets!V76</f>
        <v>0</v>
      </c>
      <c r="W243" s="24">
        <f>-Assets!W76</f>
        <v>0</v>
      </c>
      <c r="X243" s="24">
        <f>-Assets!X76</f>
        <v>0</v>
      </c>
      <c r="Y243" s="24">
        <f>-Assets!Y76</f>
        <v>0</v>
      </c>
      <c r="Z243" s="24">
        <f>-Assets!Z76</f>
        <v>0</v>
      </c>
      <c r="AA243" s="24">
        <f>-Assets!AA76</f>
        <v>0</v>
      </c>
      <c r="AB243" s="24">
        <f>-Assets!AB76</f>
        <v>0</v>
      </c>
      <c r="AC243" s="24">
        <f>-Assets!AC76</f>
        <v>0</v>
      </c>
      <c r="AD243" s="24">
        <f>-Assets!AD76</f>
        <v>0</v>
      </c>
      <c r="AE243" s="24">
        <f>-Assets!AE76</f>
        <v>0</v>
      </c>
      <c r="AF243" s="24">
        <f>-Assets!AF76</f>
        <v>0</v>
      </c>
      <c r="AG243" s="24">
        <f>-Assets!AG76</f>
        <v>0</v>
      </c>
      <c r="AH243" s="24">
        <f>-Assets!AH76</f>
        <v>0</v>
      </c>
      <c r="AI243" s="24">
        <f>-Assets!AI76</f>
        <v>0</v>
      </c>
      <c r="AJ243" s="24">
        <f>-Assets!AJ76</f>
        <v>0</v>
      </c>
      <c r="AK243" s="24">
        <f>-Assets!AK76</f>
        <v>0</v>
      </c>
      <c r="AL243" s="24">
        <f>-Assets!AL76</f>
        <v>0</v>
      </c>
      <c r="AM243" s="24">
        <f>-Assets!AM76</f>
        <v>0</v>
      </c>
      <c r="AN243" s="24">
        <f>-Assets!AN76</f>
        <v>0</v>
      </c>
      <c r="AO243" s="24">
        <f>-Assets!AO76</f>
        <v>0</v>
      </c>
      <c r="AP243" s="24">
        <f>-Assets!AP76</f>
        <v>0</v>
      </c>
      <c r="AQ243" s="24">
        <f>-Assets!AQ76</f>
        <v>0</v>
      </c>
      <c r="AR243" s="24">
        <f>-Assets!AR76</f>
        <v>0</v>
      </c>
      <c r="AS243" s="24">
        <f>-Assets!AS76</f>
        <v>0</v>
      </c>
    </row>
    <row r="244" spans="2:45" outlineLevel="1" collapsed="1" x14ac:dyDescent="0.15">
      <c r="B244" s="107" t="s">
        <v>133</v>
      </c>
      <c r="J244" s="14">
        <f t="shared" ref="J244:AS244" si="75">SUM(J242:J243)</f>
        <v>-210000</v>
      </c>
      <c r="K244" s="14">
        <f t="shared" si="75"/>
        <v>0</v>
      </c>
      <c r="L244" s="14">
        <f t="shared" si="75"/>
        <v>0</v>
      </c>
      <c r="M244" s="14">
        <f t="shared" si="75"/>
        <v>0</v>
      </c>
      <c r="N244" s="14">
        <f t="shared" si="75"/>
        <v>0</v>
      </c>
      <c r="O244" s="14">
        <f t="shared" si="75"/>
        <v>0</v>
      </c>
      <c r="P244" s="14">
        <f t="shared" si="75"/>
        <v>0</v>
      </c>
      <c r="Q244" s="14">
        <f t="shared" si="75"/>
        <v>0</v>
      </c>
      <c r="R244" s="14">
        <f t="shared" si="75"/>
        <v>0</v>
      </c>
      <c r="S244" s="14">
        <f t="shared" si="75"/>
        <v>0</v>
      </c>
      <c r="T244" s="14">
        <f t="shared" si="75"/>
        <v>0</v>
      </c>
      <c r="U244" s="14">
        <f t="shared" si="75"/>
        <v>0</v>
      </c>
      <c r="V244" s="14">
        <f t="shared" si="75"/>
        <v>0</v>
      </c>
      <c r="W244" s="14">
        <f t="shared" si="75"/>
        <v>0</v>
      </c>
      <c r="X244" s="14">
        <f t="shared" si="75"/>
        <v>0</v>
      </c>
      <c r="Y244" s="14">
        <f t="shared" si="75"/>
        <v>0</v>
      </c>
      <c r="Z244" s="14">
        <f t="shared" si="75"/>
        <v>0</v>
      </c>
      <c r="AA244" s="14">
        <f t="shared" si="75"/>
        <v>0</v>
      </c>
      <c r="AB244" s="14">
        <f t="shared" si="75"/>
        <v>0</v>
      </c>
      <c r="AC244" s="14">
        <f t="shared" si="75"/>
        <v>0</v>
      </c>
      <c r="AD244" s="14">
        <f t="shared" si="75"/>
        <v>0</v>
      </c>
      <c r="AE244" s="14">
        <f t="shared" si="75"/>
        <v>0</v>
      </c>
      <c r="AF244" s="14">
        <f t="shared" si="75"/>
        <v>0</v>
      </c>
      <c r="AG244" s="14">
        <f t="shared" si="75"/>
        <v>0</v>
      </c>
      <c r="AH244" s="14">
        <f t="shared" si="75"/>
        <v>0</v>
      </c>
      <c r="AI244" s="14">
        <f t="shared" si="75"/>
        <v>0</v>
      </c>
      <c r="AJ244" s="14">
        <f t="shared" si="75"/>
        <v>0</v>
      </c>
      <c r="AK244" s="14">
        <f t="shared" si="75"/>
        <v>0</v>
      </c>
      <c r="AL244" s="14">
        <f t="shared" si="75"/>
        <v>0</v>
      </c>
      <c r="AM244" s="14">
        <f t="shared" si="75"/>
        <v>0</v>
      </c>
      <c r="AN244" s="14">
        <f t="shared" si="75"/>
        <v>0</v>
      </c>
      <c r="AO244" s="14">
        <f t="shared" si="75"/>
        <v>0</v>
      </c>
      <c r="AP244" s="14">
        <f t="shared" si="75"/>
        <v>0</v>
      </c>
      <c r="AQ244" s="14">
        <f t="shared" si="75"/>
        <v>0</v>
      </c>
      <c r="AR244" s="14">
        <f t="shared" si="75"/>
        <v>0</v>
      </c>
      <c r="AS244" s="14">
        <f t="shared" si="75"/>
        <v>0</v>
      </c>
    </row>
    <row r="245" spans="2:45" ht="6" hidden="1" customHeight="1" outlineLevel="2" x14ac:dyDescent="0.15"/>
    <row r="246" spans="2:45" hidden="1" outlineLevel="2" x14ac:dyDescent="0.15">
      <c r="B246" s="107" t="str">
        <f>Other!B81</f>
        <v>Other Non-Current Assets - Investing Cash Flows</v>
      </c>
      <c r="J246" s="24">
        <f>Other!J81</f>
        <v>0</v>
      </c>
      <c r="K246" s="24">
        <f>Other!K81</f>
        <v>0</v>
      </c>
      <c r="L246" s="24">
        <f>Other!L81</f>
        <v>0</v>
      </c>
      <c r="M246" s="24">
        <f>Other!M81</f>
        <v>0</v>
      </c>
      <c r="N246" s="24">
        <f>Other!N81</f>
        <v>0</v>
      </c>
      <c r="O246" s="24">
        <f>Other!O81</f>
        <v>0</v>
      </c>
      <c r="P246" s="24">
        <f>Other!P81</f>
        <v>0</v>
      </c>
      <c r="Q246" s="24">
        <f>Other!Q81</f>
        <v>0</v>
      </c>
      <c r="R246" s="24">
        <f>Other!R81</f>
        <v>0</v>
      </c>
      <c r="S246" s="24">
        <f>Other!S81</f>
        <v>0</v>
      </c>
      <c r="T246" s="24">
        <f>Other!T81</f>
        <v>0</v>
      </c>
      <c r="U246" s="24">
        <f>Other!U81</f>
        <v>0</v>
      </c>
      <c r="V246" s="24">
        <f>Other!V81</f>
        <v>0</v>
      </c>
      <c r="W246" s="24">
        <f>Other!W81</f>
        <v>0</v>
      </c>
      <c r="X246" s="24">
        <f>Other!X81</f>
        <v>0</v>
      </c>
      <c r="Y246" s="24">
        <f>Other!Y81</f>
        <v>0</v>
      </c>
      <c r="Z246" s="24">
        <f>Other!Z81</f>
        <v>0</v>
      </c>
      <c r="AA246" s="24">
        <f>Other!AA81</f>
        <v>0</v>
      </c>
      <c r="AB246" s="24">
        <f>Other!AB81</f>
        <v>0</v>
      </c>
      <c r="AC246" s="24">
        <f>Other!AC81</f>
        <v>0</v>
      </c>
      <c r="AD246" s="24">
        <f>Other!AD81</f>
        <v>0</v>
      </c>
      <c r="AE246" s="24">
        <f>Other!AE81</f>
        <v>0</v>
      </c>
      <c r="AF246" s="24">
        <f>Other!AF81</f>
        <v>0</v>
      </c>
      <c r="AG246" s="24">
        <f>Other!AG81</f>
        <v>0</v>
      </c>
      <c r="AH246" s="24">
        <f>Other!AH81</f>
        <v>0</v>
      </c>
      <c r="AI246" s="24">
        <f>Other!AI81</f>
        <v>0</v>
      </c>
      <c r="AJ246" s="24">
        <f>Other!AJ81</f>
        <v>0</v>
      </c>
      <c r="AK246" s="24">
        <f>Other!AK81</f>
        <v>0</v>
      </c>
      <c r="AL246" s="24">
        <f>Other!AL81</f>
        <v>0</v>
      </c>
      <c r="AM246" s="24">
        <f>Other!AM81</f>
        <v>0</v>
      </c>
      <c r="AN246" s="24">
        <f>Other!AN81</f>
        <v>0</v>
      </c>
      <c r="AO246" s="24">
        <f>Other!AO81</f>
        <v>0</v>
      </c>
      <c r="AP246" s="24">
        <f>Other!AP81</f>
        <v>0</v>
      </c>
      <c r="AQ246" s="24">
        <f>Other!AQ81</f>
        <v>0</v>
      </c>
      <c r="AR246" s="24">
        <f>Other!AR81</f>
        <v>0</v>
      </c>
      <c r="AS246" s="24">
        <f>Other!AS81</f>
        <v>0</v>
      </c>
    </row>
    <row r="247" spans="2:45" outlineLevel="1" collapsed="1" x14ac:dyDescent="0.15">
      <c r="B247" s="107" t="s">
        <v>134</v>
      </c>
      <c r="J247" s="14">
        <f t="shared" ref="J247:AS247" si="76">SUM(J246:J246)</f>
        <v>0</v>
      </c>
      <c r="K247" s="14">
        <f t="shared" si="76"/>
        <v>0</v>
      </c>
      <c r="L247" s="14">
        <f t="shared" si="76"/>
        <v>0</v>
      </c>
      <c r="M247" s="14">
        <f t="shared" si="76"/>
        <v>0</v>
      </c>
      <c r="N247" s="14">
        <f t="shared" si="76"/>
        <v>0</v>
      </c>
      <c r="O247" s="14">
        <f t="shared" si="76"/>
        <v>0</v>
      </c>
      <c r="P247" s="14">
        <f t="shared" si="76"/>
        <v>0</v>
      </c>
      <c r="Q247" s="14">
        <f t="shared" si="76"/>
        <v>0</v>
      </c>
      <c r="R247" s="14">
        <f t="shared" si="76"/>
        <v>0</v>
      </c>
      <c r="S247" s="14">
        <f t="shared" si="76"/>
        <v>0</v>
      </c>
      <c r="T247" s="14">
        <f t="shared" si="76"/>
        <v>0</v>
      </c>
      <c r="U247" s="14">
        <f t="shared" si="76"/>
        <v>0</v>
      </c>
      <c r="V247" s="14">
        <f t="shared" si="76"/>
        <v>0</v>
      </c>
      <c r="W247" s="14">
        <f t="shared" si="76"/>
        <v>0</v>
      </c>
      <c r="X247" s="14">
        <f t="shared" si="76"/>
        <v>0</v>
      </c>
      <c r="Y247" s="14">
        <f t="shared" si="76"/>
        <v>0</v>
      </c>
      <c r="Z247" s="14">
        <f t="shared" si="76"/>
        <v>0</v>
      </c>
      <c r="AA247" s="14">
        <f t="shared" si="76"/>
        <v>0</v>
      </c>
      <c r="AB247" s="14">
        <f t="shared" si="76"/>
        <v>0</v>
      </c>
      <c r="AC247" s="14">
        <f t="shared" si="76"/>
        <v>0</v>
      </c>
      <c r="AD247" s="14">
        <f t="shared" si="76"/>
        <v>0</v>
      </c>
      <c r="AE247" s="14">
        <f t="shared" si="76"/>
        <v>0</v>
      </c>
      <c r="AF247" s="14">
        <f t="shared" si="76"/>
        <v>0</v>
      </c>
      <c r="AG247" s="14">
        <f t="shared" si="76"/>
        <v>0</v>
      </c>
      <c r="AH247" s="14">
        <f t="shared" si="76"/>
        <v>0</v>
      </c>
      <c r="AI247" s="14">
        <f t="shared" si="76"/>
        <v>0</v>
      </c>
      <c r="AJ247" s="14">
        <f t="shared" si="76"/>
        <v>0</v>
      </c>
      <c r="AK247" s="14">
        <f t="shared" si="76"/>
        <v>0</v>
      </c>
      <c r="AL247" s="14">
        <f t="shared" si="76"/>
        <v>0</v>
      </c>
      <c r="AM247" s="14">
        <f t="shared" si="76"/>
        <v>0</v>
      </c>
      <c r="AN247" s="14">
        <f t="shared" si="76"/>
        <v>0</v>
      </c>
      <c r="AO247" s="14">
        <f t="shared" si="76"/>
        <v>0</v>
      </c>
      <c r="AP247" s="14">
        <f t="shared" si="76"/>
        <v>0</v>
      </c>
      <c r="AQ247" s="14">
        <f t="shared" si="76"/>
        <v>0</v>
      </c>
      <c r="AR247" s="14">
        <f t="shared" si="76"/>
        <v>0</v>
      </c>
      <c r="AS247" s="14">
        <f t="shared" si="76"/>
        <v>0</v>
      </c>
    </row>
    <row r="248" spans="2:45" ht="6" hidden="1" customHeight="1" outlineLevel="2" x14ac:dyDescent="0.15"/>
    <row r="249" spans="2:45" outlineLevel="1" collapsed="1" x14ac:dyDescent="0.15">
      <c r="B249" s="16" t="s">
        <v>646</v>
      </c>
      <c r="J249" s="19">
        <f t="shared" ref="J249:AS249" si="77">J244+J247</f>
        <v>-210000</v>
      </c>
      <c r="K249" s="19">
        <f t="shared" si="77"/>
        <v>0</v>
      </c>
      <c r="L249" s="19">
        <f t="shared" si="77"/>
        <v>0</v>
      </c>
      <c r="M249" s="19">
        <f t="shared" si="77"/>
        <v>0</v>
      </c>
      <c r="N249" s="19">
        <f t="shared" si="77"/>
        <v>0</v>
      </c>
      <c r="O249" s="19">
        <f t="shared" si="77"/>
        <v>0</v>
      </c>
      <c r="P249" s="19">
        <f t="shared" si="77"/>
        <v>0</v>
      </c>
      <c r="Q249" s="19">
        <f t="shared" si="77"/>
        <v>0</v>
      </c>
      <c r="R249" s="19">
        <f t="shared" si="77"/>
        <v>0</v>
      </c>
      <c r="S249" s="19">
        <f t="shared" si="77"/>
        <v>0</v>
      </c>
      <c r="T249" s="19">
        <f t="shared" si="77"/>
        <v>0</v>
      </c>
      <c r="U249" s="19">
        <f t="shared" si="77"/>
        <v>0</v>
      </c>
      <c r="V249" s="19">
        <f t="shared" si="77"/>
        <v>0</v>
      </c>
      <c r="W249" s="19">
        <f t="shared" si="77"/>
        <v>0</v>
      </c>
      <c r="X249" s="19">
        <f t="shared" si="77"/>
        <v>0</v>
      </c>
      <c r="Y249" s="19">
        <f t="shared" si="77"/>
        <v>0</v>
      </c>
      <c r="Z249" s="19">
        <f t="shared" si="77"/>
        <v>0</v>
      </c>
      <c r="AA249" s="19">
        <f t="shared" si="77"/>
        <v>0</v>
      </c>
      <c r="AB249" s="19">
        <f t="shared" si="77"/>
        <v>0</v>
      </c>
      <c r="AC249" s="19">
        <f t="shared" si="77"/>
        <v>0</v>
      </c>
      <c r="AD249" s="19">
        <f t="shared" si="77"/>
        <v>0</v>
      </c>
      <c r="AE249" s="19">
        <f t="shared" si="77"/>
        <v>0</v>
      </c>
      <c r="AF249" s="19">
        <f t="shared" si="77"/>
        <v>0</v>
      </c>
      <c r="AG249" s="19">
        <f t="shared" si="77"/>
        <v>0</v>
      </c>
      <c r="AH249" s="19">
        <f t="shared" si="77"/>
        <v>0</v>
      </c>
      <c r="AI249" s="19">
        <f t="shared" si="77"/>
        <v>0</v>
      </c>
      <c r="AJ249" s="19">
        <f t="shared" si="77"/>
        <v>0</v>
      </c>
      <c r="AK249" s="19">
        <f t="shared" si="77"/>
        <v>0</v>
      </c>
      <c r="AL249" s="19">
        <f t="shared" si="77"/>
        <v>0</v>
      </c>
      <c r="AM249" s="19">
        <f t="shared" si="77"/>
        <v>0</v>
      </c>
      <c r="AN249" s="19">
        <f t="shared" si="77"/>
        <v>0</v>
      </c>
      <c r="AO249" s="19">
        <f t="shared" si="77"/>
        <v>0</v>
      </c>
      <c r="AP249" s="19">
        <f t="shared" si="77"/>
        <v>0</v>
      </c>
      <c r="AQ249" s="19">
        <f t="shared" si="77"/>
        <v>0</v>
      </c>
      <c r="AR249" s="19">
        <f t="shared" si="77"/>
        <v>0</v>
      </c>
      <c r="AS249" s="19">
        <f t="shared" si="77"/>
        <v>0</v>
      </c>
    </row>
    <row r="250" spans="2:45" ht="6" customHeight="1" outlineLevel="1" x14ac:dyDescent="0.15"/>
    <row r="251" spans="2:45" hidden="1" outlineLevel="2" x14ac:dyDescent="0.15">
      <c r="B251" s="107" t="str">
        <f>Capital!I34</f>
        <v>Operating Grants</v>
      </c>
      <c r="J251" s="23">
        <f>Capital!J34</f>
        <v>0</v>
      </c>
      <c r="K251" s="23">
        <f>Capital!K34</f>
        <v>0</v>
      </c>
      <c r="L251" s="23">
        <f>Capital!L34</f>
        <v>0</v>
      </c>
      <c r="M251" s="23">
        <f>Capital!M34</f>
        <v>0</v>
      </c>
      <c r="N251" s="23">
        <f>Capital!N34</f>
        <v>0</v>
      </c>
      <c r="O251" s="23">
        <f>Capital!O34</f>
        <v>0</v>
      </c>
      <c r="P251" s="23">
        <f>Capital!P34</f>
        <v>0</v>
      </c>
      <c r="Q251" s="23">
        <f>Capital!Q34</f>
        <v>0</v>
      </c>
      <c r="R251" s="23">
        <f>Capital!R34</f>
        <v>0</v>
      </c>
      <c r="S251" s="23">
        <f>Capital!S34</f>
        <v>0</v>
      </c>
      <c r="T251" s="23">
        <f>Capital!T34</f>
        <v>0</v>
      </c>
      <c r="U251" s="23">
        <f>Capital!U34</f>
        <v>0</v>
      </c>
      <c r="V251" s="23">
        <f>Capital!V34</f>
        <v>0</v>
      </c>
      <c r="W251" s="23">
        <f>Capital!W34</f>
        <v>0</v>
      </c>
      <c r="X251" s="23">
        <f>Capital!X34</f>
        <v>0</v>
      </c>
      <c r="Y251" s="23">
        <f>Capital!Y34</f>
        <v>0</v>
      </c>
      <c r="Z251" s="23">
        <f>Capital!Z34</f>
        <v>0</v>
      </c>
      <c r="AA251" s="23">
        <f>Capital!AA34</f>
        <v>0</v>
      </c>
      <c r="AB251" s="23">
        <f>Capital!AB34</f>
        <v>0</v>
      </c>
      <c r="AC251" s="23">
        <f>Capital!AC34</f>
        <v>0</v>
      </c>
      <c r="AD251" s="23">
        <f>Capital!AD34</f>
        <v>0</v>
      </c>
      <c r="AE251" s="23">
        <f>Capital!AE34</f>
        <v>0</v>
      </c>
      <c r="AF251" s="23">
        <f>Capital!AF34</f>
        <v>0</v>
      </c>
      <c r="AG251" s="23">
        <f>Capital!AG34</f>
        <v>0</v>
      </c>
      <c r="AH251" s="23">
        <f>Capital!AH34</f>
        <v>0</v>
      </c>
      <c r="AI251" s="23">
        <f>Capital!AI34</f>
        <v>0</v>
      </c>
      <c r="AJ251" s="23">
        <f>Capital!AJ34</f>
        <v>0</v>
      </c>
      <c r="AK251" s="23">
        <f>Capital!AK34</f>
        <v>0</v>
      </c>
      <c r="AL251" s="23">
        <f>Capital!AL34</f>
        <v>0</v>
      </c>
      <c r="AM251" s="23">
        <f>Capital!AM34</f>
        <v>0</v>
      </c>
      <c r="AN251" s="23">
        <f>Capital!AN34</f>
        <v>0</v>
      </c>
      <c r="AO251" s="23">
        <f>Capital!AO34</f>
        <v>0</v>
      </c>
      <c r="AP251" s="23">
        <f>Capital!AP34</f>
        <v>0</v>
      </c>
      <c r="AQ251" s="23">
        <f>Capital!AQ34</f>
        <v>0</v>
      </c>
      <c r="AR251" s="23">
        <f>Capital!AR34</f>
        <v>0</v>
      </c>
      <c r="AS251" s="23">
        <f>Capital!AS34</f>
        <v>0</v>
      </c>
    </row>
    <row r="252" spans="2:45" hidden="1" outlineLevel="2" collapsed="1" x14ac:dyDescent="0.15">
      <c r="B252" s="107" t="str">
        <f>Capital!I60</f>
        <v>CAPEX Grant</v>
      </c>
      <c r="J252" s="24">
        <f>Capital!J60</f>
        <v>300000</v>
      </c>
      <c r="K252" s="24">
        <f>Capital!K60</f>
        <v>0</v>
      </c>
      <c r="L252" s="24">
        <f>Capital!L60</f>
        <v>0</v>
      </c>
      <c r="M252" s="24">
        <f>Capital!M60</f>
        <v>0</v>
      </c>
      <c r="N252" s="24">
        <f>Capital!N60</f>
        <v>0</v>
      </c>
      <c r="O252" s="24">
        <f>Capital!O60</f>
        <v>0</v>
      </c>
      <c r="P252" s="24">
        <f>Capital!P60</f>
        <v>0</v>
      </c>
      <c r="Q252" s="24">
        <f>Capital!Q60</f>
        <v>0</v>
      </c>
      <c r="R252" s="24">
        <f>Capital!R60</f>
        <v>0</v>
      </c>
      <c r="S252" s="24">
        <f>Capital!S60</f>
        <v>0</v>
      </c>
      <c r="T252" s="24">
        <f>Capital!T60</f>
        <v>0</v>
      </c>
      <c r="U252" s="24">
        <f>Capital!U60</f>
        <v>0</v>
      </c>
      <c r="V252" s="24">
        <f>Capital!V60</f>
        <v>0</v>
      </c>
      <c r="W252" s="24">
        <f>Capital!W60</f>
        <v>0</v>
      </c>
      <c r="X252" s="24">
        <f>Capital!X60</f>
        <v>0</v>
      </c>
      <c r="Y252" s="24">
        <f>Capital!Y60</f>
        <v>0</v>
      </c>
      <c r="Z252" s="24">
        <f>Capital!Z60</f>
        <v>0</v>
      </c>
      <c r="AA252" s="24">
        <f>Capital!AA60</f>
        <v>0</v>
      </c>
      <c r="AB252" s="24">
        <f>Capital!AB60</f>
        <v>0</v>
      </c>
      <c r="AC252" s="24">
        <f>Capital!AC60</f>
        <v>0</v>
      </c>
      <c r="AD252" s="24">
        <f>Capital!AD60</f>
        <v>0</v>
      </c>
      <c r="AE252" s="24">
        <f>Capital!AE60</f>
        <v>0</v>
      </c>
      <c r="AF252" s="24">
        <f>Capital!AF60</f>
        <v>0</v>
      </c>
      <c r="AG252" s="24">
        <f>Capital!AG60</f>
        <v>0</v>
      </c>
      <c r="AH252" s="24">
        <f>Capital!AH60</f>
        <v>0</v>
      </c>
      <c r="AI252" s="24">
        <f>Capital!AI60</f>
        <v>0</v>
      </c>
      <c r="AJ252" s="24">
        <f>Capital!AJ60</f>
        <v>0</v>
      </c>
      <c r="AK252" s="24">
        <f>Capital!AK60</f>
        <v>0</v>
      </c>
      <c r="AL252" s="24">
        <f>Capital!AL60</f>
        <v>0</v>
      </c>
      <c r="AM252" s="24">
        <f>Capital!AM60</f>
        <v>0</v>
      </c>
      <c r="AN252" s="24">
        <f>Capital!AN60</f>
        <v>0</v>
      </c>
      <c r="AO252" s="24">
        <f>Capital!AO60</f>
        <v>0</v>
      </c>
      <c r="AP252" s="24">
        <f>Capital!AP60</f>
        <v>0</v>
      </c>
      <c r="AQ252" s="24">
        <f>Capital!AQ60</f>
        <v>0</v>
      </c>
      <c r="AR252" s="24">
        <f>Capital!AR60</f>
        <v>0</v>
      </c>
      <c r="AS252" s="24">
        <f>Capital!AS60</f>
        <v>0</v>
      </c>
    </row>
    <row r="253" spans="2:45" outlineLevel="1" collapsed="1" x14ac:dyDescent="0.15">
      <c r="B253" s="107" t="s">
        <v>136</v>
      </c>
      <c r="J253" s="14">
        <f t="shared" ref="J253:AS253" si="78">SUM(J251:J252)</f>
        <v>300000</v>
      </c>
      <c r="K253" s="14">
        <f t="shared" si="78"/>
        <v>0</v>
      </c>
      <c r="L253" s="14">
        <f t="shared" si="78"/>
        <v>0</v>
      </c>
      <c r="M253" s="14">
        <f t="shared" si="78"/>
        <v>0</v>
      </c>
      <c r="N253" s="14">
        <f t="shared" si="78"/>
        <v>0</v>
      </c>
      <c r="O253" s="14">
        <f t="shared" si="78"/>
        <v>0</v>
      </c>
      <c r="P253" s="14">
        <f t="shared" si="78"/>
        <v>0</v>
      </c>
      <c r="Q253" s="14">
        <f t="shared" si="78"/>
        <v>0</v>
      </c>
      <c r="R253" s="14">
        <f t="shared" si="78"/>
        <v>0</v>
      </c>
      <c r="S253" s="14">
        <f t="shared" si="78"/>
        <v>0</v>
      </c>
      <c r="T253" s="14">
        <f t="shared" si="78"/>
        <v>0</v>
      </c>
      <c r="U253" s="14">
        <f t="shared" si="78"/>
        <v>0</v>
      </c>
      <c r="V253" s="14">
        <f t="shared" si="78"/>
        <v>0</v>
      </c>
      <c r="W253" s="14">
        <f t="shared" si="78"/>
        <v>0</v>
      </c>
      <c r="X253" s="14">
        <f t="shared" si="78"/>
        <v>0</v>
      </c>
      <c r="Y253" s="14">
        <f t="shared" si="78"/>
        <v>0</v>
      </c>
      <c r="Z253" s="14">
        <f t="shared" si="78"/>
        <v>0</v>
      </c>
      <c r="AA253" s="14">
        <f t="shared" si="78"/>
        <v>0</v>
      </c>
      <c r="AB253" s="14">
        <f t="shared" si="78"/>
        <v>0</v>
      </c>
      <c r="AC253" s="14">
        <f t="shared" si="78"/>
        <v>0</v>
      </c>
      <c r="AD253" s="14">
        <f t="shared" si="78"/>
        <v>0</v>
      </c>
      <c r="AE253" s="14">
        <f t="shared" si="78"/>
        <v>0</v>
      </c>
      <c r="AF253" s="14">
        <f t="shared" si="78"/>
        <v>0</v>
      </c>
      <c r="AG253" s="14">
        <f t="shared" si="78"/>
        <v>0</v>
      </c>
      <c r="AH253" s="14">
        <f t="shared" si="78"/>
        <v>0</v>
      </c>
      <c r="AI253" s="14">
        <f t="shared" si="78"/>
        <v>0</v>
      </c>
      <c r="AJ253" s="14">
        <f t="shared" si="78"/>
        <v>0</v>
      </c>
      <c r="AK253" s="14">
        <f t="shared" si="78"/>
        <v>0</v>
      </c>
      <c r="AL253" s="14">
        <f t="shared" si="78"/>
        <v>0</v>
      </c>
      <c r="AM253" s="14">
        <f t="shared" si="78"/>
        <v>0</v>
      </c>
      <c r="AN253" s="14">
        <f t="shared" si="78"/>
        <v>0</v>
      </c>
      <c r="AO253" s="14">
        <f t="shared" si="78"/>
        <v>0</v>
      </c>
      <c r="AP253" s="14">
        <f t="shared" si="78"/>
        <v>0</v>
      </c>
      <c r="AQ253" s="14">
        <f t="shared" si="78"/>
        <v>0</v>
      </c>
      <c r="AR253" s="14">
        <f t="shared" si="78"/>
        <v>0</v>
      </c>
      <c r="AS253" s="14">
        <f t="shared" si="78"/>
        <v>0</v>
      </c>
    </row>
    <row r="254" spans="2:45" ht="6" hidden="1" customHeight="1" outlineLevel="2" x14ac:dyDescent="0.15"/>
    <row r="255" spans="2:45" hidden="1" outlineLevel="2" x14ac:dyDescent="0.15">
      <c r="B255" s="107" t="str">
        <f>Capital!I36</f>
        <v>Operating Grants</v>
      </c>
      <c r="J255" s="23">
        <f>Capital!J36</f>
        <v>0</v>
      </c>
      <c r="K255" s="23">
        <f>Capital!K36</f>
        <v>0</v>
      </c>
      <c r="L255" s="23">
        <f>Capital!L36</f>
        <v>0</v>
      </c>
      <c r="M255" s="23">
        <f>Capital!M36</f>
        <v>0</v>
      </c>
      <c r="N255" s="23">
        <f>Capital!N36</f>
        <v>0</v>
      </c>
      <c r="O255" s="23">
        <f>Capital!O36</f>
        <v>0</v>
      </c>
      <c r="P255" s="23">
        <f>Capital!P36</f>
        <v>0</v>
      </c>
      <c r="Q255" s="23">
        <f>Capital!Q36</f>
        <v>0</v>
      </c>
      <c r="R255" s="23">
        <f>Capital!R36</f>
        <v>0</v>
      </c>
      <c r="S255" s="23">
        <f>Capital!S36</f>
        <v>0</v>
      </c>
      <c r="T255" s="23">
        <f>Capital!T36</f>
        <v>0</v>
      </c>
      <c r="U255" s="23">
        <f>Capital!U36</f>
        <v>0</v>
      </c>
      <c r="V255" s="23">
        <f>Capital!V36</f>
        <v>0</v>
      </c>
      <c r="W255" s="23">
        <f>Capital!W36</f>
        <v>0</v>
      </c>
      <c r="X255" s="23">
        <f>Capital!X36</f>
        <v>0</v>
      </c>
      <c r="Y255" s="23">
        <f>Capital!Y36</f>
        <v>0</v>
      </c>
      <c r="Z255" s="23">
        <f>Capital!Z36</f>
        <v>0</v>
      </c>
      <c r="AA255" s="23">
        <f>Capital!AA36</f>
        <v>0</v>
      </c>
      <c r="AB255" s="23">
        <f>Capital!AB36</f>
        <v>0</v>
      </c>
      <c r="AC255" s="23">
        <f>Capital!AC36</f>
        <v>0</v>
      </c>
      <c r="AD255" s="23">
        <f>Capital!AD36</f>
        <v>0</v>
      </c>
      <c r="AE255" s="23">
        <f>Capital!AE36</f>
        <v>0</v>
      </c>
      <c r="AF255" s="23">
        <f>Capital!AF36</f>
        <v>0</v>
      </c>
      <c r="AG255" s="23">
        <f>Capital!AG36</f>
        <v>0</v>
      </c>
      <c r="AH255" s="23">
        <f>Capital!AH36</f>
        <v>0</v>
      </c>
      <c r="AI255" s="23">
        <f>Capital!AI36</f>
        <v>0</v>
      </c>
      <c r="AJ255" s="23">
        <f>Capital!AJ36</f>
        <v>0</v>
      </c>
      <c r="AK255" s="23">
        <f>Capital!AK36</f>
        <v>0</v>
      </c>
      <c r="AL255" s="23">
        <f>Capital!AL36</f>
        <v>0</v>
      </c>
      <c r="AM255" s="23">
        <f>Capital!AM36</f>
        <v>0</v>
      </c>
      <c r="AN255" s="23">
        <f>Capital!AN36</f>
        <v>0</v>
      </c>
      <c r="AO255" s="23">
        <f>Capital!AO36</f>
        <v>0</v>
      </c>
      <c r="AP255" s="23">
        <f>Capital!AP36</f>
        <v>0</v>
      </c>
      <c r="AQ255" s="23">
        <f>Capital!AQ36</f>
        <v>0</v>
      </c>
      <c r="AR255" s="23">
        <f>Capital!AR36</f>
        <v>0</v>
      </c>
      <c r="AS255" s="23">
        <f>Capital!AS36</f>
        <v>0</v>
      </c>
    </row>
    <row r="256" spans="2:45" hidden="1" outlineLevel="2" collapsed="1" x14ac:dyDescent="0.15">
      <c r="B256" s="107" t="str">
        <f>Capital!I62</f>
        <v>CAPEX Grant</v>
      </c>
      <c r="J256" s="24">
        <f>Capital!J62</f>
        <v>0</v>
      </c>
      <c r="K256" s="24">
        <f>Capital!K62</f>
        <v>0</v>
      </c>
      <c r="L256" s="24">
        <f>Capital!L62</f>
        <v>0</v>
      </c>
      <c r="M256" s="24">
        <f>Capital!M62</f>
        <v>0</v>
      </c>
      <c r="N256" s="24">
        <f>Capital!N62</f>
        <v>0</v>
      </c>
      <c r="O256" s="24">
        <f>Capital!O62</f>
        <v>0</v>
      </c>
      <c r="P256" s="24">
        <f>Capital!P62</f>
        <v>0</v>
      </c>
      <c r="Q256" s="24">
        <f>Capital!Q62</f>
        <v>0</v>
      </c>
      <c r="R256" s="24">
        <f>Capital!R62</f>
        <v>0</v>
      </c>
      <c r="S256" s="24">
        <f>Capital!S62</f>
        <v>0</v>
      </c>
      <c r="T256" s="24">
        <f>Capital!T62</f>
        <v>0</v>
      </c>
      <c r="U256" s="24">
        <f>Capital!U62</f>
        <v>0</v>
      </c>
      <c r="V256" s="24">
        <f>Capital!V62</f>
        <v>0</v>
      </c>
      <c r="W256" s="24">
        <f>Capital!W62</f>
        <v>0</v>
      </c>
      <c r="X256" s="24">
        <f>Capital!X62</f>
        <v>0</v>
      </c>
      <c r="Y256" s="24">
        <f>Capital!Y62</f>
        <v>0</v>
      </c>
      <c r="Z256" s="24">
        <f>Capital!Z62</f>
        <v>0</v>
      </c>
      <c r="AA256" s="24">
        <f>Capital!AA62</f>
        <v>0</v>
      </c>
      <c r="AB256" s="24">
        <f>Capital!AB62</f>
        <v>0</v>
      </c>
      <c r="AC256" s="24">
        <f>Capital!AC62</f>
        <v>0</v>
      </c>
      <c r="AD256" s="24">
        <f>Capital!AD62</f>
        <v>0</v>
      </c>
      <c r="AE256" s="24">
        <f>Capital!AE62</f>
        <v>0</v>
      </c>
      <c r="AF256" s="24">
        <f>Capital!AF62</f>
        <v>0</v>
      </c>
      <c r="AG256" s="24">
        <f>Capital!AG62</f>
        <v>0</v>
      </c>
      <c r="AH256" s="24">
        <f>Capital!AH62</f>
        <v>0</v>
      </c>
      <c r="AI256" s="24">
        <f>Capital!AI62</f>
        <v>0</v>
      </c>
      <c r="AJ256" s="24">
        <f>Capital!AJ62</f>
        <v>0</v>
      </c>
      <c r="AK256" s="24">
        <f>Capital!AK62</f>
        <v>0</v>
      </c>
      <c r="AL256" s="24">
        <f>Capital!AL62</f>
        <v>0</v>
      </c>
      <c r="AM256" s="24">
        <f>Capital!AM62</f>
        <v>0</v>
      </c>
      <c r="AN256" s="24">
        <f>Capital!AN62</f>
        <v>0</v>
      </c>
      <c r="AO256" s="24">
        <f>Capital!AO62</f>
        <v>0</v>
      </c>
      <c r="AP256" s="24">
        <f>Capital!AP62</f>
        <v>0</v>
      </c>
      <c r="AQ256" s="24">
        <f>Capital!AQ62</f>
        <v>0</v>
      </c>
      <c r="AR256" s="24">
        <f>Capital!AR62</f>
        <v>0</v>
      </c>
      <c r="AS256" s="24">
        <f>Capital!AS62</f>
        <v>0</v>
      </c>
    </row>
    <row r="257" spans="2:45" outlineLevel="1" collapsed="1" x14ac:dyDescent="0.15">
      <c r="B257" s="107" t="s">
        <v>137</v>
      </c>
      <c r="J257" s="14">
        <f t="shared" ref="J257:AS257" si="79">SUM(J255:J256)</f>
        <v>0</v>
      </c>
      <c r="K257" s="14">
        <f t="shared" si="79"/>
        <v>0</v>
      </c>
      <c r="L257" s="14">
        <f t="shared" si="79"/>
        <v>0</v>
      </c>
      <c r="M257" s="14">
        <f t="shared" si="79"/>
        <v>0</v>
      </c>
      <c r="N257" s="14">
        <f t="shared" si="79"/>
        <v>0</v>
      </c>
      <c r="O257" s="14">
        <f t="shared" si="79"/>
        <v>0</v>
      </c>
      <c r="P257" s="14">
        <f t="shared" si="79"/>
        <v>0</v>
      </c>
      <c r="Q257" s="14">
        <f t="shared" si="79"/>
        <v>0</v>
      </c>
      <c r="R257" s="14">
        <f t="shared" si="79"/>
        <v>0</v>
      </c>
      <c r="S257" s="14">
        <f t="shared" si="79"/>
        <v>0</v>
      </c>
      <c r="T257" s="14">
        <f t="shared" si="79"/>
        <v>0</v>
      </c>
      <c r="U257" s="14">
        <f t="shared" si="79"/>
        <v>0</v>
      </c>
      <c r="V257" s="14">
        <f t="shared" si="79"/>
        <v>0</v>
      </c>
      <c r="W257" s="14">
        <f t="shared" si="79"/>
        <v>0</v>
      </c>
      <c r="X257" s="14">
        <f t="shared" si="79"/>
        <v>0</v>
      </c>
      <c r="Y257" s="14">
        <f t="shared" si="79"/>
        <v>0</v>
      </c>
      <c r="Z257" s="14">
        <f t="shared" si="79"/>
        <v>0</v>
      </c>
      <c r="AA257" s="14">
        <f t="shared" si="79"/>
        <v>0</v>
      </c>
      <c r="AB257" s="14">
        <f t="shared" si="79"/>
        <v>0</v>
      </c>
      <c r="AC257" s="14">
        <f t="shared" si="79"/>
        <v>0</v>
      </c>
      <c r="AD257" s="14">
        <f t="shared" si="79"/>
        <v>0</v>
      </c>
      <c r="AE257" s="14">
        <f t="shared" si="79"/>
        <v>0</v>
      </c>
      <c r="AF257" s="14">
        <f t="shared" si="79"/>
        <v>0</v>
      </c>
      <c r="AG257" s="14">
        <f t="shared" si="79"/>
        <v>0</v>
      </c>
      <c r="AH257" s="14">
        <f t="shared" si="79"/>
        <v>0</v>
      </c>
      <c r="AI257" s="14">
        <f t="shared" si="79"/>
        <v>0</v>
      </c>
      <c r="AJ257" s="14">
        <f t="shared" si="79"/>
        <v>0</v>
      </c>
      <c r="AK257" s="14">
        <f t="shared" si="79"/>
        <v>0</v>
      </c>
      <c r="AL257" s="14">
        <f t="shared" si="79"/>
        <v>0</v>
      </c>
      <c r="AM257" s="14">
        <f t="shared" si="79"/>
        <v>0</v>
      </c>
      <c r="AN257" s="14">
        <f t="shared" si="79"/>
        <v>0</v>
      </c>
      <c r="AO257" s="14">
        <f t="shared" si="79"/>
        <v>0</v>
      </c>
      <c r="AP257" s="14">
        <f t="shared" si="79"/>
        <v>0</v>
      </c>
      <c r="AQ257" s="14">
        <f t="shared" si="79"/>
        <v>0</v>
      </c>
      <c r="AR257" s="14">
        <f t="shared" si="79"/>
        <v>0</v>
      </c>
      <c r="AS257" s="14">
        <f t="shared" si="79"/>
        <v>0</v>
      </c>
    </row>
    <row r="258" spans="2:45" ht="6" hidden="1" customHeight="1" outlineLevel="2" x14ac:dyDescent="0.15"/>
    <row r="259" spans="2:45" outlineLevel="1" collapsed="1" x14ac:dyDescent="0.15">
      <c r="B259" s="107" t="s">
        <v>139</v>
      </c>
      <c r="J259" s="14">
        <f>Capital!J154</f>
        <v>0</v>
      </c>
      <c r="K259" s="14">
        <f>Capital!K154</f>
        <v>0</v>
      </c>
      <c r="L259" s="14">
        <f>Capital!L154</f>
        <v>0</v>
      </c>
      <c r="M259" s="14">
        <f>Capital!M154</f>
        <v>0</v>
      </c>
      <c r="N259" s="14">
        <f>Capital!N154</f>
        <v>0</v>
      </c>
      <c r="O259" s="14">
        <f>Capital!O154</f>
        <v>0</v>
      </c>
      <c r="P259" s="14">
        <f>Capital!P154</f>
        <v>0</v>
      </c>
      <c r="Q259" s="14">
        <f>Capital!Q154</f>
        <v>0</v>
      </c>
      <c r="R259" s="14">
        <f>Capital!R154</f>
        <v>0</v>
      </c>
      <c r="S259" s="14">
        <f>Capital!S154</f>
        <v>0</v>
      </c>
      <c r="T259" s="14">
        <f>Capital!T154</f>
        <v>0</v>
      </c>
      <c r="U259" s="14">
        <f>Capital!U154</f>
        <v>0</v>
      </c>
      <c r="V259" s="14">
        <f>Capital!V154</f>
        <v>0</v>
      </c>
      <c r="W259" s="14">
        <f>Capital!W154</f>
        <v>0</v>
      </c>
      <c r="X259" s="14">
        <f>Capital!X154</f>
        <v>0</v>
      </c>
      <c r="Y259" s="14">
        <f>Capital!Y154</f>
        <v>0</v>
      </c>
      <c r="Z259" s="14">
        <f>Capital!Z154</f>
        <v>0</v>
      </c>
      <c r="AA259" s="14">
        <f>Capital!AA154</f>
        <v>0</v>
      </c>
      <c r="AB259" s="14">
        <f>Capital!AB154</f>
        <v>0</v>
      </c>
      <c r="AC259" s="14">
        <f>Capital!AC154</f>
        <v>0</v>
      </c>
      <c r="AD259" s="14">
        <f>Capital!AD154</f>
        <v>0</v>
      </c>
      <c r="AE259" s="14">
        <f>Capital!AE154</f>
        <v>0</v>
      </c>
      <c r="AF259" s="14">
        <f>Capital!AF154</f>
        <v>0</v>
      </c>
      <c r="AG259" s="14">
        <f>Capital!AG154</f>
        <v>0</v>
      </c>
      <c r="AH259" s="14">
        <f>Capital!AH154</f>
        <v>0</v>
      </c>
      <c r="AI259" s="14">
        <f>Capital!AI154</f>
        <v>0</v>
      </c>
      <c r="AJ259" s="14">
        <f>Capital!AJ154</f>
        <v>0</v>
      </c>
      <c r="AK259" s="14">
        <f>Capital!AK154</f>
        <v>0</v>
      </c>
      <c r="AL259" s="14">
        <f>Capital!AL154</f>
        <v>0</v>
      </c>
      <c r="AM259" s="14">
        <f>Capital!AM154</f>
        <v>0</v>
      </c>
      <c r="AN259" s="14">
        <f>Capital!AN154</f>
        <v>0</v>
      </c>
      <c r="AO259" s="14">
        <f>Capital!AO154</f>
        <v>0</v>
      </c>
      <c r="AP259" s="14">
        <f>Capital!AP154</f>
        <v>0</v>
      </c>
      <c r="AQ259" s="14">
        <f>Capital!AQ154</f>
        <v>0</v>
      </c>
      <c r="AR259" s="14">
        <f>Capital!AR154</f>
        <v>0</v>
      </c>
      <c r="AS259" s="14">
        <f>Capital!AS154</f>
        <v>0</v>
      </c>
    </row>
    <row r="260" spans="2:45" ht="6" hidden="1" customHeight="1" outlineLevel="2" x14ac:dyDescent="0.15"/>
    <row r="261" spans="2:45" outlineLevel="1" collapsed="1" x14ac:dyDescent="0.15">
      <c r="B261" s="107" t="s">
        <v>140</v>
      </c>
      <c r="J261" s="14">
        <f>Capital!J155</f>
        <v>0</v>
      </c>
      <c r="K261" s="14">
        <f>Capital!K155</f>
        <v>0</v>
      </c>
      <c r="L261" s="14">
        <f>Capital!L155</f>
        <v>0</v>
      </c>
      <c r="M261" s="14">
        <f>Capital!M155</f>
        <v>0</v>
      </c>
      <c r="N261" s="14">
        <f>Capital!N155</f>
        <v>0</v>
      </c>
      <c r="O261" s="14">
        <f>Capital!O155</f>
        <v>0</v>
      </c>
      <c r="P261" s="14">
        <f>Capital!P155</f>
        <v>0</v>
      </c>
      <c r="Q261" s="14">
        <f>Capital!Q155</f>
        <v>0</v>
      </c>
      <c r="R261" s="14">
        <f>Capital!R155</f>
        <v>0</v>
      </c>
      <c r="S261" s="14">
        <f>Capital!S155</f>
        <v>0</v>
      </c>
      <c r="T261" s="14">
        <f>Capital!T155</f>
        <v>0</v>
      </c>
      <c r="U261" s="14">
        <f>Capital!U155</f>
        <v>0</v>
      </c>
      <c r="V261" s="14">
        <f>Capital!V155</f>
        <v>0</v>
      </c>
      <c r="W261" s="14">
        <f>Capital!W155</f>
        <v>0</v>
      </c>
      <c r="X261" s="14">
        <f>Capital!X155</f>
        <v>0</v>
      </c>
      <c r="Y261" s="14">
        <f>Capital!Y155</f>
        <v>0</v>
      </c>
      <c r="Z261" s="14">
        <f>Capital!Z155</f>
        <v>0</v>
      </c>
      <c r="AA261" s="14">
        <f>Capital!AA155</f>
        <v>0</v>
      </c>
      <c r="AB261" s="14">
        <f>Capital!AB155</f>
        <v>0</v>
      </c>
      <c r="AC261" s="14">
        <f>Capital!AC155</f>
        <v>0</v>
      </c>
      <c r="AD261" s="14">
        <f>Capital!AD155</f>
        <v>0</v>
      </c>
      <c r="AE261" s="14">
        <f>Capital!AE155</f>
        <v>0</v>
      </c>
      <c r="AF261" s="14">
        <f>Capital!AF155</f>
        <v>0</v>
      </c>
      <c r="AG261" s="14">
        <f>Capital!AG155</f>
        <v>0</v>
      </c>
      <c r="AH261" s="14">
        <f>Capital!AH155</f>
        <v>0</v>
      </c>
      <c r="AI261" s="14">
        <f>Capital!AI155</f>
        <v>0</v>
      </c>
      <c r="AJ261" s="14">
        <f>Capital!AJ155</f>
        <v>0</v>
      </c>
      <c r="AK261" s="14">
        <f>Capital!AK155</f>
        <v>0</v>
      </c>
      <c r="AL261" s="14">
        <f>Capital!AL155</f>
        <v>0</v>
      </c>
      <c r="AM261" s="14">
        <f>Capital!AM155</f>
        <v>0</v>
      </c>
      <c r="AN261" s="14">
        <f>Capital!AN155</f>
        <v>0</v>
      </c>
      <c r="AO261" s="14">
        <f>Capital!AO155</f>
        <v>0</v>
      </c>
      <c r="AP261" s="14">
        <f>Capital!AP155</f>
        <v>0</v>
      </c>
      <c r="AQ261" s="14">
        <f>Capital!AQ155</f>
        <v>0</v>
      </c>
      <c r="AR261" s="14">
        <f>Capital!AR155</f>
        <v>0</v>
      </c>
      <c r="AS261" s="14">
        <f>Capital!AS155</f>
        <v>0</v>
      </c>
    </row>
    <row r="262" spans="2:45" ht="6" hidden="1" customHeight="1" outlineLevel="2" x14ac:dyDescent="0.15"/>
    <row r="263" spans="2:45" outlineLevel="1" collapsed="1" x14ac:dyDescent="0.15">
      <c r="B263" s="107" t="s">
        <v>141</v>
      </c>
      <c r="J263" s="14">
        <f>Capital!J163</f>
        <v>0</v>
      </c>
      <c r="K263" s="14">
        <f ca="1">Capital!K163</f>
        <v>0</v>
      </c>
      <c r="L263" s="14">
        <f ca="1">Capital!L163</f>
        <v>0</v>
      </c>
      <c r="M263" s="14">
        <f ca="1">Capital!M163</f>
        <v>0</v>
      </c>
      <c r="N263" s="14">
        <f ca="1">Capital!N163</f>
        <v>0</v>
      </c>
      <c r="O263" s="14">
        <f ca="1">Capital!O163</f>
        <v>0</v>
      </c>
      <c r="P263" s="14">
        <f ca="1">Capital!P163</f>
        <v>0</v>
      </c>
      <c r="Q263" s="14">
        <f ca="1">Capital!Q163</f>
        <v>0</v>
      </c>
      <c r="R263" s="14">
        <f ca="1">Capital!R163</f>
        <v>0</v>
      </c>
      <c r="S263" s="14">
        <f ca="1">Capital!S163</f>
        <v>0</v>
      </c>
      <c r="T263" s="14">
        <f ca="1">Capital!T163</f>
        <v>0</v>
      </c>
      <c r="U263" s="14">
        <f ca="1">Capital!U163</f>
        <v>0</v>
      </c>
      <c r="V263" s="14">
        <f ca="1">Capital!V163</f>
        <v>0</v>
      </c>
      <c r="W263" s="14">
        <f ca="1">Capital!W163</f>
        <v>0</v>
      </c>
      <c r="X263" s="14">
        <f ca="1">Capital!X163</f>
        <v>0</v>
      </c>
      <c r="Y263" s="14">
        <f ca="1">Capital!Y163</f>
        <v>0</v>
      </c>
      <c r="Z263" s="14">
        <f ca="1">Capital!Z163</f>
        <v>0</v>
      </c>
      <c r="AA263" s="14">
        <f ca="1">Capital!AA163</f>
        <v>0</v>
      </c>
      <c r="AB263" s="14">
        <f ca="1">Capital!AB163</f>
        <v>0</v>
      </c>
      <c r="AC263" s="14">
        <f ca="1">Capital!AC163</f>
        <v>0</v>
      </c>
      <c r="AD263" s="14">
        <f ca="1">Capital!AD163</f>
        <v>0</v>
      </c>
      <c r="AE263" s="14">
        <f ca="1">Capital!AE163</f>
        <v>0</v>
      </c>
      <c r="AF263" s="14">
        <f ca="1">Capital!AF163</f>
        <v>0</v>
      </c>
      <c r="AG263" s="14">
        <f ca="1">Capital!AG163</f>
        <v>0</v>
      </c>
      <c r="AH263" s="14">
        <f ca="1">Capital!AH163</f>
        <v>0</v>
      </c>
      <c r="AI263" s="14">
        <f ca="1">Capital!AI163</f>
        <v>0</v>
      </c>
      <c r="AJ263" s="14">
        <f ca="1">Capital!AJ163</f>
        <v>0</v>
      </c>
      <c r="AK263" s="14">
        <f ca="1">Capital!AK163</f>
        <v>0</v>
      </c>
      <c r="AL263" s="14">
        <f ca="1">Capital!AL163</f>
        <v>0</v>
      </c>
      <c r="AM263" s="14">
        <f ca="1">Capital!AM163</f>
        <v>0</v>
      </c>
      <c r="AN263" s="14">
        <f ca="1">Capital!AN163</f>
        <v>0</v>
      </c>
      <c r="AO263" s="14">
        <f ca="1">Capital!AO163</f>
        <v>0</v>
      </c>
      <c r="AP263" s="14">
        <f ca="1">Capital!AP163</f>
        <v>0</v>
      </c>
      <c r="AQ263" s="14">
        <f ca="1">Capital!AQ163</f>
        <v>0</v>
      </c>
      <c r="AR263" s="14">
        <f ca="1">Capital!AR163</f>
        <v>0</v>
      </c>
      <c r="AS263" s="14">
        <f ca="1">Capital!AS163</f>
        <v>0</v>
      </c>
    </row>
    <row r="264" spans="2:45" ht="6" hidden="1" customHeight="1" outlineLevel="2" x14ac:dyDescent="0.15"/>
    <row r="265" spans="2:45" hidden="1" outlineLevel="2" x14ac:dyDescent="0.15">
      <c r="B265" s="107" t="str">
        <f>Other!B141</f>
        <v>Other Non-Current Liabilities - Financing Cash Flows</v>
      </c>
      <c r="J265" s="23">
        <f>Other!J141</f>
        <v>0</v>
      </c>
      <c r="K265" s="23">
        <f>Other!K141</f>
        <v>0</v>
      </c>
      <c r="L265" s="23">
        <f>Other!L141</f>
        <v>0</v>
      </c>
      <c r="M265" s="23">
        <f>Other!M141</f>
        <v>0</v>
      </c>
      <c r="N265" s="23">
        <f>Other!N141</f>
        <v>0</v>
      </c>
      <c r="O265" s="23">
        <f>Other!O141</f>
        <v>0</v>
      </c>
      <c r="P265" s="23">
        <f>Other!P141</f>
        <v>0</v>
      </c>
      <c r="Q265" s="23">
        <f>Other!Q141</f>
        <v>0</v>
      </c>
      <c r="R265" s="23">
        <f>Other!R141</f>
        <v>0</v>
      </c>
      <c r="S265" s="23">
        <f>Other!S141</f>
        <v>0</v>
      </c>
      <c r="T265" s="23">
        <f>Other!T141</f>
        <v>0</v>
      </c>
      <c r="U265" s="23">
        <f>Other!U141</f>
        <v>0</v>
      </c>
      <c r="V265" s="23">
        <f>Other!V141</f>
        <v>0</v>
      </c>
      <c r="W265" s="23">
        <f>Other!W141</f>
        <v>0</v>
      </c>
      <c r="X265" s="23">
        <f>Other!X141</f>
        <v>0</v>
      </c>
      <c r="Y265" s="23">
        <f>Other!Y141</f>
        <v>0</v>
      </c>
      <c r="Z265" s="23">
        <f>Other!Z141</f>
        <v>0</v>
      </c>
      <c r="AA265" s="23">
        <f>Other!AA141</f>
        <v>0</v>
      </c>
      <c r="AB265" s="23">
        <f>Other!AB141</f>
        <v>0</v>
      </c>
      <c r="AC265" s="23">
        <f>Other!AC141</f>
        <v>0</v>
      </c>
      <c r="AD265" s="23">
        <f>Other!AD141</f>
        <v>0</v>
      </c>
      <c r="AE265" s="23">
        <f>Other!AE141</f>
        <v>0</v>
      </c>
      <c r="AF265" s="23">
        <f>Other!AF141</f>
        <v>0</v>
      </c>
      <c r="AG265" s="23">
        <f>Other!AG141</f>
        <v>0</v>
      </c>
      <c r="AH265" s="23">
        <f>Other!AH141</f>
        <v>0</v>
      </c>
      <c r="AI265" s="23">
        <f>Other!AI141</f>
        <v>0</v>
      </c>
      <c r="AJ265" s="23">
        <f>Other!AJ141</f>
        <v>0</v>
      </c>
      <c r="AK265" s="23">
        <f>Other!AK141</f>
        <v>0</v>
      </c>
      <c r="AL265" s="23">
        <f>Other!AL141</f>
        <v>0</v>
      </c>
      <c r="AM265" s="23">
        <f>Other!AM141</f>
        <v>0</v>
      </c>
      <c r="AN265" s="23">
        <f>Other!AN141</f>
        <v>0</v>
      </c>
      <c r="AO265" s="23">
        <f>Other!AO141</f>
        <v>0</v>
      </c>
      <c r="AP265" s="23">
        <f>Other!AP141</f>
        <v>0</v>
      </c>
      <c r="AQ265" s="23">
        <f>Other!AQ141</f>
        <v>0</v>
      </c>
      <c r="AR265" s="23">
        <f>Other!AR141</f>
        <v>0</v>
      </c>
      <c r="AS265" s="23">
        <f>Other!AS141</f>
        <v>0</v>
      </c>
    </row>
    <row r="266" spans="2:45" hidden="1" outlineLevel="2" collapsed="1" x14ac:dyDescent="0.15">
      <c r="B266" s="107" t="str">
        <f>Other!B171</f>
        <v>Other Equity - Financing Cash Flows</v>
      </c>
      <c r="J266" s="24">
        <f>Other!J171</f>
        <v>0</v>
      </c>
      <c r="K266" s="24">
        <f>Other!K171</f>
        <v>0</v>
      </c>
      <c r="L266" s="24">
        <f>Other!L171</f>
        <v>0</v>
      </c>
      <c r="M266" s="24">
        <f>Other!M171</f>
        <v>0</v>
      </c>
      <c r="N266" s="24">
        <f>Other!N171</f>
        <v>0</v>
      </c>
      <c r="O266" s="24">
        <f>Other!O171</f>
        <v>0</v>
      </c>
      <c r="P266" s="24">
        <f>Other!P171</f>
        <v>0</v>
      </c>
      <c r="Q266" s="24">
        <f>Other!Q171</f>
        <v>0</v>
      </c>
      <c r="R266" s="24">
        <f>Other!R171</f>
        <v>0</v>
      </c>
      <c r="S266" s="24">
        <f>Other!S171</f>
        <v>0</v>
      </c>
      <c r="T266" s="24">
        <f>Other!T171</f>
        <v>0</v>
      </c>
      <c r="U266" s="24">
        <f>Other!U171</f>
        <v>0</v>
      </c>
      <c r="V266" s="24">
        <f>Other!V171</f>
        <v>0</v>
      </c>
      <c r="W266" s="24">
        <f>Other!W171</f>
        <v>0</v>
      </c>
      <c r="X266" s="24">
        <f>Other!X171</f>
        <v>0</v>
      </c>
      <c r="Y266" s="24">
        <f>Other!Y171</f>
        <v>0</v>
      </c>
      <c r="Z266" s="24">
        <f>Other!Z171</f>
        <v>0</v>
      </c>
      <c r="AA266" s="24">
        <f>Other!AA171</f>
        <v>0</v>
      </c>
      <c r="AB266" s="24">
        <f>Other!AB171</f>
        <v>0</v>
      </c>
      <c r="AC266" s="24">
        <f>Other!AC171</f>
        <v>0</v>
      </c>
      <c r="AD266" s="24">
        <f>Other!AD171</f>
        <v>0</v>
      </c>
      <c r="AE266" s="24">
        <f>Other!AE171</f>
        <v>0</v>
      </c>
      <c r="AF266" s="24">
        <f>Other!AF171</f>
        <v>0</v>
      </c>
      <c r="AG266" s="24">
        <f>Other!AG171</f>
        <v>0</v>
      </c>
      <c r="AH266" s="24">
        <f>Other!AH171</f>
        <v>0</v>
      </c>
      <c r="AI266" s="24">
        <f>Other!AI171</f>
        <v>0</v>
      </c>
      <c r="AJ266" s="24">
        <f>Other!AJ171</f>
        <v>0</v>
      </c>
      <c r="AK266" s="24">
        <f>Other!AK171</f>
        <v>0</v>
      </c>
      <c r="AL266" s="24">
        <f>Other!AL171</f>
        <v>0</v>
      </c>
      <c r="AM266" s="24">
        <f>Other!AM171</f>
        <v>0</v>
      </c>
      <c r="AN266" s="24">
        <f>Other!AN171</f>
        <v>0</v>
      </c>
      <c r="AO266" s="24">
        <f>Other!AO171</f>
        <v>0</v>
      </c>
      <c r="AP266" s="24">
        <f>Other!AP171</f>
        <v>0</v>
      </c>
      <c r="AQ266" s="24">
        <f>Other!AQ171</f>
        <v>0</v>
      </c>
      <c r="AR266" s="24">
        <f>Other!AR171</f>
        <v>0</v>
      </c>
      <c r="AS266" s="24">
        <f>Other!AS171</f>
        <v>0</v>
      </c>
    </row>
    <row r="267" spans="2:45" outlineLevel="1" collapsed="1" x14ac:dyDescent="0.15">
      <c r="B267" s="107" t="s">
        <v>142</v>
      </c>
      <c r="J267" s="14">
        <f t="shared" ref="J267:AS267" si="80">SUM(J265:J266)</f>
        <v>0</v>
      </c>
      <c r="K267" s="14">
        <f t="shared" si="80"/>
        <v>0</v>
      </c>
      <c r="L267" s="14">
        <f t="shared" si="80"/>
        <v>0</v>
      </c>
      <c r="M267" s="14">
        <f t="shared" si="80"/>
        <v>0</v>
      </c>
      <c r="N267" s="14">
        <f t="shared" si="80"/>
        <v>0</v>
      </c>
      <c r="O267" s="14">
        <f t="shared" si="80"/>
        <v>0</v>
      </c>
      <c r="P267" s="14">
        <f t="shared" si="80"/>
        <v>0</v>
      </c>
      <c r="Q267" s="14">
        <f t="shared" si="80"/>
        <v>0</v>
      </c>
      <c r="R267" s="14">
        <f t="shared" si="80"/>
        <v>0</v>
      </c>
      <c r="S267" s="14">
        <f t="shared" si="80"/>
        <v>0</v>
      </c>
      <c r="T267" s="14">
        <f t="shared" si="80"/>
        <v>0</v>
      </c>
      <c r="U267" s="14">
        <f t="shared" si="80"/>
        <v>0</v>
      </c>
      <c r="V267" s="14">
        <f t="shared" si="80"/>
        <v>0</v>
      </c>
      <c r="W267" s="14">
        <f t="shared" si="80"/>
        <v>0</v>
      </c>
      <c r="X267" s="14">
        <f t="shared" si="80"/>
        <v>0</v>
      </c>
      <c r="Y267" s="14">
        <f t="shared" si="80"/>
        <v>0</v>
      </c>
      <c r="Z267" s="14">
        <f t="shared" si="80"/>
        <v>0</v>
      </c>
      <c r="AA267" s="14">
        <f t="shared" si="80"/>
        <v>0</v>
      </c>
      <c r="AB267" s="14">
        <f t="shared" si="80"/>
        <v>0</v>
      </c>
      <c r="AC267" s="14">
        <f t="shared" si="80"/>
        <v>0</v>
      </c>
      <c r="AD267" s="14">
        <f t="shared" si="80"/>
        <v>0</v>
      </c>
      <c r="AE267" s="14">
        <f t="shared" si="80"/>
        <v>0</v>
      </c>
      <c r="AF267" s="14">
        <f t="shared" si="80"/>
        <v>0</v>
      </c>
      <c r="AG267" s="14">
        <f t="shared" si="80"/>
        <v>0</v>
      </c>
      <c r="AH267" s="14">
        <f t="shared" si="80"/>
        <v>0</v>
      </c>
      <c r="AI267" s="14">
        <f t="shared" si="80"/>
        <v>0</v>
      </c>
      <c r="AJ267" s="14">
        <f t="shared" si="80"/>
        <v>0</v>
      </c>
      <c r="AK267" s="14">
        <f t="shared" si="80"/>
        <v>0</v>
      </c>
      <c r="AL267" s="14">
        <f t="shared" si="80"/>
        <v>0</v>
      </c>
      <c r="AM267" s="14">
        <f t="shared" si="80"/>
        <v>0</v>
      </c>
      <c r="AN267" s="14">
        <f t="shared" si="80"/>
        <v>0</v>
      </c>
      <c r="AO267" s="14">
        <f t="shared" si="80"/>
        <v>0</v>
      </c>
      <c r="AP267" s="14">
        <f t="shared" si="80"/>
        <v>0</v>
      </c>
      <c r="AQ267" s="14">
        <f t="shared" si="80"/>
        <v>0</v>
      </c>
      <c r="AR267" s="14">
        <f t="shared" si="80"/>
        <v>0</v>
      </c>
      <c r="AS267" s="14">
        <f t="shared" si="80"/>
        <v>0</v>
      </c>
    </row>
    <row r="268" spans="2:45" ht="6" hidden="1" customHeight="1" outlineLevel="2" x14ac:dyDescent="0.15"/>
    <row r="269" spans="2:45" outlineLevel="1" collapsed="1" x14ac:dyDescent="0.15">
      <c r="B269" s="16" t="s">
        <v>647</v>
      </c>
      <c r="J269" s="19">
        <f t="shared" ref="J269:AS269" si="81">J253+J257+J259+J261+J263+J267</f>
        <v>300000</v>
      </c>
      <c r="K269" s="19">
        <f t="shared" ca="1" si="81"/>
        <v>0</v>
      </c>
      <c r="L269" s="19">
        <f t="shared" ca="1" si="81"/>
        <v>0</v>
      </c>
      <c r="M269" s="19">
        <f t="shared" ca="1" si="81"/>
        <v>0</v>
      </c>
      <c r="N269" s="19">
        <f t="shared" ca="1" si="81"/>
        <v>0</v>
      </c>
      <c r="O269" s="19">
        <f t="shared" ca="1" si="81"/>
        <v>0</v>
      </c>
      <c r="P269" s="19">
        <f t="shared" ca="1" si="81"/>
        <v>0</v>
      </c>
      <c r="Q269" s="19">
        <f t="shared" ca="1" si="81"/>
        <v>0</v>
      </c>
      <c r="R269" s="19">
        <f t="shared" ca="1" si="81"/>
        <v>0</v>
      </c>
      <c r="S269" s="19">
        <f t="shared" ca="1" si="81"/>
        <v>0</v>
      </c>
      <c r="T269" s="19">
        <f t="shared" ca="1" si="81"/>
        <v>0</v>
      </c>
      <c r="U269" s="19">
        <f t="shared" ca="1" si="81"/>
        <v>0</v>
      </c>
      <c r="V269" s="19">
        <f t="shared" ca="1" si="81"/>
        <v>0</v>
      </c>
      <c r="W269" s="19">
        <f t="shared" ca="1" si="81"/>
        <v>0</v>
      </c>
      <c r="X269" s="19">
        <f t="shared" ca="1" si="81"/>
        <v>0</v>
      </c>
      <c r="Y269" s="19">
        <f t="shared" ca="1" si="81"/>
        <v>0</v>
      </c>
      <c r="Z269" s="19">
        <f t="shared" ca="1" si="81"/>
        <v>0</v>
      </c>
      <c r="AA269" s="19">
        <f t="shared" ca="1" si="81"/>
        <v>0</v>
      </c>
      <c r="AB269" s="19">
        <f t="shared" ca="1" si="81"/>
        <v>0</v>
      </c>
      <c r="AC269" s="19">
        <f t="shared" ca="1" si="81"/>
        <v>0</v>
      </c>
      <c r="AD269" s="19">
        <f t="shared" ca="1" si="81"/>
        <v>0</v>
      </c>
      <c r="AE269" s="19">
        <f t="shared" ca="1" si="81"/>
        <v>0</v>
      </c>
      <c r="AF269" s="19">
        <f t="shared" ca="1" si="81"/>
        <v>0</v>
      </c>
      <c r="AG269" s="19">
        <f t="shared" ca="1" si="81"/>
        <v>0</v>
      </c>
      <c r="AH269" s="19">
        <f t="shared" ca="1" si="81"/>
        <v>0</v>
      </c>
      <c r="AI269" s="19">
        <f t="shared" ca="1" si="81"/>
        <v>0</v>
      </c>
      <c r="AJ269" s="19">
        <f t="shared" ca="1" si="81"/>
        <v>0</v>
      </c>
      <c r="AK269" s="19">
        <f t="shared" ca="1" si="81"/>
        <v>0</v>
      </c>
      <c r="AL269" s="19">
        <f t="shared" ca="1" si="81"/>
        <v>0</v>
      </c>
      <c r="AM269" s="19">
        <f t="shared" ca="1" si="81"/>
        <v>0</v>
      </c>
      <c r="AN269" s="19">
        <f t="shared" ca="1" si="81"/>
        <v>0</v>
      </c>
      <c r="AO269" s="19">
        <f t="shared" ca="1" si="81"/>
        <v>0</v>
      </c>
      <c r="AP269" s="19">
        <f t="shared" ca="1" si="81"/>
        <v>0</v>
      </c>
      <c r="AQ269" s="19">
        <f t="shared" ca="1" si="81"/>
        <v>0</v>
      </c>
      <c r="AR269" s="19">
        <f t="shared" ca="1" si="81"/>
        <v>0</v>
      </c>
      <c r="AS269" s="19">
        <f t="shared" ca="1" si="81"/>
        <v>0</v>
      </c>
    </row>
    <row r="270" spans="2:45" ht="6" customHeight="1" outlineLevel="1" x14ac:dyDescent="0.15"/>
    <row r="271" spans="2:45" ht="13" outlineLevel="1" thickBot="1" x14ac:dyDescent="0.2">
      <c r="B271" s="16" t="s">
        <v>648</v>
      </c>
      <c r="J271" s="20">
        <f t="shared" ref="J271:AS271" ca="1" si="82">J240+J249+J269</f>
        <v>45160.869850494637</v>
      </c>
      <c r="K271" s="20">
        <f t="shared" ca="1" si="82"/>
        <v>-11801.124452086973</v>
      </c>
      <c r="L271" s="20">
        <f t="shared" ca="1" si="82"/>
        <v>49225.272093748041</v>
      </c>
      <c r="M271" s="20">
        <f t="shared" ca="1" si="82"/>
        <v>5643.1918542666654</v>
      </c>
      <c r="N271" s="20">
        <f t="shared" ca="1" si="82"/>
        <v>-21541.310924787958</v>
      </c>
      <c r="O271" s="20">
        <f t="shared" ca="1" si="82"/>
        <v>8124.0366575019361</v>
      </c>
      <c r="P271" s="20">
        <f t="shared" ca="1" si="82"/>
        <v>4012.5865466769901</v>
      </c>
      <c r="Q271" s="20">
        <f t="shared" ca="1" si="82"/>
        <v>-20052.951431846024</v>
      </c>
      <c r="R271" s="20">
        <f t="shared" ca="1" si="82"/>
        <v>6749.9205951772892</v>
      </c>
      <c r="S271" s="20">
        <f t="shared" ca="1" si="82"/>
        <v>2953.1030368886022</v>
      </c>
      <c r="T271" s="20">
        <f t="shared" ca="1" si="82"/>
        <v>-19850.481238537635</v>
      </c>
      <c r="U271" s="20">
        <f t="shared" ca="1" si="82"/>
        <v>7102.9196392665808</v>
      </c>
      <c r="V271" s="20">
        <f t="shared" ca="1" si="82"/>
        <v>1850.9538972215059</v>
      </c>
      <c r="W271" s="20">
        <f t="shared" ca="1" si="82"/>
        <v>-17846.528074192091</v>
      </c>
      <c r="X271" s="20">
        <f t="shared" ca="1" si="82"/>
        <v>10048.92769301961</v>
      </c>
      <c r="Y271" s="20">
        <f t="shared" ca="1" si="82"/>
        <v>6549.2970672150523</v>
      </c>
      <c r="Z271" s="20">
        <f t="shared" ca="1" si="82"/>
        <v>-21934.795859120866</v>
      </c>
      <c r="AA271" s="20">
        <f t="shared" ca="1" si="82"/>
        <v>9109.553637593548</v>
      </c>
      <c r="AB271" s="20">
        <f t="shared" ca="1" si="82"/>
        <v>5873.3150038021504</v>
      </c>
      <c r="AC271" s="20">
        <f t="shared" ca="1" si="82"/>
        <v>-18152.415983412469</v>
      </c>
      <c r="AD271" s="20">
        <f t="shared" ca="1" si="82"/>
        <v>8115.2105396645175</v>
      </c>
      <c r="AE271" s="20">
        <f t="shared" ca="1" si="82"/>
        <v>4604.758287447743</v>
      </c>
      <c r="AF271" s="20">
        <f t="shared" ca="1" si="82"/>
        <v>-18480.817347700642</v>
      </c>
      <c r="AG271" s="20">
        <f t="shared" ca="1" si="82"/>
        <v>8493.2383109522543</v>
      </c>
      <c r="AH271" s="20">
        <f t="shared" ca="1" si="82"/>
        <v>3186.8271065118288</v>
      </c>
      <c r="AI271" s="20">
        <f t="shared" ca="1" si="82"/>
        <v>-15688.97531112344</v>
      </c>
      <c r="AJ271" s="20">
        <f t="shared" ca="1" si="82"/>
        <v>12161.713043563876</v>
      </c>
      <c r="AK271" s="20">
        <f t="shared" ca="1" si="82"/>
        <v>8192.8064086021495</v>
      </c>
      <c r="AL271" s="20">
        <f t="shared" ca="1" si="82"/>
        <v>-20894.242543523444</v>
      </c>
      <c r="AM271" s="20">
        <f t="shared" ca="1" si="82"/>
        <v>10615.572425868388</v>
      </c>
      <c r="AN271" s="20">
        <f t="shared" ca="1" si="82"/>
        <v>7406.3741526021504</v>
      </c>
      <c r="AO271" s="20">
        <f t="shared" ca="1" si="82"/>
        <v>-16818.072341304087</v>
      </c>
      <c r="AP271" s="20">
        <f t="shared" ca="1" si="82"/>
        <v>9192.5300080691632</v>
      </c>
      <c r="AQ271" s="20">
        <f t="shared" ca="1" si="82"/>
        <v>5683.7302883415068</v>
      </c>
      <c r="AR271" s="20">
        <f t="shared" ca="1" si="82"/>
        <v>-17155.747541546669</v>
      </c>
      <c r="AS271" s="20">
        <f t="shared" ca="1" si="82"/>
        <v>9648.8869740185801</v>
      </c>
    </row>
    <row r="272" spans="2:45" ht="13" outlineLevel="1" thickTop="1" x14ac:dyDescent="0.15"/>
    <row r="273" spans="2:45" outlineLevel="1" x14ac:dyDescent="0.15">
      <c r="B273" s="108" t="s">
        <v>649</v>
      </c>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row>
    <row r="274" spans="2:45" outlineLevel="1" x14ac:dyDescent="0.15"/>
    <row r="275" spans="2:45" outlineLevel="1" x14ac:dyDescent="0.15">
      <c r="B275" s="107" t="str">
        <f>B240</f>
        <v>Net Cash Flow from Operating Activities</v>
      </c>
      <c r="J275" s="14">
        <f t="shared" ref="J275:AS275" ca="1" si="83">J240</f>
        <v>-44839.13014950537</v>
      </c>
      <c r="K275" s="14">
        <f t="shared" ca="1" si="83"/>
        <v>-11801.124452086973</v>
      </c>
      <c r="L275" s="14">
        <f t="shared" ca="1" si="83"/>
        <v>49225.272093748041</v>
      </c>
      <c r="M275" s="14">
        <f t="shared" ca="1" si="83"/>
        <v>5643.1918542666654</v>
      </c>
      <c r="N275" s="14">
        <f t="shared" ca="1" si="83"/>
        <v>-21541.310924787958</v>
      </c>
      <c r="O275" s="14">
        <f t="shared" ca="1" si="83"/>
        <v>8124.0366575019361</v>
      </c>
      <c r="P275" s="14">
        <f t="shared" ca="1" si="83"/>
        <v>4012.5865466769901</v>
      </c>
      <c r="Q275" s="14">
        <f t="shared" ca="1" si="83"/>
        <v>-20052.951431846024</v>
      </c>
      <c r="R275" s="14">
        <f t="shared" ca="1" si="83"/>
        <v>6749.9205951772892</v>
      </c>
      <c r="S275" s="14">
        <f t="shared" ca="1" si="83"/>
        <v>2953.1030368886022</v>
      </c>
      <c r="T275" s="14">
        <f t="shared" ca="1" si="83"/>
        <v>-19850.481238537635</v>
      </c>
      <c r="U275" s="14">
        <f t="shared" ca="1" si="83"/>
        <v>7102.9196392665808</v>
      </c>
      <c r="V275" s="14">
        <f t="shared" ca="1" si="83"/>
        <v>1850.9538972215059</v>
      </c>
      <c r="W275" s="14">
        <f t="shared" ca="1" si="83"/>
        <v>-17846.528074192091</v>
      </c>
      <c r="X275" s="14">
        <f t="shared" ca="1" si="83"/>
        <v>10048.92769301961</v>
      </c>
      <c r="Y275" s="14">
        <f t="shared" ca="1" si="83"/>
        <v>6549.2970672150523</v>
      </c>
      <c r="Z275" s="14">
        <f t="shared" ca="1" si="83"/>
        <v>-21934.795859120866</v>
      </c>
      <c r="AA275" s="14">
        <f t="shared" ca="1" si="83"/>
        <v>9109.553637593548</v>
      </c>
      <c r="AB275" s="14">
        <f t="shared" ca="1" si="83"/>
        <v>5873.3150038021504</v>
      </c>
      <c r="AC275" s="14">
        <f t="shared" ca="1" si="83"/>
        <v>-18152.415983412469</v>
      </c>
      <c r="AD275" s="14">
        <f t="shared" ca="1" si="83"/>
        <v>8115.2105396645175</v>
      </c>
      <c r="AE275" s="14">
        <f t="shared" ca="1" si="83"/>
        <v>4604.758287447743</v>
      </c>
      <c r="AF275" s="14">
        <f t="shared" ca="1" si="83"/>
        <v>-18480.817347700642</v>
      </c>
      <c r="AG275" s="14">
        <f t="shared" ca="1" si="83"/>
        <v>8493.2383109522543</v>
      </c>
      <c r="AH275" s="14">
        <f t="shared" ca="1" si="83"/>
        <v>3186.8271065118288</v>
      </c>
      <c r="AI275" s="14">
        <f t="shared" ca="1" si="83"/>
        <v>-15688.97531112344</v>
      </c>
      <c r="AJ275" s="14">
        <f t="shared" ca="1" si="83"/>
        <v>12161.713043563876</v>
      </c>
      <c r="AK275" s="14">
        <f t="shared" ca="1" si="83"/>
        <v>8192.8064086021495</v>
      </c>
      <c r="AL275" s="14">
        <f t="shared" ca="1" si="83"/>
        <v>-20894.242543523444</v>
      </c>
      <c r="AM275" s="14">
        <f t="shared" ca="1" si="83"/>
        <v>10615.572425868388</v>
      </c>
      <c r="AN275" s="14">
        <f t="shared" ca="1" si="83"/>
        <v>7406.3741526021504</v>
      </c>
      <c r="AO275" s="14">
        <f t="shared" ca="1" si="83"/>
        <v>-16818.072341304087</v>
      </c>
      <c r="AP275" s="14">
        <f t="shared" ca="1" si="83"/>
        <v>9192.5300080691632</v>
      </c>
      <c r="AQ275" s="14">
        <f t="shared" ca="1" si="83"/>
        <v>5683.7302883415068</v>
      </c>
      <c r="AR275" s="14">
        <f t="shared" ca="1" si="83"/>
        <v>-17155.747541546669</v>
      </c>
      <c r="AS275" s="14">
        <f t="shared" ca="1" si="83"/>
        <v>9648.8869740185801</v>
      </c>
    </row>
    <row r="276" spans="2:45" outlineLevel="1" x14ac:dyDescent="0.15">
      <c r="B276" s="107" t="str">
        <f>B249</f>
        <v>Net Cash Flow from Investing Activities</v>
      </c>
      <c r="J276" s="14">
        <f t="shared" ref="J276:AS276" si="84">J249</f>
        <v>-210000</v>
      </c>
      <c r="K276" s="14">
        <f t="shared" si="84"/>
        <v>0</v>
      </c>
      <c r="L276" s="14">
        <f t="shared" si="84"/>
        <v>0</v>
      </c>
      <c r="M276" s="14">
        <f t="shared" si="84"/>
        <v>0</v>
      </c>
      <c r="N276" s="14">
        <f t="shared" si="84"/>
        <v>0</v>
      </c>
      <c r="O276" s="14">
        <f t="shared" si="84"/>
        <v>0</v>
      </c>
      <c r="P276" s="14">
        <f t="shared" si="84"/>
        <v>0</v>
      </c>
      <c r="Q276" s="14">
        <f t="shared" si="84"/>
        <v>0</v>
      </c>
      <c r="R276" s="14">
        <f t="shared" si="84"/>
        <v>0</v>
      </c>
      <c r="S276" s="14">
        <f t="shared" si="84"/>
        <v>0</v>
      </c>
      <c r="T276" s="14">
        <f t="shared" si="84"/>
        <v>0</v>
      </c>
      <c r="U276" s="14">
        <f t="shared" si="84"/>
        <v>0</v>
      </c>
      <c r="V276" s="14">
        <f t="shared" si="84"/>
        <v>0</v>
      </c>
      <c r="W276" s="14">
        <f t="shared" si="84"/>
        <v>0</v>
      </c>
      <c r="X276" s="14">
        <f t="shared" si="84"/>
        <v>0</v>
      </c>
      <c r="Y276" s="14">
        <f t="shared" si="84"/>
        <v>0</v>
      </c>
      <c r="Z276" s="14">
        <f t="shared" si="84"/>
        <v>0</v>
      </c>
      <c r="AA276" s="14">
        <f t="shared" si="84"/>
        <v>0</v>
      </c>
      <c r="AB276" s="14">
        <f t="shared" si="84"/>
        <v>0</v>
      </c>
      <c r="AC276" s="14">
        <f t="shared" si="84"/>
        <v>0</v>
      </c>
      <c r="AD276" s="14">
        <f t="shared" si="84"/>
        <v>0</v>
      </c>
      <c r="AE276" s="14">
        <f t="shared" si="84"/>
        <v>0</v>
      </c>
      <c r="AF276" s="14">
        <f t="shared" si="84"/>
        <v>0</v>
      </c>
      <c r="AG276" s="14">
        <f t="shared" si="84"/>
        <v>0</v>
      </c>
      <c r="AH276" s="14">
        <f t="shared" si="84"/>
        <v>0</v>
      </c>
      <c r="AI276" s="14">
        <f t="shared" si="84"/>
        <v>0</v>
      </c>
      <c r="AJ276" s="14">
        <f t="shared" si="84"/>
        <v>0</v>
      </c>
      <c r="AK276" s="14">
        <f t="shared" si="84"/>
        <v>0</v>
      </c>
      <c r="AL276" s="14">
        <f t="shared" si="84"/>
        <v>0</v>
      </c>
      <c r="AM276" s="14">
        <f t="shared" si="84"/>
        <v>0</v>
      </c>
      <c r="AN276" s="14">
        <f t="shared" si="84"/>
        <v>0</v>
      </c>
      <c r="AO276" s="14">
        <f t="shared" si="84"/>
        <v>0</v>
      </c>
      <c r="AP276" s="14">
        <f t="shared" si="84"/>
        <v>0</v>
      </c>
      <c r="AQ276" s="14">
        <f t="shared" si="84"/>
        <v>0</v>
      </c>
      <c r="AR276" s="14">
        <f t="shared" si="84"/>
        <v>0</v>
      </c>
      <c r="AS276" s="14">
        <f t="shared" si="84"/>
        <v>0</v>
      </c>
    </row>
    <row r="277" spans="2:45" outlineLevel="1" x14ac:dyDescent="0.15">
      <c r="B277" s="107" t="s">
        <v>650</v>
      </c>
      <c r="J277" s="14">
        <f t="shared" ref="J277:AS277" si="85">-J220-J233</f>
        <v>0</v>
      </c>
      <c r="K277" s="14">
        <f t="shared" ca="1" si="85"/>
        <v>0</v>
      </c>
      <c r="L277" s="14">
        <f t="shared" ca="1" si="85"/>
        <v>0</v>
      </c>
      <c r="M277" s="14">
        <f t="shared" ca="1" si="85"/>
        <v>0</v>
      </c>
      <c r="N277" s="14">
        <f t="shared" ca="1" si="85"/>
        <v>0</v>
      </c>
      <c r="O277" s="14">
        <f t="shared" ca="1" si="85"/>
        <v>0</v>
      </c>
      <c r="P277" s="14">
        <f t="shared" ca="1" si="85"/>
        <v>0</v>
      </c>
      <c r="Q277" s="14">
        <f t="shared" ca="1" si="85"/>
        <v>0</v>
      </c>
      <c r="R277" s="14">
        <f t="shared" ca="1" si="85"/>
        <v>0</v>
      </c>
      <c r="S277" s="14">
        <f t="shared" ca="1" si="85"/>
        <v>0</v>
      </c>
      <c r="T277" s="14">
        <f t="shared" ca="1" si="85"/>
        <v>0</v>
      </c>
      <c r="U277" s="14">
        <f t="shared" ca="1" si="85"/>
        <v>0</v>
      </c>
      <c r="V277" s="14">
        <f t="shared" ca="1" si="85"/>
        <v>0</v>
      </c>
      <c r="W277" s="14">
        <f t="shared" ca="1" si="85"/>
        <v>0</v>
      </c>
      <c r="X277" s="14">
        <f t="shared" ca="1" si="85"/>
        <v>0</v>
      </c>
      <c r="Y277" s="14">
        <f t="shared" ca="1" si="85"/>
        <v>0</v>
      </c>
      <c r="Z277" s="14">
        <f t="shared" ca="1" si="85"/>
        <v>0</v>
      </c>
      <c r="AA277" s="14">
        <f t="shared" ca="1" si="85"/>
        <v>0</v>
      </c>
      <c r="AB277" s="14">
        <f t="shared" ca="1" si="85"/>
        <v>0</v>
      </c>
      <c r="AC277" s="14">
        <f t="shared" ca="1" si="85"/>
        <v>0</v>
      </c>
      <c r="AD277" s="14">
        <f t="shared" ca="1" si="85"/>
        <v>0</v>
      </c>
      <c r="AE277" s="14">
        <f t="shared" ca="1" si="85"/>
        <v>0</v>
      </c>
      <c r="AF277" s="14">
        <f t="shared" ca="1" si="85"/>
        <v>0</v>
      </c>
      <c r="AG277" s="14">
        <f t="shared" ca="1" si="85"/>
        <v>0</v>
      </c>
      <c r="AH277" s="14">
        <f t="shared" ca="1" si="85"/>
        <v>0</v>
      </c>
      <c r="AI277" s="14">
        <f t="shared" ca="1" si="85"/>
        <v>0</v>
      </c>
      <c r="AJ277" s="14">
        <f t="shared" ca="1" si="85"/>
        <v>0</v>
      </c>
      <c r="AK277" s="14">
        <f t="shared" ca="1" si="85"/>
        <v>0</v>
      </c>
      <c r="AL277" s="14">
        <f t="shared" ca="1" si="85"/>
        <v>0</v>
      </c>
      <c r="AM277" s="14">
        <f t="shared" ca="1" si="85"/>
        <v>0</v>
      </c>
      <c r="AN277" s="14">
        <f t="shared" ca="1" si="85"/>
        <v>0</v>
      </c>
      <c r="AO277" s="14">
        <f t="shared" ca="1" si="85"/>
        <v>0</v>
      </c>
      <c r="AP277" s="14">
        <f t="shared" ca="1" si="85"/>
        <v>0</v>
      </c>
      <c r="AQ277" s="14">
        <f t="shared" ca="1" si="85"/>
        <v>0</v>
      </c>
      <c r="AR277" s="14">
        <f t="shared" ca="1" si="85"/>
        <v>0</v>
      </c>
      <c r="AS277" s="14">
        <f t="shared" ca="1" si="85"/>
        <v>0</v>
      </c>
    </row>
    <row r="278" spans="2:45" outlineLevel="1" x14ac:dyDescent="0.15">
      <c r="B278" s="16" t="s">
        <v>651</v>
      </c>
      <c r="J278" s="18">
        <f t="shared" ref="J278:AS278" ca="1" si="86">SUM(J275:J277)</f>
        <v>-254839.13014950536</v>
      </c>
      <c r="K278" s="18">
        <f t="shared" ca="1" si="86"/>
        <v>-11801.124452086973</v>
      </c>
      <c r="L278" s="18">
        <f t="shared" ca="1" si="86"/>
        <v>49225.272093748041</v>
      </c>
      <c r="M278" s="18">
        <f t="shared" ca="1" si="86"/>
        <v>5643.1918542666654</v>
      </c>
      <c r="N278" s="18">
        <f t="shared" ca="1" si="86"/>
        <v>-21541.310924787958</v>
      </c>
      <c r="O278" s="18">
        <f t="shared" ca="1" si="86"/>
        <v>8124.0366575019361</v>
      </c>
      <c r="P278" s="18">
        <f t="shared" ca="1" si="86"/>
        <v>4012.5865466769901</v>
      </c>
      <c r="Q278" s="18">
        <f t="shared" ca="1" si="86"/>
        <v>-20052.951431846024</v>
      </c>
      <c r="R278" s="18">
        <f t="shared" ca="1" si="86"/>
        <v>6749.9205951772892</v>
      </c>
      <c r="S278" s="18">
        <f t="shared" ca="1" si="86"/>
        <v>2953.1030368886022</v>
      </c>
      <c r="T278" s="18">
        <f t="shared" ca="1" si="86"/>
        <v>-19850.481238537635</v>
      </c>
      <c r="U278" s="18">
        <f t="shared" ca="1" si="86"/>
        <v>7102.9196392665808</v>
      </c>
      <c r="V278" s="18">
        <f t="shared" ca="1" si="86"/>
        <v>1850.9538972215059</v>
      </c>
      <c r="W278" s="18">
        <f t="shared" ca="1" si="86"/>
        <v>-17846.528074192091</v>
      </c>
      <c r="X278" s="18">
        <f t="shared" ca="1" si="86"/>
        <v>10048.92769301961</v>
      </c>
      <c r="Y278" s="18">
        <f t="shared" ca="1" si="86"/>
        <v>6549.2970672150523</v>
      </c>
      <c r="Z278" s="18">
        <f t="shared" ca="1" si="86"/>
        <v>-21934.795859120866</v>
      </c>
      <c r="AA278" s="18">
        <f t="shared" ca="1" si="86"/>
        <v>9109.553637593548</v>
      </c>
      <c r="AB278" s="18">
        <f t="shared" ca="1" si="86"/>
        <v>5873.3150038021504</v>
      </c>
      <c r="AC278" s="18">
        <f t="shared" ca="1" si="86"/>
        <v>-18152.415983412469</v>
      </c>
      <c r="AD278" s="18">
        <f t="shared" ca="1" si="86"/>
        <v>8115.2105396645175</v>
      </c>
      <c r="AE278" s="18">
        <f t="shared" ca="1" si="86"/>
        <v>4604.758287447743</v>
      </c>
      <c r="AF278" s="18">
        <f t="shared" ca="1" si="86"/>
        <v>-18480.817347700642</v>
      </c>
      <c r="AG278" s="18">
        <f t="shared" ca="1" si="86"/>
        <v>8493.2383109522543</v>
      </c>
      <c r="AH278" s="18">
        <f t="shared" ca="1" si="86"/>
        <v>3186.8271065118288</v>
      </c>
      <c r="AI278" s="18">
        <f t="shared" ca="1" si="86"/>
        <v>-15688.97531112344</v>
      </c>
      <c r="AJ278" s="18">
        <f t="shared" ca="1" si="86"/>
        <v>12161.713043563876</v>
      </c>
      <c r="AK278" s="18">
        <f t="shared" ca="1" si="86"/>
        <v>8192.8064086021495</v>
      </c>
      <c r="AL278" s="18">
        <f t="shared" ca="1" si="86"/>
        <v>-20894.242543523444</v>
      </c>
      <c r="AM278" s="18">
        <f t="shared" ca="1" si="86"/>
        <v>10615.572425868388</v>
      </c>
      <c r="AN278" s="18">
        <f t="shared" ca="1" si="86"/>
        <v>7406.3741526021504</v>
      </c>
      <c r="AO278" s="18">
        <f t="shared" ca="1" si="86"/>
        <v>-16818.072341304087</v>
      </c>
      <c r="AP278" s="18">
        <f t="shared" ca="1" si="86"/>
        <v>9192.5300080691632</v>
      </c>
      <c r="AQ278" s="18">
        <f t="shared" ca="1" si="86"/>
        <v>5683.7302883415068</v>
      </c>
      <c r="AR278" s="18">
        <f t="shared" ca="1" si="86"/>
        <v>-17155.747541546669</v>
      </c>
      <c r="AS278" s="18">
        <f t="shared" ca="1" si="86"/>
        <v>9648.8869740185801</v>
      </c>
    </row>
    <row r="279" spans="2:45" outlineLevel="1" x14ac:dyDescent="0.15">
      <c r="B279" s="107" t="s">
        <v>652</v>
      </c>
      <c r="J279" s="14">
        <f t="shared" ref="J279:AS279" si="87">-J277</f>
        <v>0</v>
      </c>
      <c r="K279" s="14">
        <f t="shared" ca="1" si="87"/>
        <v>0</v>
      </c>
      <c r="L279" s="14">
        <f t="shared" ca="1" si="87"/>
        <v>0</v>
      </c>
      <c r="M279" s="14">
        <f t="shared" ca="1" si="87"/>
        <v>0</v>
      </c>
      <c r="N279" s="14">
        <f t="shared" ca="1" si="87"/>
        <v>0</v>
      </c>
      <c r="O279" s="14">
        <f t="shared" ca="1" si="87"/>
        <v>0</v>
      </c>
      <c r="P279" s="14">
        <f t="shared" ca="1" si="87"/>
        <v>0</v>
      </c>
      <c r="Q279" s="14">
        <f t="shared" ca="1" si="87"/>
        <v>0</v>
      </c>
      <c r="R279" s="14">
        <f t="shared" ca="1" si="87"/>
        <v>0</v>
      </c>
      <c r="S279" s="14">
        <f t="shared" ca="1" si="87"/>
        <v>0</v>
      </c>
      <c r="T279" s="14">
        <f t="shared" ca="1" si="87"/>
        <v>0</v>
      </c>
      <c r="U279" s="14">
        <f t="shared" ca="1" si="87"/>
        <v>0</v>
      </c>
      <c r="V279" s="14">
        <f t="shared" ca="1" si="87"/>
        <v>0</v>
      </c>
      <c r="W279" s="14">
        <f t="shared" ca="1" si="87"/>
        <v>0</v>
      </c>
      <c r="X279" s="14">
        <f t="shared" ca="1" si="87"/>
        <v>0</v>
      </c>
      <c r="Y279" s="14">
        <f t="shared" ca="1" si="87"/>
        <v>0</v>
      </c>
      <c r="Z279" s="14">
        <f t="shared" ca="1" si="87"/>
        <v>0</v>
      </c>
      <c r="AA279" s="14">
        <f t="shared" ca="1" si="87"/>
        <v>0</v>
      </c>
      <c r="AB279" s="14">
        <f t="shared" ca="1" si="87"/>
        <v>0</v>
      </c>
      <c r="AC279" s="14">
        <f t="shared" ca="1" si="87"/>
        <v>0</v>
      </c>
      <c r="AD279" s="14">
        <f t="shared" ca="1" si="87"/>
        <v>0</v>
      </c>
      <c r="AE279" s="14">
        <f t="shared" ca="1" si="87"/>
        <v>0</v>
      </c>
      <c r="AF279" s="14">
        <f t="shared" ca="1" si="87"/>
        <v>0</v>
      </c>
      <c r="AG279" s="14">
        <f t="shared" ca="1" si="87"/>
        <v>0</v>
      </c>
      <c r="AH279" s="14">
        <f t="shared" ca="1" si="87"/>
        <v>0</v>
      </c>
      <c r="AI279" s="14">
        <f t="shared" ca="1" si="87"/>
        <v>0</v>
      </c>
      <c r="AJ279" s="14">
        <f t="shared" ca="1" si="87"/>
        <v>0</v>
      </c>
      <c r="AK279" s="14">
        <f t="shared" ca="1" si="87"/>
        <v>0</v>
      </c>
      <c r="AL279" s="14">
        <f t="shared" ca="1" si="87"/>
        <v>0</v>
      </c>
      <c r="AM279" s="14">
        <f t="shared" ca="1" si="87"/>
        <v>0</v>
      </c>
      <c r="AN279" s="14">
        <f t="shared" ca="1" si="87"/>
        <v>0</v>
      </c>
      <c r="AO279" s="14">
        <f t="shared" ca="1" si="87"/>
        <v>0</v>
      </c>
      <c r="AP279" s="14">
        <f t="shared" ca="1" si="87"/>
        <v>0</v>
      </c>
      <c r="AQ279" s="14">
        <f t="shared" ca="1" si="87"/>
        <v>0</v>
      </c>
      <c r="AR279" s="14">
        <f t="shared" ca="1" si="87"/>
        <v>0</v>
      </c>
      <c r="AS279" s="14">
        <f t="shared" ca="1" si="87"/>
        <v>0</v>
      </c>
    </row>
    <row r="280" spans="2:45" outlineLevel="1" x14ac:dyDescent="0.15">
      <c r="B280" s="107" t="str">
        <f>B253</f>
        <v>Debt Drawdowns</v>
      </c>
      <c r="J280" s="14">
        <f t="shared" ref="J280:AS280" si="88">J253</f>
        <v>300000</v>
      </c>
      <c r="K280" s="14">
        <f t="shared" si="88"/>
        <v>0</v>
      </c>
      <c r="L280" s="14">
        <f t="shared" si="88"/>
        <v>0</v>
      </c>
      <c r="M280" s="14">
        <f t="shared" si="88"/>
        <v>0</v>
      </c>
      <c r="N280" s="14">
        <f t="shared" si="88"/>
        <v>0</v>
      </c>
      <c r="O280" s="14">
        <f t="shared" si="88"/>
        <v>0</v>
      </c>
      <c r="P280" s="14">
        <f t="shared" si="88"/>
        <v>0</v>
      </c>
      <c r="Q280" s="14">
        <f t="shared" si="88"/>
        <v>0</v>
      </c>
      <c r="R280" s="14">
        <f t="shared" si="88"/>
        <v>0</v>
      </c>
      <c r="S280" s="14">
        <f t="shared" si="88"/>
        <v>0</v>
      </c>
      <c r="T280" s="14">
        <f t="shared" si="88"/>
        <v>0</v>
      </c>
      <c r="U280" s="14">
        <f t="shared" si="88"/>
        <v>0</v>
      </c>
      <c r="V280" s="14">
        <f t="shared" si="88"/>
        <v>0</v>
      </c>
      <c r="W280" s="14">
        <f t="shared" si="88"/>
        <v>0</v>
      </c>
      <c r="X280" s="14">
        <f t="shared" si="88"/>
        <v>0</v>
      </c>
      <c r="Y280" s="14">
        <f t="shared" si="88"/>
        <v>0</v>
      </c>
      <c r="Z280" s="14">
        <f t="shared" si="88"/>
        <v>0</v>
      </c>
      <c r="AA280" s="14">
        <f t="shared" si="88"/>
        <v>0</v>
      </c>
      <c r="AB280" s="14">
        <f t="shared" si="88"/>
        <v>0</v>
      </c>
      <c r="AC280" s="14">
        <f t="shared" si="88"/>
        <v>0</v>
      </c>
      <c r="AD280" s="14">
        <f t="shared" si="88"/>
        <v>0</v>
      </c>
      <c r="AE280" s="14">
        <f t="shared" si="88"/>
        <v>0</v>
      </c>
      <c r="AF280" s="14">
        <f t="shared" si="88"/>
        <v>0</v>
      </c>
      <c r="AG280" s="14">
        <f t="shared" si="88"/>
        <v>0</v>
      </c>
      <c r="AH280" s="14">
        <f t="shared" si="88"/>
        <v>0</v>
      </c>
      <c r="AI280" s="14">
        <f t="shared" si="88"/>
        <v>0</v>
      </c>
      <c r="AJ280" s="14">
        <f t="shared" si="88"/>
        <v>0</v>
      </c>
      <c r="AK280" s="14">
        <f t="shared" si="88"/>
        <v>0</v>
      </c>
      <c r="AL280" s="14">
        <f t="shared" si="88"/>
        <v>0</v>
      </c>
      <c r="AM280" s="14">
        <f t="shared" si="88"/>
        <v>0</v>
      </c>
      <c r="AN280" s="14">
        <f t="shared" si="88"/>
        <v>0</v>
      </c>
      <c r="AO280" s="14">
        <f t="shared" si="88"/>
        <v>0</v>
      </c>
      <c r="AP280" s="14">
        <f t="shared" si="88"/>
        <v>0</v>
      </c>
      <c r="AQ280" s="14">
        <f t="shared" si="88"/>
        <v>0</v>
      </c>
      <c r="AR280" s="14">
        <f t="shared" si="88"/>
        <v>0</v>
      </c>
      <c r="AS280" s="14">
        <f t="shared" si="88"/>
        <v>0</v>
      </c>
    </row>
    <row r="281" spans="2:45" outlineLevel="1" x14ac:dyDescent="0.15">
      <c r="B281" s="107" t="str">
        <f>B257</f>
        <v>Debt Repayments</v>
      </c>
      <c r="J281" s="14">
        <f t="shared" ref="J281:AS281" si="89">J257</f>
        <v>0</v>
      </c>
      <c r="K281" s="14">
        <f t="shared" si="89"/>
        <v>0</v>
      </c>
      <c r="L281" s="14">
        <f t="shared" si="89"/>
        <v>0</v>
      </c>
      <c r="M281" s="14">
        <f t="shared" si="89"/>
        <v>0</v>
      </c>
      <c r="N281" s="14">
        <f t="shared" si="89"/>
        <v>0</v>
      </c>
      <c r="O281" s="14">
        <f t="shared" si="89"/>
        <v>0</v>
      </c>
      <c r="P281" s="14">
        <f t="shared" si="89"/>
        <v>0</v>
      </c>
      <c r="Q281" s="14">
        <f t="shared" si="89"/>
        <v>0</v>
      </c>
      <c r="R281" s="14">
        <f t="shared" si="89"/>
        <v>0</v>
      </c>
      <c r="S281" s="14">
        <f t="shared" si="89"/>
        <v>0</v>
      </c>
      <c r="T281" s="14">
        <f t="shared" si="89"/>
        <v>0</v>
      </c>
      <c r="U281" s="14">
        <f t="shared" si="89"/>
        <v>0</v>
      </c>
      <c r="V281" s="14">
        <f t="shared" si="89"/>
        <v>0</v>
      </c>
      <c r="W281" s="14">
        <f t="shared" si="89"/>
        <v>0</v>
      </c>
      <c r="X281" s="14">
        <f t="shared" si="89"/>
        <v>0</v>
      </c>
      <c r="Y281" s="14">
        <f t="shared" si="89"/>
        <v>0</v>
      </c>
      <c r="Z281" s="14">
        <f t="shared" si="89"/>
        <v>0</v>
      </c>
      <c r="AA281" s="14">
        <f t="shared" si="89"/>
        <v>0</v>
      </c>
      <c r="AB281" s="14">
        <f t="shared" si="89"/>
        <v>0</v>
      </c>
      <c r="AC281" s="14">
        <f t="shared" si="89"/>
        <v>0</v>
      </c>
      <c r="AD281" s="14">
        <f t="shared" si="89"/>
        <v>0</v>
      </c>
      <c r="AE281" s="14">
        <f t="shared" si="89"/>
        <v>0</v>
      </c>
      <c r="AF281" s="14">
        <f t="shared" si="89"/>
        <v>0</v>
      </c>
      <c r="AG281" s="14">
        <f t="shared" si="89"/>
        <v>0</v>
      </c>
      <c r="AH281" s="14">
        <f t="shared" si="89"/>
        <v>0</v>
      </c>
      <c r="AI281" s="14">
        <f t="shared" si="89"/>
        <v>0</v>
      </c>
      <c r="AJ281" s="14">
        <f t="shared" si="89"/>
        <v>0</v>
      </c>
      <c r="AK281" s="14">
        <f t="shared" si="89"/>
        <v>0</v>
      </c>
      <c r="AL281" s="14">
        <f t="shared" si="89"/>
        <v>0</v>
      </c>
      <c r="AM281" s="14">
        <f t="shared" si="89"/>
        <v>0</v>
      </c>
      <c r="AN281" s="14">
        <f t="shared" si="89"/>
        <v>0</v>
      </c>
      <c r="AO281" s="14">
        <f t="shared" si="89"/>
        <v>0</v>
      </c>
      <c r="AP281" s="14">
        <f t="shared" si="89"/>
        <v>0</v>
      </c>
      <c r="AQ281" s="14">
        <f t="shared" si="89"/>
        <v>0</v>
      </c>
      <c r="AR281" s="14">
        <f t="shared" si="89"/>
        <v>0</v>
      </c>
      <c r="AS281" s="14">
        <f t="shared" si="89"/>
        <v>0</v>
      </c>
    </row>
    <row r="282" spans="2:45" outlineLevel="1" x14ac:dyDescent="0.15">
      <c r="B282" s="107" t="str">
        <f>B267</f>
        <v>Other Financing Cash Flows</v>
      </c>
      <c r="J282" s="14">
        <f t="shared" ref="J282:AS282" si="90">J267</f>
        <v>0</v>
      </c>
      <c r="K282" s="14">
        <f t="shared" si="90"/>
        <v>0</v>
      </c>
      <c r="L282" s="14">
        <f t="shared" si="90"/>
        <v>0</v>
      </c>
      <c r="M282" s="14">
        <f t="shared" si="90"/>
        <v>0</v>
      </c>
      <c r="N282" s="14">
        <f t="shared" si="90"/>
        <v>0</v>
      </c>
      <c r="O282" s="14">
        <f t="shared" si="90"/>
        <v>0</v>
      </c>
      <c r="P282" s="14">
        <f t="shared" si="90"/>
        <v>0</v>
      </c>
      <c r="Q282" s="14">
        <f t="shared" si="90"/>
        <v>0</v>
      </c>
      <c r="R282" s="14">
        <f t="shared" si="90"/>
        <v>0</v>
      </c>
      <c r="S282" s="14">
        <f t="shared" si="90"/>
        <v>0</v>
      </c>
      <c r="T282" s="14">
        <f t="shared" si="90"/>
        <v>0</v>
      </c>
      <c r="U282" s="14">
        <f t="shared" si="90"/>
        <v>0</v>
      </c>
      <c r="V282" s="14">
        <f t="shared" si="90"/>
        <v>0</v>
      </c>
      <c r="W282" s="14">
        <f t="shared" si="90"/>
        <v>0</v>
      </c>
      <c r="X282" s="14">
        <f t="shared" si="90"/>
        <v>0</v>
      </c>
      <c r="Y282" s="14">
        <f t="shared" si="90"/>
        <v>0</v>
      </c>
      <c r="Z282" s="14">
        <f t="shared" si="90"/>
        <v>0</v>
      </c>
      <c r="AA282" s="14">
        <f t="shared" si="90"/>
        <v>0</v>
      </c>
      <c r="AB282" s="14">
        <f t="shared" si="90"/>
        <v>0</v>
      </c>
      <c r="AC282" s="14">
        <f t="shared" si="90"/>
        <v>0</v>
      </c>
      <c r="AD282" s="14">
        <f t="shared" si="90"/>
        <v>0</v>
      </c>
      <c r="AE282" s="14">
        <f t="shared" si="90"/>
        <v>0</v>
      </c>
      <c r="AF282" s="14">
        <f t="shared" si="90"/>
        <v>0</v>
      </c>
      <c r="AG282" s="14">
        <f t="shared" si="90"/>
        <v>0</v>
      </c>
      <c r="AH282" s="14">
        <f t="shared" si="90"/>
        <v>0</v>
      </c>
      <c r="AI282" s="14">
        <f t="shared" si="90"/>
        <v>0</v>
      </c>
      <c r="AJ282" s="14">
        <f t="shared" si="90"/>
        <v>0</v>
      </c>
      <c r="AK282" s="14">
        <f t="shared" si="90"/>
        <v>0</v>
      </c>
      <c r="AL282" s="14">
        <f t="shared" si="90"/>
        <v>0</v>
      </c>
      <c r="AM282" s="14">
        <f t="shared" si="90"/>
        <v>0</v>
      </c>
      <c r="AN282" s="14">
        <f t="shared" si="90"/>
        <v>0</v>
      </c>
      <c r="AO282" s="14">
        <f t="shared" si="90"/>
        <v>0</v>
      </c>
      <c r="AP282" s="14">
        <f t="shared" si="90"/>
        <v>0</v>
      </c>
      <c r="AQ282" s="14">
        <f t="shared" si="90"/>
        <v>0</v>
      </c>
      <c r="AR282" s="14">
        <f t="shared" si="90"/>
        <v>0</v>
      </c>
      <c r="AS282" s="14">
        <f t="shared" si="90"/>
        <v>0</v>
      </c>
    </row>
    <row r="283" spans="2:45" outlineLevel="1" x14ac:dyDescent="0.15">
      <c r="B283" s="16" t="s">
        <v>653</v>
      </c>
      <c r="J283" s="18">
        <f t="shared" ref="J283:AS283" ca="1" si="91">SUM(J278:J282)</f>
        <v>45160.869850494637</v>
      </c>
      <c r="K283" s="18">
        <f t="shared" ca="1" si="91"/>
        <v>-11801.124452086973</v>
      </c>
      <c r="L283" s="18">
        <f t="shared" ca="1" si="91"/>
        <v>49225.272093748041</v>
      </c>
      <c r="M283" s="18">
        <f t="shared" ca="1" si="91"/>
        <v>5643.1918542666654</v>
      </c>
      <c r="N283" s="18">
        <f t="shared" ca="1" si="91"/>
        <v>-21541.310924787958</v>
      </c>
      <c r="O283" s="18">
        <f t="shared" ca="1" si="91"/>
        <v>8124.0366575019361</v>
      </c>
      <c r="P283" s="18">
        <f t="shared" ca="1" si="91"/>
        <v>4012.5865466769901</v>
      </c>
      <c r="Q283" s="18">
        <f t="shared" ca="1" si="91"/>
        <v>-20052.951431846024</v>
      </c>
      <c r="R283" s="18">
        <f t="shared" ca="1" si="91"/>
        <v>6749.9205951772892</v>
      </c>
      <c r="S283" s="18">
        <f t="shared" ca="1" si="91"/>
        <v>2953.1030368886022</v>
      </c>
      <c r="T283" s="18">
        <f t="shared" ca="1" si="91"/>
        <v>-19850.481238537635</v>
      </c>
      <c r="U283" s="18">
        <f t="shared" ca="1" si="91"/>
        <v>7102.9196392665808</v>
      </c>
      <c r="V283" s="18">
        <f t="shared" ca="1" si="91"/>
        <v>1850.9538972215059</v>
      </c>
      <c r="W283" s="18">
        <f t="shared" ca="1" si="91"/>
        <v>-17846.528074192091</v>
      </c>
      <c r="X283" s="18">
        <f t="shared" ca="1" si="91"/>
        <v>10048.92769301961</v>
      </c>
      <c r="Y283" s="18">
        <f t="shared" ca="1" si="91"/>
        <v>6549.2970672150523</v>
      </c>
      <c r="Z283" s="18">
        <f t="shared" ca="1" si="91"/>
        <v>-21934.795859120866</v>
      </c>
      <c r="AA283" s="18">
        <f t="shared" ca="1" si="91"/>
        <v>9109.553637593548</v>
      </c>
      <c r="AB283" s="18">
        <f t="shared" ca="1" si="91"/>
        <v>5873.3150038021504</v>
      </c>
      <c r="AC283" s="18">
        <f t="shared" ca="1" si="91"/>
        <v>-18152.415983412469</v>
      </c>
      <c r="AD283" s="18">
        <f t="shared" ca="1" si="91"/>
        <v>8115.2105396645175</v>
      </c>
      <c r="AE283" s="18">
        <f t="shared" ca="1" si="91"/>
        <v>4604.758287447743</v>
      </c>
      <c r="AF283" s="18">
        <f t="shared" ca="1" si="91"/>
        <v>-18480.817347700642</v>
      </c>
      <c r="AG283" s="18">
        <f t="shared" ca="1" si="91"/>
        <v>8493.2383109522543</v>
      </c>
      <c r="AH283" s="18">
        <f t="shared" ca="1" si="91"/>
        <v>3186.8271065118288</v>
      </c>
      <c r="AI283" s="18">
        <f t="shared" ca="1" si="91"/>
        <v>-15688.97531112344</v>
      </c>
      <c r="AJ283" s="18">
        <f t="shared" ca="1" si="91"/>
        <v>12161.713043563876</v>
      </c>
      <c r="AK283" s="18">
        <f t="shared" ca="1" si="91"/>
        <v>8192.8064086021495</v>
      </c>
      <c r="AL283" s="18">
        <f t="shared" ca="1" si="91"/>
        <v>-20894.242543523444</v>
      </c>
      <c r="AM283" s="18">
        <f t="shared" ca="1" si="91"/>
        <v>10615.572425868388</v>
      </c>
      <c r="AN283" s="18">
        <f t="shared" ca="1" si="91"/>
        <v>7406.3741526021504</v>
      </c>
      <c r="AO283" s="18">
        <f t="shared" ca="1" si="91"/>
        <v>-16818.072341304087</v>
      </c>
      <c r="AP283" s="18">
        <f t="shared" ca="1" si="91"/>
        <v>9192.5300080691632</v>
      </c>
      <c r="AQ283" s="18">
        <f t="shared" ca="1" si="91"/>
        <v>5683.7302883415068</v>
      </c>
      <c r="AR283" s="18">
        <f t="shared" ca="1" si="91"/>
        <v>-17155.747541546669</v>
      </c>
      <c r="AS283" s="18">
        <f t="shared" ca="1" si="91"/>
        <v>9648.8869740185801</v>
      </c>
    </row>
    <row r="284" spans="2:45" outlineLevel="1" x14ac:dyDescent="0.15">
      <c r="B284" s="107" t="str">
        <f>B259</f>
        <v>Ordinary Equity Raisings</v>
      </c>
      <c r="J284" s="14">
        <f t="shared" ref="J284:AS284" si="92">J259</f>
        <v>0</v>
      </c>
      <c r="K284" s="14">
        <f t="shared" si="92"/>
        <v>0</v>
      </c>
      <c r="L284" s="14">
        <f t="shared" si="92"/>
        <v>0</v>
      </c>
      <c r="M284" s="14">
        <f t="shared" si="92"/>
        <v>0</v>
      </c>
      <c r="N284" s="14">
        <f t="shared" si="92"/>
        <v>0</v>
      </c>
      <c r="O284" s="14">
        <f t="shared" si="92"/>
        <v>0</v>
      </c>
      <c r="P284" s="14">
        <f t="shared" si="92"/>
        <v>0</v>
      </c>
      <c r="Q284" s="14">
        <f t="shared" si="92"/>
        <v>0</v>
      </c>
      <c r="R284" s="14">
        <f t="shared" si="92"/>
        <v>0</v>
      </c>
      <c r="S284" s="14">
        <f t="shared" si="92"/>
        <v>0</v>
      </c>
      <c r="T284" s="14">
        <f t="shared" si="92"/>
        <v>0</v>
      </c>
      <c r="U284" s="14">
        <f t="shared" si="92"/>
        <v>0</v>
      </c>
      <c r="V284" s="14">
        <f t="shared" si="92"/>
        <v>0</v>
      </c>
      <c r="W284" s="14">
        <f t="shared" si="92"/>
        <v>0</v>
      </c>
      <c r="X284" s="14">
        <f t="shared" si="92"/>
        <v>0</v>
      </c>
      <c r="Y284" s="14">
        <f t="shared" si="92"/>
        <v>0</v>
      </c>
      <c r="Z284" s="14">
        <f t="shared" si="92"/>
        <v>0</v>
      </c>
      <c r="AA284" s="14">
        <f t="shared" si="92"/>
        <v>0</v>
      </c>
      <c r="AB284" s="14">
        <f t="shared" si="92"/>
        <v>0</v>
      </c>
      <c r="AC284" s="14">
        <f t="shared" si="92"/>
        <v>0</v>
      </c>
      <c r="AD284" s="14">
        <f t="shared" si="92"/>
        <v>0</v>
      </c>
      <c r="AE284" s="14">
        <f t="shared" si="92"/>
        <v>0</v>
      </c>
      <c r="AF284" s="14">
        <f t="shared" si="92"/>
        <v>0</v>
      </c>
      <c r="AG284" s="14">
        <f t="shared" si="92"/>
        <v>0</v>
      </c>
      <c r="AH284" s="14">
        <f t="shared" si="92"/>
        <v>0</v>
      </c>
      <c r="AI284" s="14">
        <f t="shared" si="92"/>
        <v>0</v>
      </c>
      <c r="AJ284" s="14">
        <f t="shared" si="92"/>
        <v>0</v>
      </c>
      <c r="AK284" s="14">
        <f t="shared" si="92"/>
        <v>0</v>
      </c>
      <c r="AL284" s="14">
        <f t="shared" si="92"/>
        <v>0</v>
      </c>
      <c r="AM284" s="14">
        <f t="shared" si="92"/>
        <v>0</v>
      </c>
      <c r="AN284" s="14">
        <f t="shared" si="92"/>
        <v>0</v>
      </c>
      <c r="AO284" s="14">
        <f t="shared" si="92"/>
        <v>0</v>
      </c>
      <c r="AP284" s="14">
        <f t="shared" si="92"/>
        <v>0</v>
      </c>
      <c r="AQ284" s="14">
        <f t="shared" si="92"/>
        <v>0</v>
      </c>
      <c r="AR284" s="14">
        <f t="shared" si="92"/>
        <v>0</v>
      </c>
      <c r="AS284" s="14">
        <f t="shared" si="92"/>
        <v>0</v>
      </c>
    </row>
    <row r="285" spans="2:45" outlineLevel="1" x14ac:dyDescent="0.15">
      <c r="B285" s="107" t="str">
        <f>B261</f>
        <v>Ordinary Equity Buybacks</v>
      </c>
      <c r="J285" s="14">
        <f t="shared" ref="J285:AS285" si="93">J261</f>
        <v>0</v>
      </c>
      <c r="K285" s="14">
        <f t="shared" si="93"/>
        <v>0</v>
      </c>
      <c r="L285" s="14">
        <f t="shared" si="93"/>
        <v>0</v>
      </c>
      <c r="M285" s="14">
        <f t="shared" si="93"/>
        <v>0</v>
      </c>
      <c r="N285" s="14">
        <f t="shared" si="93"/>
        <v>0</v>
      </c>
      <c r="O285" s="14">
        <f t="shared" si="93"/>
        <v>0</v>
      </c>
      <c r="P285" s="14">
        <f t="shared" si="93"/>
        <v>0</v>
      </c>
      <c r="Q285" s="14">
        <f t="shared" si="93"/>
        <v>0</v>
      </c>
      <c r="R285" s="14">
        <f t="shared" si="93"/>
        <v>0</v>
      </c>
      <c r="S285" s="14">
        <f t="shared" si="93"/>
        <v>0</v>
      </c>
      <c r="T285" s="14">
        <f t="shared" si="93"/>
        <v>0</v>
      </c>
      <c r="U285" s="14">
        <f t="shared" si="93"/>
        <v>0</v>
      </c>
      <c r="V285" s="14">
        <f t="shared" si="93"/>
        <v>0</v>
      </c>
      <c r="W285" s="14">
        <f t="shared" si="93"/>
        <v>0</v>
      </c>
      <c r="X285" s="14">
        <f t="shared" si="93"/>
        <v>0</v>
      </c>
      <c r="Y285" s="14">
        <f t="shared" si="93"/>
        <v>0</v>
      </c>
      <c r="Z285" s="14">
        <f t="shared" si="93"/>
        <v>0</v>
      </c>
      <c r="AA285" s="14">
        <f t="shared" si="93"/>
        <v>0</v>
      </c>
      <c r="AB285" s="14">
        <f t="shared" si="93"/>
        <v>0</v>
      </c>
      <c r="AC285" s="14">
        <f t="shared" si="93"/>
        <v>0</v>
      </c>
      <c r="AD285" s="14">
        <f t="shared" si="93"/>
        <v>0</v>
      </c>
      <c r="AE285" s="14">
        <f t="shared" si="93"/>
        <v>0</v>
      </c>
      <c r="AF285" s="14">
        <f t="shared" si="93"/>
        <v>0</v>
      </c>
      <c r="AG285" s="14">
        <f t="shared" si="93"/>
        <v>0</v>
      </c>
      <c r="AH285" s="14">
        <f t="shared" si="93"/>
        <v>0</v>
      </c>
      <c r="AI285" s="14">
        <f t="shared" si="93"/>
        <v>0</v>
      </c>
      <c r="AJ285" s="14">
        <f t="shared" si="93"/>
        <v>0</v>
      </c>
      <c r="AK285" s="14">
        <f t="shared" si="93"/>
        <v>0</v>
      </c>
      <c r="AL285" s="14">
        <f t="shared" si="93"/>
        <v>0</v>
      </c>
      <c r="AM285" s="14">
        <f t="shared" si="93"/>
        <v>0</v>
      </c>
      <c r="AN285" s="14">
        <f t="shared" si="93"/>
        <v>0</v>
      </c>
      <c r="AO285" s="14">
        <f t="shared" si="93"/>
        <v>0</v>
      </c>
      <c r="AP285" s="14">
        <f t="shared" si="93"/>
        <v>0</v>
      </c>
      <c r="AQ285" s="14">
        <f t="shared" si="93"/>
        <v>0</v>
      </c>
      <c r="AR285" s="14">
        <f t="shared" si="93"/>
        <v>0</v>
      </c>
      <c r="AS285" s="14">
        <f t="shared" si="93"/>
        <v>0</v>
      </c>
    </row>
    <row r="286" spans="2:45" outlineLevel="1" x14ac:dyDescent="0.15">
      <c r="B286" s="16" t="s">
        <v>654</v>
      </c>
      <c r="J286" s="21">
        <f t="shared" ref="J286:AS286" ca="1" si="94">SUM(J283:J285)</f>
        <v>45160.869850494637</v>
      </c>
      <c r="K286" s="21">
        <f t="shared" ca="1" si="94"/>
        <v>-11801.124452086973</v>
      </c>
      <c r="L286" s="21">
        <f t="shared" ca="1" si="94"/>
        <v>49225.272093748041</v>
      </c>
      <c r="M286" s="21">
        <f t="shared" ca="1" si="94"/>
        <v>5643.1918542666654</v>
      </c>
      <c r="N286" s="21">
        <f t="shared" ca="1" si="94"/>
        <v>-21541.310924787958</v>
      </c>
      <c r="O286" s="21">
        <f t="shared" ca="1" si="94"/>
        <v>8124.0366575019361</v>
      </c>
      <c r="P286" s="21">
        <f t="shared" ca="1" si="94"/>
        <v>4012.5865466769901</v>
      </c>
      <c r="Q286" s="21">
        <f t="shared" ca="1" si="94"/>
        <v>-20052.951431846024</v>
      </c>
      <c r="R286" s="21">
        <f t="shared" ca="1" si="94"/>
        <v>6749.9205951772892</v>
      </c>
      <c r="S286" s="21">
        <f t="shared" ca="1" si="94"/>
        <v>2953.1030368886022</v>
      </c>
      <c r="T286" s="21">
        <f t="shared" ca="1" si="94"/>
        <v>-19850.481238537635</v>
      </c>
      <c r="U286" s="21">
        <f t="shared" ca="1" si="94"/>
        <v>7102.9196392665808</v>
      </c>
      <c r="V286" s="21">
        <f t="shared" ca="1" si="94"/>
        <v>1850.9538972215059</v>
      </c>
      <c r="W286" s="21">
        <f t="shared" ca="1" si="94"/>
        <v>-17846.528074192091</v>
      </c>
      <c r="X286" s="21">
        <f t="shared" ca="1" si="94"/>
        <v>10048.92769301961</v>
      </c>
      <c r="Y286" s="21">
        <f t="shared" ca="1" si="94"/>
        <v>6549.2970672150523</v>
      </c>
      <c r="Z286" s="21">
        <f t="shared" ca="1" si="94"/>
        <v>-21934.795859120866</v>
      </c>
      <c r="AA286" s="21">
        <f t="shared" ca="1" si="94"/>
        <v>9109.553637593548</v>
      </c>
      <c r="AB286" s="21">
        <f t="shared" ca="1" si="94"/>
        <v>5873.3150038021504</v>
      </c>
      <c r="AC286" s="21">
        <f t="shared" ca="1" si="94"/>
        <v>-18152.415983412469</v>
      </c>
      <c r="AD286" s="21">
        <f t="shared" ca="1" si="94"/>
        <v>8115.2105396645175</v>
      </c>
      <c r="AE286" s="21">
        <f t="shared" ca="1" si="94"/>
        <v>4604.758287447743</v>
      </c>
      <c r="AF286" s="21">
        <f t="shared" ca="1" si="94"/>
        <v>-18480.817347700642</v>
      </c>
      <c r="AG286" s="21">
        <f t="shared" ca="1" si="94"/>
        <v>8493.2383109522543</v>
      </c>
      <c r="AH286" s="21">
        <f t="shared" ca="1" si="94"/>
        <v>3186.8271065118288</v>
      </c>
      <c r="AI286" s="21">
        <f t="shared" ca="1" si="94"/>
        <v>-15688.97531112344</v>
      </c>
      <c r="AJ286" s="21">
        <f t="shared" ca="1" si="94"/>
        <v>12161.713043563876</v>
      </c>
      <c r="AK286" s="21">
        <f t="shared" ca="1" si="94"/>
        <v>8192.8064086021495</v>
      </c>
      <c r="AL286" s="21">
        <f t="shared" ca="1" si="94"/>
        <v>-20894.242543523444</v>
      </c>
      <c r="AM286" s="21">
        <f t="shared" ca="1" si="94"/>
        <v>10615.572425868388</v>
      </c>
      <c r="AN286" s="21">
        <f t="shared" ca="1" si="94"/>
        <v>7406.3741526021504</v>
      </c>
      <c r="AO286" s="21">
        <f t="shared" ca="1" si="94"/>
        <v>-16818.072341304087</v>
      </c>
      <c r="AP286" s="21">
        <f t="shared" ca="1" si="94"/>
        <v>9192.5300080691632</v>
      </c>
      <c r="AQ286" s="21">
        <f t="shared" ca="1" si="94"/>
        <v>5683.7302883415068</v>
      </c>
      <c r="AR286" s="21">
        <f t="shared" ca="1" si="94"/>
        <v>-17155.747541546669</v>
      </c>
      <c r="AS286" s="21">
        <f t="shared" ca="1" si="94"/>
        <v>9648.8869740185801</v>
      </c>
    </row>
    <row r="287" spans="2:45" outlineLevel="1" x14ac:dyDescent="0.15">
      <c r="B287" s="107" t="str">
        <f>B263</f>
        <v>Ordinary Equity Dividends Paid</v>
      </c>
      <c r="J287" s="14">
        <f t="shared" ref="J287:AS287" si="95">J263</f>
        <v>0</v>
      </c>
      <c r="K287" s="14">
        <f t="shared" ca="1" si="95"/>
        <v>0</v>
      </c>
      <c r="L287" s="14">
        <f t="shared" ca="1" si="95"/>
        <v>0</v>
      </c>
      <c r="M287" s="14">
        <f t="shared" ca="1" si="95"/>
        <v>0</v>
      </c>
      <c r="N287" s="14">
        <f t="shared" ca="1" si="95"/>
        <v>0</v>
      </c>
      <c r="O287" s="14">
        <f t="shared" ca="1" si="95"/>
        <v>0</v>
      </c>
      <c r="P287" s="14">
        <f t="shared" ca="1" si="95"/>
        <v>0</v>
      </c>
      <c r="Q287" s="14">
        <f t="shared" ca="1" si="95"/>
        <v>0</v>
      </c>
      <c r="R287" s="14">
        <f t="shared" ca="1" si="95"/>
        <v>0</v>
      </c>
      <c r="S287" s="14">
        <f t="shared" ca="1" si="95"/>
        <v>0</v>
      </c>
      <c r="T287" s="14">
        <f t="shared" ca="1" si="95"/>
        <v>0</v>
      </c>
      <c r="U287" s="14">
        <f t="shared" ca="1" si="95"/>
        <v>0</v>
      </c>
      <c r="V287" s="14">
        <f t="shared" ca="1" si="95"/>
        <v>0</v>
      </c>
      <c r="W287" s="14">
        <f t="shared" ca="1" si="95"/>
        <v>0</v>
      </c>
      <c r="X287" s="14">
        <f t="shared" ca="1" si="95"/>
        <v>0</v>
      </c>
      <c r="Y287" s="14">
        <f t="shared" ca="1" si="95"/>
        <v>0</v>
      </c>
      <c r="Z287" s="14">
        <f t="shared" ca="1" si="95"/>
        <v>0</v>
      </c>
      <c r="AA287" s="14">
        <f t="shared" ca="1" si="95"/>
        <v>0</v>
      </c>
      <c r="AB287" s="14">
        <f t="shared" ca="1" si="95"/>
        <v>0</v>
      </c>
      <c r="AC287" s="14">
        <f t="shared" ca="1" si="95"/>
        <v>0</v>
      </c>
      <c r="AD287" s="14">
        <f t="shared" ca="1" si="95"/>
        <v>0</v>
      </c>
      <c r="AE287" s="14">
        <f t="shared" ca="1" si="95"/>
        <v>0</v>
      </c>
      <c r="AF287" s="14">
        <f t="shared" ca="1" si="95"/>
        <v>0</v>
      </c>
      <c r="AG287" s="14">
        <f t="shared" ca="1" si="95"/>
        <v>0</v>
      </c>
      <c r="AH287" s="14">
        <f t="shared" ca="1" si="95"/>
        <v>0</v>
      </c>
      <c r="AI287" s="14">
        <f t="shared" ca="1" si="95"/>
        <v>0</v>
      </c>
      <c r="AJ287" s="14">
        <f t="shared" ca="1" si="95"/>
        <v>0</v>
      </c>
      <c r="AK287" s="14">
        <f t="shared" ca="1" si="95"/>
        <v>0</v>
      </c>
      <c r="AL287" s="14">
        <f t="shared" ca="1" si="95"/>
        <v>0</v>
      </c>
      <c r="AM287" s="14">
        <f t="shared" ca="1" si="95"/>
        <v>0</v>
      </c>
      <c r="AN287" s="14">
        <f t="shared" ca="1" si="95"/>
        <v>0</v>
      </c>
      <c r="AO287" s="14">
        <f t="shared" ca="1" si="95"/>
        <v>0</v>
      </c>
      <c r="AP287" s="14">
        <f t="shared" ca="1" si="95"/>
        <v>0</v>
      </c>
      <c r="AQ287" s="14">
        <f t="shared" ca="1" si="95"/>
        <v>0</v>
      </c>
      <c r="AR287" s="14">
        <f t="shared" ca="1" si="95"/>
        <v>0</v>
      </c>
      <c r="AS287" s="14">
        <f t="shared" ca="1" si="95"/>
        <v>0</v>
      </c>
    </row>
    <row r="288" spans="2:45" ht="13" outlineLevel="1" thickBot="1" x14ac:dyDescent="0.2">
      <c r="B288" s="16" t="str">
        <f>B271</f>
        <v>Net Increase/(Decrease) in Cash Held</v>
      </c>
      <c r="J288" s="20">
        <f t="shared" ref="J288:AS288" ca="1" si="96">SUM(J286:J287)</f>
        <v>45160.869850494637</v>
      </c>
      <c r="K288" s="20">
        <f t="shared" ca="1" si="96"/>
        <v>-11801.124452086973</v>
      </c>
      <c r="L288" s="20">
        <f t="shared" ca="1" si="96"/>
        <v>49225.272093748041</v>
      </c>
      <c r="M288" s="20">
        <f t="shared" ca="1" si="96"/>
        <v>5643.1918542666654</v>
      </c>
      <c r="N288" s="20">
        <f t="shared" ca="1" si="96"/>
        <v>-21541.310924787958</v>
      </c>
      <c r="O288" s="20">
        <f t="shared" ca="1" si="96"/>
        <v>8124.0366575019361</v>
      </c>
      <c r="P288" s="20">
        <f t="shared" ca="1" si="96"/>
        <v>4012.5865466769901</v>
      </c>
      <c r="Q288" s="20">
        <f t="shared" ca="1" si="96"/>
        <v>-20052.951431846024</v>
      </c>
      <c r="R288" s="20">
        <f t="shared" ca="1" si="96"/>
        <v>6749.9205951772892</v>
      </c>
      <c r="S288" s="20">
        <f t="shared" ca="1" si="96"/>
        <v>2953.1030368886022</v>
      </c>
      <c r="T288" s="20">
        <f t="shared" ca="1" si="96"/>
        <v>-19850.481238537635</v>
      </c>
      <c r="U288" s="20">
        <f t="shared" ca="1" si="96"/>
        <v>7102.9196392665808</v>
      </c>
      <c r="V288" s="20">
        <f t="shared" ca="1" si="96"/>
        <v>1850.9538972215059</v>
      </c>
      <c r="W288" s="20">
        <f t="shared" ca="1" si="96"/>
        <v>-17846.528074192091</v>
      </c>
      <c r="X288" s="20">
        <f t="shared" ca="1" si="96"/>
        <v>10048.92769301961</v>
      </c>
      <c r="Y288" s="20">
        <f t="shared" ca="1" si="96"/>
        <v>6549.2970672150523</v>
      </c>
      <c r="Z288" s="20">
        <f t="shared" ca="1" si="96"/>
        <v>-21934.795859120866</v>
      </c>
      <c r="AA288" s="20">
        <f t="shared" ca="1" si="96"/>
        <v>9109.553637593548</v>
      </c>
      <c r="AB288" s="20">
        <f t="shared" ca="1" si="96"/>
        <v>5873.3150038021504</v>
      </c>
      <c r="AC288" s="20">
        <f t="shared" ca="1" si="96"/>
        <v>-18152.415983412469</v>
      </c>
      <c r="AD288" s="20">
        <f t="shared" ca="1" si="96"/>
        <v>8115.2105396645175</v>
      </c>
      <c r="AE288" s="20">
        <f t="shared" ca="1" si="96"/>
        <v>4604.758287447743</v>
      </c>
      <c r="AF288" s="20">
        <f t="shared" ca="1" si="96"/>
        <v>-18480.817347700642</v>
      </c>
      <c r="AG288" s="20">
        <f t="shared" ca="1" si="96"/>
        <v>8493.2383109522543</v>
      </c>
      <c r="AH288" s="20">
        <f t="shared" ca="1" si="96"/>
        <v>3186.8271065118288</v>
      </c>
      <c r="AI288" s="20">
        <f t="shared" ca="1" si="96"/>
        <v>-15688.97531112344</v>
      </c>
      <c r="AJ288" s="20">
        <f t="shared" ca="1" si="96"/>
        <v>12161.713043563876</v>
      </c>
      <c r="AK288" s="20">
        <f t="shared" ca="1" si="96"/>
        <v>8192.8064086021495</v>
      </c>
      <c r="AL288" s="20">
        <f t="shared" ca="1" si="96"/>
        <v>-20894.242543523444</v>
      </c>
      <c r="AM288" s="20">
        <f t="shared" ca="1" si="96"/>
        <v>10615.572425868388</v>
      </c>
      <c r="AN288" s="20">
        <f t="shared" ca="1" si="96"/>
        <v>7406.3741526021504</v>
      </c>
      <c r="AO288" s="20">
        <f t="shared" ca="1" si="96"/>
        <v>-16818.072341304087</v>
      </c>
      <c r="AP288" s="20">
        <f t="shared" ca="1" si="96"/>
        <v>9192.5300080691632</v>
      </c>
      <c r="AQ288" s="20">
        <f t="shared" ca="1" si="96"/>
        <v>5683.7302883415068</v>
      </c>
      <c r="AR288" s="20">
        <f t="shared" ca="1" si="96"/>
        <v>-17155.747541546669</v>
      </c>
      <c r="AS288" s="20">
        <f t="shared" ca="1" si="96"/>
        <v>9648.8869740185801</v>
      </c>
    </row>
    <row r="289" spans="2:45" ht="13" outlineLevel="1" thickTop="1" x14ac:dyDescent="0.15"/>
    <row r="290" spans="2:45" hidden="1" outlineLevel="2" x14ac:dyDescent="0.15">
      <c r="C290" s="107" t="s">
        <v>192</v>
      </c>
      <c r="J290" s="17">
        <f t="shared" ref="J290:AS290" ca="1" si="97">IF(ISERROR(J271+J288),1,0)</f>
        <v>0</v>
      </c>
      <c r="K290" s="17">
        <f t="shared" ca="1" si="97"/>
        <v>0</v>
      </c>
      <c r="L290" s="17">
        <f t="shared" ca="1" si="97"/>
        <v>0</v>
      </c>
      <c r="M290" s="17">
        <f t="shared" ca="1" si="97"/>
        <v>0</v>
      </c>
      <c r="N290" s="17">
        <f t="shared" ca="1" si="97"/>
        <v>0</v>
      </c>
      <c r="O290" s="17">
        <f t="shared" ca="1" si="97"/>
        <v>0</v>
      </c>
      <c r="P290" s="17">
        <f t="shared" ca="1" si="97"/>
        <v>0</v>
      </c>
      <c r="Q290" s="17">
        <f t="shared" ca="1" si="97"/>
        <v>0</v>
      </c>
      <c r="R290" s="17">
        <f t="shared" ca="1" si="97"/>
        <v>0</v>
      </c>
      <c r="S290" s="17">
        <f t="shared" ca="1" si="97"/>
        <v>0</v>
      </c>
      <c r="T290" s="17">
        <f t="shared" ca="1" si="97"/>
        <v>0</v>
      </c>
      <c r="U290" s="17">
        <f t="shared" ca="1" si="97"/>
        <v>0</v>
      </c>
      <c r="V290" s="17">
        <f t="shared" ca="1" si="97"/>
        <v>0</v>
      </c>
      <c r="W290" s="17">
        <f t="shared" ca="1" si="97"/>
        <v>0</v>
      </c>
      <c r="X290" s="17">
        <f t="shared" ca="1" si="97"/>
        <v>0</v>
      </c>
      <c r="Y290" s="17">
        <f t="shared" ca="1" si="97"/>
        <v>0</v>
      </c>
      <c r="Z290" s="17">
        <f t="shared" ca="1" si="97"/>
        <v>0</v>
      </c>
      <c r="AA290" s="17">
        <f t="shared" ca="1" si="97"/>
        <v>0</v>
      </c>
      <c r="AB290" s="17">
        <f t="shared" ca="1" si="97"/>
        <v>0</v>
      </c>
      <c r="AC290" s="17">
        <f t="shared" ca="1" si="97"/>
        <v>0</v>
      </c>
      <c r="AD290" s="17">
        <f t="shared" ca="1" si="97"/>
        <v>0</v>
      </c>
      <c r="AE290" s="17">
        <f t="shared" ca="1" si="97"/>
        <v>0</v>
      </c>
      <c r="AF290" s="17">
        <f t="shared" ca="1" si="97"/>
        <v>0</v>
      </c>
      <c r="AG290" s="17">
        <f t="shared" ca="1" si="97"/>
        <v>0</v>
      </c>
      <c r="AH290" s="17">
        <f t="shared" ca="1" si="97"/>
        <v>0</v>
      </c>
      <c r="AI290" s="17">
        <f t="shared" ca="1" si="97"/>
        <v>0</v>
      </c>
      <c r="AJ290" s="17">
        <f t="shared" ca="1" si="97"/>
        <v>0</v>
      </c>
      <c r="AK290" s="17">
        <f t="shared" ca="1" si="97"/>
        <v>0</v>
      </c>
      <c r="AL290" s="17">
        <f t="shared" ca="1" si="97"/>
        <v>0</v>
      </c>
      <c r="AM290" s="17">
        <f t="shared" ca="1" si="97"/>
        <v>0</v>
      </c>
      <c r="AN290" s="17">
        <f t="shared" ca="1" si="97"/>
        <v>0</v>
      </c>
      <c r="AO290" s="17">
        <f t="shared" ca="1" si="97"/>
        <v>0</v>
      </c>
      <c r="AP290" s="17">
        <f t="shared" ca="1" si="97"/>
        <v>0</v>
      </c>
      <c r="AQ290" s="17">
        <f t="shared" ca="1" si="97"/>
        <v>0</v>
      </c>
      <c r="AR290" s="17">
        <f t="shared" ca="1" si="97"/>
        <v>0</v>
      </c>
      <c r="AS290" s="17">
        <f t="shared" ca="1" si="97"/>
        <v>0</v>
      </c>
    </row>
    <row r="291" spans="2:45" hidden="1" outlineLevel="2" x14ac:dyDescent="0.15">
      <c r="C291" s="107" t="str">
        <f>B170&amp;" - Reconciliation"</f>
        <v>Cash Flow Statement - Reconciliation</v>
      </c>
      <c r="J291" s="17">
        <f t="shared" ref="J291:AS291" ca="1" si="98">IF(J290&lt;&gt;0,0,(ROUND(J240+J249+J269-J271,5)&lt;&gt;0)*1)</f>
        <v>0</v>
      </c>
      <c r="K291" s="17">
        <f t="shared" ca="1" si="98"/>
        <v>0</v>
      </c>
      <c r="L291" s="17">
        <f t="shared" ca="1" si="98"/>
        <v>0</v>
      </c>
      <c r="M291" s="17">
        <f t="shared" ca="1" si="98"/>
        <v>0</v>
      </c>
      <c r="N291" s="17">
        <f t="shared" ca="1" si="98"/>
        <v>0</v>
      </c>
      <c r="O291" s="17">
        <f t="shared" ca="1" si="98"/>
        <v>0</v>
      </c>
      <c r="P291" s="17">
        <f t="shared" ca="1" si="98"/>
        <v>0</v>
      </c>
      <c r="Q291" s="17">
        <f t="shared" ca="1" si="98"/>
        <v>0</v>
      </c>
      <c r="R291" s="17">
        <f t="shared" ca="1" si="98"/>
        <v>0</v>
      </c>
      <c r="S291" s="17">
        <f t="shared" ca="1" si="98"/>
        <v>0</v>
      </c>
      <c r="T291" s="17">
        <f t="shared" ca="1" si="98"/>
        <v>0</v>
      </c>
      <c r="U291" s="17">
        <f t="shared" ca="1" si="98"/>
        <v>0</v>
      </c>
      <c r="V291" s="17">
        <f t="shared" ca="1" si="98"/>
        <v>0</v>
      </c>
      <c r="W291" s="17">
        <f t="shared" ca="1" si="98"/>
        <v>0</v>
      </c>
      <c r="X291" s="17">
        <f t="shared" ca="1" si="98"/>
        <v>0</v>
      </c>
      <c r="Y291" s="17">
        <f t="shared" ca="1" si="98"/>
        <v>0</v>
      </c>
      <c r="Z291" s="17">
        <f t="shared" ca="1" si="98"/>
        <v>0</v>
      </c>
      <c r="AA291" s="17">
        <f t="shared" ca="1" si="98"/>
        <v>0</v>
      </c>
      <c r="AB291" s="17">
        <f t="shared" ca="1" si="98"/>
        <v>0</v>
      </c>
      <c r="AC291" s="17">
        <f t="shared" ca="1" si="98"/>
        <v>0</v>
      </c>
      <c r="AD291" s="17">
        <f t="shared" ca="1" si="98"/>
        <v>0</v>
      </c>
      <c r="AE291" s="17">
        <f t="shared" ca="1" si="98"/>
        <v>0</v>
      </c>
      <c r="AF291" s="17">
        <f t="shared" ca="1" si="98"/>
        <v>0</v>
      </c>
      <c r="AG291" s="17">
        <f t="shared" ca="1" si="98"/>
        <v>0</v>
      </c>
      <c r="AH291" s="17">
        <f t="shared" ca="1" si="98"/>
        <v>0</v>
      </c>
      <c r="AI291" s="17">
        <f t="shared" ca="1" si="98"/>
        <v>0</v>
      </c>
      <c r="AJ291" s="17">
        <f t="shared" ca="1" si="98"/>
        <v>0</v>
      </c>
      <c r="AK291" s="17">
        <f t="shared" ca="1" si="98"/>
        <v>0</v>
      </c>
      <c r="AL291" s="17">
        <f t="shared" ca="1" si="98"/>
        <v>0</v>
      </c>
      <c r="AM291" s="17">
        <f t="shared" ca="1" si="98"/>
        <v>0</v>
      </c>
      <c r="AN291" s="17">
        <f t="shared" ca="1" si="98"/>
        <v>0</v>
      </c>
      <c r="AO291" s="17">
        <f t="shared" ca="1" si="98"/>
        <v>0</v>
      </c>
      <c r="AP291" s="17">
        <f t="shared" ca="1" si="98"/>
        <v>0</v>
      </c>
      <c r="AQ291" s="17">
        <f t="shared" ca="1" si="98"/>
        <v>0</v>
      </c>
      <c r="AR291" s="17">
        <f t="shared" ca="1" si="98"/>
        <v>0</v>
      </c>
      <c r="AS291" s="17">
        <f t="shared" ca="1" si="98"/>
        <v>0</v>
      </c>
    </row>
    <row r="292" spans="2:45" hidden="1" outlineLevel="2" x14ac:dyDescent="0.15">
      <c r="C292" s="107" t="str">
        <f>B273&amp;" - Reconciliation"</f>
        <v>Cash Flow to Capital Providers - Reconciliation</v>
      </c>
      <c r="J292" s="42">
        <f t="shared" ref="J292:AS292" ca="1" si="99">IF(J290&lt;&gt;0,0,(ROUND(J271-J288,5)&lt;&gt;0)*1)</f>
        <v>0</v>
      </c>
      <c r="K292" s="42">
        <f t="shared" ca="1" si="99"/>
        <v>0</v>
      </c>
      <c r="L292" s="42">
        <f t="shared" ca="1" si="99"/>
        <v>0</v>
      </c>
      <c r="M292" s="42">
        <f t="shared" ca="1" si="99"/>
        <v>0</v>
      </c>
      <c r="N292" s="42">
        <f t="shared" ca="1" si="99"/>
        <v>0</v>
      </c>
      <c r="O292" s="42">
        <f t="shared" ca="1" si="99"/>
        <v>0</v>
      </c>
      <c r="P292" s="42">
        <f t="shared" ca="1" si="99"/>
        <v>0</v>
      </c>
      <c r="Q292" s="42">
        <f t="shared" ca="1" si="99"/>
        <v>0</v>
      </c>
      <c r="R292" s="42">
        <f t="shared" ca="1" si="99"/>
        <v>0</v>
      </c>
      <c r="S292" s="42">
        <f t="shared" ca="1" si="99"/>
        <v>0</v>
      </c>
      <c r="T292" s="42">
        <f t="shared" ca="1" si="99"/>
        <v>0</v>
      </c>
      <c r="U292" s="42">
        <f t="shared" ca="1" si="99"/>
        <v>0</v>
      </c>
      <c r="V292" s="42">
        <f t="shared" ca="1" si="99"/>
        <v>0</v>
      </c>
      <c r="W292" s="42">
        <f t="shared" ca="1" si="99"/>
        <v>0</v>
      </c>
      <c r="X292" s="42">
        <f t="shared" ca="1" si="99"/>
        <v>0</v>
      </c>
      <c r="Y292" s="42">
        <f t="shared" ca="1" si="99"/>
        <v>0</v>
      </c>
      <c r="Z292" s="42">
        <f t="shared" ca="1" si="99"/>
        <v>0</v>
      </c>
      <c r="AA292" s="42">
        <f t="shared" ca="1" si="99"/>
        <v>0</v>
      </c>
      <c r="AB292" s="42">
        <f t="shared" ca="1" si="99"/>
        <v>0</v>
      </c>
      <c r="AC292" s="42">
        <f t="shared" ca="1" si="99"/>
        <v>0</v>
      </c>
      <c r="AD292" s="42">
        <f t="shared" ca="1" si="99"/>
        <v>0</v>
      </c>
      <c r="AE292" s="42">
        <f t="shared" ca="1" si="99"/>
        <v>0</v>
      </c>
      <c r="AF292" s="42">
        <f t="shared" ca="1" si="99"/>
        <v>0</v>
      </c>
      <c r="AG292" s="42">
        <f t="shared" ca="1" si="99"/>
        <v>0</v>
      </c>
      <c r="AH292" s="42">
        <f t="shared" ca="1" si="99"/>
        <v>0</v>
      </c>
      <c r="AI292" s="42">
        <f t="shared" ca="1" si="99"/>
        <v>0</v>
      </c>
      <c r="AJ292" s="42">
        <f t="shared" ca="1" si="99"/>
        <v>0</v>
      </c>
      <c r="AK292" s="42">
        <f t="shared" ca="1" si="99"/>
        <v>0</v>
      </c>
      <c r="AL292" s="42">
        <f t="shared" ca="1" si="99"/>
        <v>0</v>
      </c>
      <c r="AM292" s="42">
        <f t="shared" ca="1" si="99"/>
        <v>0</v>
      </c>
      <c r="AN292" s="42">
        <f t="shared" ca="1" si="99"/>
        <v>0</v>
      </c>
      <c r="AO292" s="42">
        <f t="shared" ca="1" si="99"/>
        <v>0</v>
      </c>
      <c r="AP292" s="42">
        <f t="shared" ca="1" si="99"/>
        <v>0</v>
      </c>
      <c r="AQ292" s="42">
        <f t="shared" ca="1" si="99"/>
        <v>0</v>
      </c>
      <c r="AR292" s="42">
        <f t="shared" ca="1" si="99"/>
        <v>0</v>
      </c>
      <c r="AS292" s="42">
        <f t="shared" ca="1" si="99"/>
        <v>0</v>
      </c>
    </row>
    <row r="293" spans="2:45" outlineLevel="1" collapsed="1" x14ac:dyDescent="0.15">
      <c r="B293" s="107" t="s">
        <v>335</v>
      </c>
      <c r="I293" s="22">
        <f ca="1">IF(ISERROR(SUM(J293:AS293)),1,MIN(SUM(J293:AS293),1))</f>
        <v>0</v>
      </c>
      <c r="J293" s="17">
        <f t="shared" ref="J293:AS293" ca="1" si="100">MIN(SUM(J290:J292),1)</f>
        <v>0</v>
      </c>
      <c r="K293" s="17">
        <f t="shared" ca="1" si="100"/>
        <v>0</v>
      </c>
      <c r="L293" s="17">
        <f t="shared" ca="1" si="100"/>
        <v>0</v>
      </c>
      <c r="M293" s="17">
        <f t="shared" ca="1" si="100"/>
        <v>0</v>
      </c>
      <c r="N293" s="17">
        <f t="shared" ca="1" si="100"/>
        <v>0</v>
      </c>
      <c r="O293" s="17">
        <f t="shared" ca="1" si="100"/>
        <v>0</v>
      </c>
      <c r="P293" s="17">
        <f t="shared" ca="1" si="100"/>
        <v>0</v>
      </c>
      <c r="Q293" s="17">
        <f t="shared" ca="1" si="100"/>
        <v>0</v>
      </c>
      <c r="R293" s="17">
        <f t="shared" ca="1" si="100"/>
        <v>0</v>
      </c>
      <c r="S293" s="17">
        <f t="shared" ca="1" si="100"/>
        <v>0</v>
      </c>
      <c r="T293" s="17">
        <f t="shared" ca="1" si="100"/>
        <v>0</v>
      </c>
      <c r="U293" s="17">
        <f t="shared" ca="1" si="100"/>
        <v>0</v>
      </c>
      <c r="V293" s="17">
        <f t="shared" ca="1" si="100"/>
        <v>0</v>
      </c>
      <c r="W293" s="17">
        <f t="shared" ca="1" si="100"/>
        <v>0</v>
      </c>
      <c r="X293" s="17">
        <f t="shared" ca="1" si="100"/>
        <v>0</v>
      </c>
      <c r="Y293" s="17">
        <f t="shared" ca="1" si="100"/>
        <v>0</v>
      </c>
      <c r="Z293" s="17">
        <f t="shared" ca="1" si="100"/>
        <v>0</v>
      </c>
      <c r="AA293" s="17">
        <f t="shared" ca="1" si="100"/>
        <v>0</v>
      </c>
      <c r="AB293" s="17">
        <f t="shared" ca="1" si="100"/>
        <v>0</v>
      </c>
      <c r="AC293" s="17">
        <f t="shared" ca="1" si="100"/>
        <v>0</v>
      </c>
      <c r="AD293" s="17">
        <f t="shared" ca="1" si="100"/>
        <v>0</v>
      </c>
      <c r="AE293" s="17">
        <f t="shared" ca="1" si="100"/>
        <v>0</v>
      </c>
      <c r="AF293" s="17">
        <f t="shared" ca="1" si="100"/>
        <v>0</v>
      </c>
      <c r="AG293" s="17">
        <f t="shared" ca="1" si="100"/>
        <v>0</v>
      </c>
      <c r="AH293" s="17">
        <f t="shared" ca="1" si="100"/>
        <v>0</v>
      </c>
      <c r="AI293" s="17">
        <f t="shared" ca="1" si="100"/>
        <v>0</v>
      </c>
      <c r="AJ293" s="17">
        <f t="shared" ca="1" si="100"/>
        <v>0</v>
      </c>
      <c r="AK293" s="17">
        <f t="shared" ca="1" si="100"/>
        <v>0</v>
      </c>
      <c r="AL293" s="17">
        <f t="shared" ca="1" si="100"/>
        <v>0</v>
      </c>
      <c r="AM293" s="17">
        <f t="shared" ca="1" si="100"/>
        <v>0</v>
      </c>
      <c r="AN293" s="17">
        <f t="shared" ca="1" si="100"/>
        <v>0</v>
      </c>
      <c r="AO293" s="17">
        <f t="shared" ca="1" si="100"/>
        <v>0</v>
      </c>
      <c r="AP293" s="17">
        <f t="shared" ca="1" si="100"/>
        <v>0</v>
      </c>
      <c r="AQ293" s="17">
        <f t="shared" ca="1" si="100"/>
        <v>0</v>
      </c>
      <c r="AR293" s="17">
        <f t="shared" ca="1" si="100"/>
        <v>0</v>
      </c>
      <c r="AS293" s="17">
        <f t="shared" ca="1" si="100"/>
        <v>0</v>
      </c>
    </row>
  </sheetData>
  <sheetProtection algorithmName="SHA-512" hashValue="9umQzzhY8OBSmNvxJt6b/JU6mJ53bu21yTmfznOqs5s5bnGk6OrHZSSMFXNqzEjbkKnKL4H9pHCbLtbGff934w==" saltValue="EyX0sypCQSoVhk8PX283gA==" spinCount="100000" sheet="1" objects="1" scenarios="1" formatColumns="0" formatRows="0"/>
  <conditionalFormatting sqref="I166">
    <cfRule type="cellIs" dxfId="23" priority="5" operator="notEqual">
      <formula>0</formula>
    </cfRule>
  </conditionalFormatting>
  <conditionalFormatting sqref="I293">
    <cfRule type="cellIs" dxfId="22" priority="12" operator="notEqual">
      <formula>0</formula>
    </cfRule>
  </conditionalFormatting>
  <conditionalFormatting sqref="I80:AS80">
    <cfRule type="cellIs" dxfId="21" priority="1" operator="notEqual">
      <formula>0</formula>
    </cfRule>
  </conditionalFormatting>
  <conditionalFormatting sqref="I168:AS168">
    <cfRule type="cellIs" dxfId="20" priority="7" operator="notEqual">
      <formula>0</formula>
    </cfRule>
  </conditionalFormatting>
  <conditionalFormatting sqref="J164:AS166">
    <cfRule type="cellIs" dxfId="19" priority="14" operator="notEqual">
      <formula>0</formula>
    </cfRule>
  </conditionalFormatting>
  <conditionalFormatting sqref="J290:AS293">
    <cfRule type="cellIs" dxfId="18" priority="18" operator="notEqual">
      <formula>0</formula>
    </cfRule>
  </conditionalFormatting>
  <hyperlinks>
    <hyperlink ref="A1" location="HL_Home" tooltip="Go to Table of Contents" display="HL_Home" xr:uid="{6C3D1810-EBEC-4CAC-9ED2-4A619FC9C38A}"/>
    <hyperlink ref="A2" location="HL_Err_Chk" tooltip="Go to Error Checks" display="HL_Err_Chk" xr:uid="{4F3140CD-CE86-4BCF-AB75-7DD83A8D27BD}"/>
  </hyperlinks>
  <pageMargins left="0.4" right="0.4" top="0.6" bottom="1" header="0" footer="0.3"/>
  <pageSetup scale="65" orientation="landscape" r:id="rId1"/>
  <headerFooter>
    <oddFooter>&amp;L&amp;F
&amp;A
Printed: &amp;T on &amp;D&amp;CPage &amp;P of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27235-4EC3-4707-9188-B31F31FB4AFD}">
  <sheetPr codeName="Sheet20">
    <pageSetUpPr autoPageBreaks="0" fitToPage="1"/>
  </sheetPr>
  <dimension ref="C9:G20"/>
  <sheetViews>
    <sheetView showGridLines="0" workbookViewId="0"/>
  </sheetViews>
  <sheetFormatPr baseColWidth="10" defaultColWidth="11.59765625" defaultRowHeight="12" x14ac:dyDescent="0.15"/>
  <cols>
    <col min="3" max="6" width="3.59765625" customWidth="1"/>
  </cols>
  <sheetData>
    <row r="9" spans="3:7" ht="14" x14ac:dyDescent="0.15">
      <c r="C9" s="205" t="s">
        <v>655</v>
      </c>
    </row>
    <row r="10" spans="3:7" ht="13" x14ac:dyDescent="0.15">
      <c r="C10" s="206" t="s">
        <v>656</v>
      </c>
    </row>
    <row r="11" spans="3:7" ht="13" x14ac:dyDescent="0.15">
      <c r="C11" s="65" t="str">
        <f ca="1">Model_Name</f>
        <v>Venue Planning Project (Alert in Inventory)</v>
      </c>
    </row>
    <row r="12" spans="3:7" x14ac:dyDescent="0.15">
      <c r="C12" s="328" t="s">
        <v>16</v>
      </c>
      <c r="D12" s="328"/>
      <c r="E12" s="328"/>
      <c r="F12" s="328"/>
      <c r="G12" s="328"/>
    </row>
    <row r="13" spans="3:7" x14ac:dyDescent="0.15">
      <c r="C13" s="109" t="s">
        <v>17</v>
      </c>
      <c r="D13" s="110" t="s">
        <v>18</v>
      </c>
    </row>
    <row r="17" spans="3:3" x14ac:dyDescent="0.15">
      <c r="C17" s="194" t="s">
        <v>55</v>
      </c>
    </row>
    <row r="18" spans="3:3" x14ac:dyDescent="0.15">
      <c r="C18" s="204" t="s">
        <v>56</v>
      </c>
    </row>
    <row r="19" spans="3:3" x14ac:dyDescent="0.15">
      <c r="C19" s="204" t="s">
        <v>57</v>
      </c>
    </row>
    <row r="20" spans="3:3" x14ac:dyDescent="0.15">
      <c r="C20" s="204" t="s">
        <v>58</v>
      </c>
    </row>
  </sheetData>
  <mergeCells count="1">
    <mergeCell ref="C12:G12"/>
  </mergeCells>
  <hyperlinks>
    <hyperlink ref="C13" location="HL_Sheet_Main_4" tooltip="Go to Previous Sheet" display="HL_Sheet_Main_4" xr:uid="{AE8F7ED0-6867-4CE2-BC3C-D72D00EEE788}"/>
    <hyperlink ref="D13" location="HL_Sheet_Main_2" tooltip="Go to Next Sheet" display="HL_Sheet_Main_2" xr:uid="{5991D83E-50C1-46B7-B45A-F13172EC6E0F}"/>
    <hyperlink ref="C12" location="HL_Home" tooltip="Go to Table of Contents" display="HL_Home" xr:uid="{4F09EFE1-DFB5-49E8-8464-FE5FA1486404}"/>
  </hyperlinks>
  <pageMargins left="0.39370078740157499" right="0.39370078740157499" top="0.59055118110236204" bottom="0.98425196850393704" header="0" footer="0.31496062992126"/>
  <pageSetup paperSize="9" orientation="landscape" r:id="rId1"/>
  <headerFooter>
    <oddFooter>&amp;L&amp;F
&amp;A
Printed: &amp;T on &amp;D&amp;CPage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FB0D-AC05-44AB-ACEF-3716E7AC3369}">
  <sheetPr codeName="Sheet2">
    <pageSetUpPr autoPageBreaks="0"/>
  </sheetPr>
  <dimension ref="A1:I22"/>
  <sheetViews>
    <sheetView showGridLines="0" workbookViewId="0">
      <pane xSplit="1" ySplit="2" topLeftCell="B3" activePane="bottomRight" state="frozenSplit"/>
      <selection pane="topRight" activeCell="B1" sqref="B1"/>
      <selection pane="bottomLeft" activeCell="A3" sqref="A3"/>
      <selection pane="bottomRight" activeCell="H10" sqref="H10:I10"/>
    </sheetView>
  </sheetViews>
  <sheetFormatPr baseColWidth="10" defaultColWidth="11.59765625" defaultRowHeight="12" outlineLevelRow="2" x14ac:dyDescent="0.15"/>
  <cols>
    <col min="1" max="5" width="3.59765625" customWidth="1"/>
  </cols>
  <sheetData>
    <row r="1" spans="1:9" ht="14" x14ac:dyDescent="0.15">
      <c r="A1" s="3" t="s">
        <v>19</v>
      </c>
      <c r="B1" s="205" t="s">
        <v>657</v>
      </c>
    </row>
    <row r="2" spans="1:9" ht="13" x14ac:dyDescent="0.15">
      <c r="A2" s="294" t="s">
        <v>60</v>
      </c>
      <c r="B2" s="65" t="str">
        <f ca="1">Model_Name</f>
        <v>Venue Planning Project (Alert in Inventory)</v>
      </c>
    </row>
    <row r="4" spans="1:9" s="1" customFormat="1" x14ac:dyDescent="0.15">
      <c r="A4"/>
      <c r="B4" s="1" t="s">
        <v>658</v>
      </c>
    </row>
    <row r="5" spans="1:9" outlineLevel="1" x14ac:dyDescent="0.15"/>
    <row r="6" spans="1:9" outlineLevel="1" x14ac:dyDescent="0.15">
      <c r="B6" s="107" t="s">
        <v>659</v>
      </c>
      <c r="H6" s="347" t="s">
        <v>464</v>
      </c>
      <c r="I6" s="347"/>
    </row>
    <row r="7" spans="1:9" outlineLevel="1" x14ac:dyDescent="0.15">
      <c r="B7" s="107" t="s">
        <v>660</v>
      </c>
      <c r="H7" s="4">
        <v>7</v>
      </c>
    </row>
    <row r="8" spans="1:9" outlineLevel="1" x14ac:dyDescent="0.15">
      <c r="B8" s="107" t="s">
        <v>661</v>
      </c>
      <c r="H8" s="348">
        <v>2024</v>
      </c>
      <c r="I8" s="348"/>
    </row>
    <row r="9" spans="1:9" outlineLevel="1" x14ac:dyDescent="0.15">
      <c r="B9" s="107" t="s">
        <v>662</v>
      </c>
      <c r="H9" s="4">
        <v>1</v>
      </c>
    </row>
    <row r="10" spans="1:9" outlineLevel="1" x14ac:dyDescent="0.15">
      <c r="B10" s="107" t="s">
        <v>663</v>
      </c>
      <c r="H10" s="349">
        <v>36</v>
      </c>
      <c r="I10" s="349"/>
    </row>
    <row r="11" spans="1:9" ht="12" hidden="1" customHeight="1" outlineLevel="2" x14ac:dyDescent="0.15">
      <c r="B11" s="107" t="s">
        <v>664</v>
      </c>
      <c r="H11" s="350">
        <f>DATE(Ts_First_Fin_Yr-1,DD_Ts_Fin_Yr_End_Mth+DD_Ts_Model_Start_Mth,1)</f>
        <v>45139</v>
      </c>
      <c r="I11" s="350"/>
    </row>
    <row r="12" spans="1:9" ht="12" hidden="1" customHeight="1" outlineLevel="2" x14ac:dyDescent="0.15">
      <c r="B12" s="107" t="s">
        <v>665</v>
      </c>
      <c r="H12" s="351">
        <f>EDATE(Ts_Start_Date,Ts_Term)-1</f>
        <v>46234</v>
      </c>
      <c r="I12" s="351"/>
    </row>
    <row r="13" spans="1:9" ht="12" hidden="1" customHeight="1" outlineLevel="2" x14ac:dyDescent="0.15">
      <c r="B13" s="107" t="s">
        <v>666</v>
      </c>
      <c r="H13" s="344">
        <f>YEAR(EDATE(Ts_End_Date,-DD_Ts_Fin_Yr_End_Mth))*Ts_Qtrs_In_Yr+ROUNDUP(MONTH(EDATE(Ts_End_Date,-DD_Ts_Fin_Yr_End_Mth))/Ts_Mths_In_Qtr,0)
-(YEAR(EDATE(Ts_Start_Date,-DD_Ts_Fin_Yr_End_Mth))*Ts_Qtrs_In_Yr+ROUNDUP(MONTH(EDATE(Ts_Start_Date,-DD_Ts_Fin_Yr_End_Mth))/Ts_Mths_In_Qtr,0))+1</f>
        <v>12</v>
      </c>
      <c r="I13" s="344"/>
    </row>
    <row r="14" spans="1:9" ht="12" hidden="1" customHeight="1" outlineLevel="2" x14ac:dyDescent="0.15">
      <c r="B14" s="107" t="s">
        <v>667</v>
      </c>
      <c r="H14" s="344">
        <f>YEAR(EDATE(Ts_End_Date,-DD_Ts_Fin_Yr_End_Mth))*Ts_Halves_In_Yr+ROUNDUP(MONTH(EDATE(Ts_End_Date,-DD_Ts_Fin_Yr_End_Mth))/Ts_Mths_In_Half,0)
-(YEAR(EDATE(Ts_Start_Date,-DD_Ts_Fin_Yr_End_Mth))*Ts_Halves_In_Yr+ROUNDUP(MONTH(EDATE(Ts_Start_Date,-DD_Ts_Fin_Yr_End_Mth))/Ts_Mths_In_Half,0))+1</f>
        <v>6</v>
      </c>
      <c r="I14" s="344"/>
    </row>
    <row r="15" spans="1:9" ht="12" hidden="1" customHeight="1" outlineLevel="2" x14ac:dyDescent="0.15">
      <c r="B15" s="107" t="s">
        <v>668</v>
      </c>
      <c r="H15" s="345">
        <f>(YEAR(Ts_End_Date)+IF(MONTH(Ts_End_Date)&gt;DD_Ts_Fin_Yr_End_Mth,1,0))-(YEAR(Ts_Start_Date)+IF(MONTH(Ts_Start_Date)&gt;DD_Ts_Fin_Yr_End_Mth,1,0))+1</f>
        <v>3</v>
      </c>
      <c r="I15" s="345"/>
    </row>
    <row r="16" spans="1:9" ht="12" hidden="1" customHeight="1" outlineLevel="2" x14ac:dyDescent="0.15">
      <c r="B16" s="107" t="s">
        <v>669</v>
      </c>
      <c r="H16" s="346" t="s">
        <v>670</v>
      </c>
      <c r="I16" s="346"/>
    </row>
    <row r="17" spans="1:9" outlineLevel="1" collapsed="1" x14ac:dyDescent="0.15">
      <c r="B17" s="107" t="s">
        <v>671</v>
      </c>
      <c r="H17" s="162" t="s">
        <v>672</v>
      </c>
      <c r="I17" s="4">
        <v>1</v>
      </c>
    </row>
    <row r="18" spans="1:9" ht="12" hidden="1" customHeight="1" outlineLevel="2" x14ac:dyDescent="0.15">
      <c r="B18" s="107" t="s">
        <v>673</v>
      </c>
      <c r="H18" s="344">
        <f>INDEX(LU_Ts_Denom_Conv,DD_Ts_Denom)</f>
        <v>1</v>
      </c>
      <c r="I18" s="344"/>
    </row>
    <row r="19" spans="1:9" hidden="1" outlineLevel="2" collapsed="1" x14ac:dyDescent="0.15"/>
    <row r="20" spans="1:9" s="108" customFormat="1" hidden="1" outlineLevel="2" x14ac:dyDescent="0.15">
      <c r="A20"/>
      <c r="B20" s="108" t="s">
        <v>247</v>
      </c>
    </row>
    <row r="21" spans="1:9" hidden="1" outlineLevel="2" x14ac:dyDescent="0.15"/>
    <row r="22" spans="1:9" ht="12" hidden="1" customHeight="1" outlineLevel="2" x14ac:dyDescent="0.15">
      <c r="B22" s="107" t="s">
        <v>254</v>
      </c>
      <c r="H22" s="342">
        <f ca="1">IFERROR(INDIRECT("Scenarios_Count"),3)</f>
        <v>3</v>
      </c>
      <c r="I22" s="343"/>
    </row>
  </sheetData>
  <sheetProtection algorithmName="SHA-512" hashValue="7CMlRSMPuGrDDtHXRwpZLimPA4hrW1fazgQQX+PAOkZzi1pzF6gQG76PUF7Vw7Okvjxcf6Ej6XXB3vg+aMPQ/g==" saltValue="KKpgdkX4a7DdtMl7hAG/aw==" spinCount="100000" sheet="1" scenarios="1" formatColumns="0" formatRows="0"/>
  <mergeCells count="11">
    <mergeCell ref="H13:I13"/>
    <mergeCell ref="H6:I6"/>
    <mergeCell ref="H8:I8"/>
    <mergeCell ref="H10:I10"/>
    <mergeCell ref="H11:I11"/>
    <mergeCell ref="H12:I12"/>
    <mergeCell ref="H22:I22"/>
    <mergeCell ref="H14:I14"/>
    <mergeCell ref="H15:I15"/>
    <mergeCell ref="H16:I16"/>
    <mergeCell ref="H18:I18"/>
  </mergeCells>
  <dataValidations count="5">
    <dataValidation type="whole" showDropDown="1" showErrorMessage="1" errorTitle="Drop Down Box Cell Link" error="The value in a drop down box cell link must be a whole number within the control's lookup range rows." sqref="H7" xr:uid="{CC576587-7E11-4566-AE29-E35BDF7D75B7}">
      <formula1>1</formula1>
      <formula2>ROWS(LU_Ts_Mth_Names)</formula2>
    </dataValidation>
    <dataValidation type="whole" operator="greaterThanOrEqual" allowBlank="1" showDropDown="1" showInputMessage="1" showErrorMessage="1" errorTitle="First Financial Year" error="The first financial year must be a whole number greater than or equal to 1904." sqref="H8" xr:uid="{01637491-66A3-44E6-AD11-8C08623EC7B8}">
      <formula1>1904</formula1>
    </dataValidation>
    <dataValidation type="whole" showDropDown="1" showErrorMessage="1" errorTitle="Drop Down Box Cell Link" error="The value in a drop down box cell link must be a whole number within the control's lookup range rows." sqref="H9" xr:uid="{E056167B-2E7E-4F9A-8562-D6E1B1DF1136}">
      <formula1>1</formula1>
      <formula2>ROWS(LU_Ts_Model_Start_Mth)</formula2>
    </dataValidation>
    <dataValidation type="whole" operator="greaterThan" allowBlank="1" showDropDown="1" showInputMessage="1" showErrorMessage="1" errorTitle="Term (Months)" error="The term must be a whole number of months greater than zero." sqref="H10" xr:uid="{E7687F41-1F4E-4F4C-A75F-70FBE0745EAF}">
      <formula1>0</formula1>
    </dataValidation>
    <dataValidation type="whole" showDropDown="1" showErrorMessage="1" errorTitle="Drop Down Box Cell Link" error="The value in a drop down box cell link must be a whole number within the control's lookup range rows." sqref="I17" xr:uid="{01A2D24B-96DE-4877-ABDB-FC9409523447}">
      <formula1>1</formula1>
      <formula2>ROWS(LU_Ts_Denom)</formula2>
    </dataValidation>
  </dataValidations>
  <hyperlinks>
    <hyperlink ref="A1" location="HL_Home" tooltip="Go to Table of Contents" display="HL_Home" xr:uid="{BEC32353-C033-4B1C-8B46-542AC1DDC83D}"/>
    <hyperlink ref="A2" location="HL_Err_Chk" tooltip="Go to Error Checks" display="HL_Err_Chk" xr:uid="{47831F01-270E-4EC6-94CC-A66DC786628D}"/>
  </hyperlinks>
  <pageMargins left="0.4" right="0.4" top="0.6" bottom="1" header="0" footer="0.3"/>
  <pageSetup scale="7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bpmDropDownTs1">
              <controlPr defaultSize="0" autoFill="0" autoPict="0">
                <anchor moveWithCells="1" sizeWithCells="1">
                  <from>
                    <xdr:col>7</xdr:col>
                    <xdr:colOff>0</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3074" r:id="rId5" name="bpmDropDownTs2">
              <controlPr defaultSize="0" autoFill="0" autoPict="0">
                <anchor moveWithCells="1" sizeWithCells="1">
                  <from>
                    <xdr:col>8</xdr:col>
                    <xdr:colOff>0</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3075" r:id="rId6" name="bpmDropDownTs3">
              <controlPr defaultSize="0" autoFill="0" autoPict="0">
                <anchor moveWithCells="1" sizeWithCells="1">
                  <from>
                    <xdr:col>7</xdr:col>
                    <xdr:colOff>0</xdr:colOff>
                    <xdr:row>8</xdr:row>
                    <xdr:rowOff>0</xdr:rowOff>
                  </from>
                  <to>
                    <xdr:col>9</xdr:col>
                    <xdr:colOff>0</xdr:colOff>
                    <xdr:row>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D7C65-6D9A-415D-94CC-436CB6255752}">
  <sheetPr codeName="Sheet13">
    <outlinePr summaryBelow="0"/>
    <pageSetUpPr autoPageBreaks="0"/>
  </sheetPr>
  <dimension ref="A1:F385"/>
  <sheetViews>
    <sheetView showGridLines="0" workbookViewId="0">
      <pane xSplit="1" ySplit="2" topLeftCell="B9" activePane="bottomRight" state="frozenSplit"/>
      <selection pane="topRight" activeCell="B1" sqref="B1"/>
      <selection pane="bottomLeft" activeCell="A3" sqref="A3"/>
      <selection pane="bottomRight" activeCell="F304" sqref="F304:F327"/>
    </sheetView>
  </sheetViews>
  <sheetFormatPr baseColWidth="10" defaultColWidth="11.59765625" defaultRowHeight="12" outlineLevelRow="1" x14ac:dyDescent="0.15"/>
  <cols>
    <col min="1" max="3" width="3.59765625" customWidth="1"/>
    <col min="4" max="4" width="35.59765625" customWidth="1"/>
    <col min="5" max="5" width="3.59765625" customWidth="1"/>
    <col min="6" max="6" width="35.59765625" customWidth="1"/>
    <col min="7" max="7" width="3.59765625" customWidth="1"/>
  </cols>
  <sheetData>
    <row r="1" spans="1:6" ht="14" x14ac:dyDescent="0.15">
      <c r="A1" s="3" t="s">
        <v>19</v>
      </c>
      <c r="B1" s="205" t="s">
        <v>674</v>
      </c>
    </row>
    <row r="2" spans="1:6" ht="13" x14ac:dyDescent="0.15">
      <c r="A2" s="294" t="s">
        <v>60</v>
      </c>
      <c r="B2" s="65" t="str">
        <f ca="1">Model_Name</f>
        <v>Venue Planning Project (Alert in Inventory)</v>
      </c>
    </row>
    <row r="4" spans="1:6" s="1" customFormat="1" x14ac:dyDescent="0.15">
      <c r="A4"/>
      <c r="B4" s="1" t="s">
        <v>675</v>
      </c>
    </row>
    <row r="5" spans="1:6" outlineLevel="1" x14ac:dyDescent="0.15"/>
    <row r="6" spans="1:6" s="108" customFormat="1" outlineLevel="1" x14ac:dyDescent="0.15">
      <c r="A6"/>
      <c r="B6"/>
      <c r="C6" s="352" t="s">
        <v>676</v>
      </c>
      <c r="D6" s="352"/>
      <c r="E6" s="352"/>
      <c r="F6" s="108" t="s">
        <v>677</v>
      </c>
    </row>
    <row r="7" spans="1:6" outlineLevel="1" x14ac:dyDescent="0.15"/>
    <row r="8" spans="1:6" outlineLevel="1" x14ac:dyDescent="0.15">
      <c r="D8" s="163" t="s">
        <v>678</v>
      </c>
      <c r="F8" s="107" t="s">
        <v>679</v>
      </c>
    </row>
    <row r="9" spans="1:6" outlineLevel="1" x14ac:dyDescent="0.15">
      <c r="D9" s="39">
        <f>ROWS(D$9:D9)</f>
        <v>1</v>
      </c>
      <c r="F9" s="107"/>
    </row>
    <row r="10" spans="1:6" outlineLevel="1" x14ac:dyDescent="0.15">
      <c r="D10" s="39">
        <f>ROWS(D$9:D10)</f>
        <v>2</v>
      </c>
      <c r="F10" s="107"/>
    </row>
    <row r="11" spans="1:6" outlineLevel="1" x14ac:dyDescent="0.15">
      <c r="D11" s="39">
        <f>ROWS(D$9:D11)</f>
        <v>3</v>
      </c>
      <c r="F11" s="107"/>
    </row>
    <row r="12" spans="1:6" outlineLevel="1" x14ac:dyDescent="0.15">
      <c r="D12" s="39">
        <f>ROWS(D$9:D12)</f>
        <v>4</v>
      </c>
      <c r="F12" s="107"/>
    </row>
    <row r="13" spans="1:6" outlineLevel="1" x14ac:dyDescent="0.15">
      <c r="D13" s="39">
        <f>ROWS(D$9:D13)</f>
        <v>5</v>
      </c>
      <c r="F13" s="107"/>
    </row>
    <row r="14" spans="1:6" outlineLevel="1" x14ac:dyDescent="0.15">
      <c r="D14" s="39">
        <f>ROWS(D$9:D14)</f>
        <v>6</v>
      </c>
      <c r="F14" s="107"/>
    </row>
    <row r="15" spans="1:6" outlineLevel="1" x14ac:dyDescent="0.15">
      <c r="D15" s="39">
        <f>ROWS(D$9:D15)</f>
        <v>7</v>
      </c>
      <c r="F15" s="107"/>
    </row>
    <row r="16" spans="1:6" outlineLevel="1" x14ac:dyDescent="0.15">
      <c r="D16" s="39">
        <f>ROWS(D$9:D16)</f>
        <v>8</v>
      </c>
      <c r="F16" s="107"/>
    </row>
    <row r="17" spans="4:6" outlineLevel="1" x14ac:dyDescent="0.15">
      <c r="D17" s="39">
        <f>ROWS(D$9:D17)</f>
        <v>9</v>
      </c>
      <c r="F17" s="107"/>
    </row>
    <row r="18" spans="4:6" outlineLevel="1" x14ac:dyDescent="0.15">
      <c r="D18" s="39">
        <f>ROWS(D$9:D18)</f>
        <v>10</v>
      </c>
      <c r="F18" s="107"/>
    </row>
    <row r="19" spans="4:6" outlineLevel="1" x14ac:dyDescent="0.15">
      <c r="D19" s="39">
        <f>ROWS(D$9:D19)</f>
        <v>11</v>
      </c>
      <c r="F19" s="107"/>
    </row>
    <row r="20" spans="4:6" outlineLevel="1" x14ac:dyDescent="0.15">
      <c r="D20" s="39">
        <f>ROWS(D$9:D20)</f>
        <v>12</v>
      </c>
      <c r="F20" s="107"/>
    </row>
    <row r="21" spans="4:6" outlineLevel="1" x14ac:dyDescent="0.15">
      <c r="D21" s="39">
        <f>ROWS(D$9:D21)</f>
        <v>13</v>
      </c>
      <c r="F21" s="107"/>
    </row>
    <row r="22" spans="4:6" outlineLevel="1" x14ac:dyDescent="0.15">
      <c r="D22" s="39">
        <f>ROWS(D$9:D22)</f>
        <v>14</v>
      </c>
      <c r="F22" s="107"/>
    </row>
    <row r="23" spans="4:6" outlineLevel="1" x14ac:dyDescent="0.15">
      <c r="D23" s="39">
        <f>ROWS(D$9:D23)</f>
        <v>15</v>
      </c>
      <c r="F23" s="107"/>
    </row>
    <row r="24" spans="4:6" outlineLevel="1" x14ac:dyDescent="0.15">
      <c r="D24" s="39">
        <f>ROWS(D$9:D24)</f>
        <v>16</v>
      </c>
      <c r="F24" s="107"/>
    </row>
    <row r="25" spans="4:6" outlineLevel="1" x14ac:dyDescent="0.15">
      <c r="D25" s="39">
        <f>ROWS(D$9:D25)</f>
        <v>17</v>
      </c>
      <c r="F25" s="107"/>
    </row>
    <row r="26" spans="4:6" outlineLevel="1" x14ac:dyDescent="0.15">
      <c r="D26" s="39">
        <f>ROWS(D$9:D26)</f>
        <v>18</v>
      </c>
      <c r="F26" s="107"/>
    </row>
    <row r="27" spans="4:6" outlineLevel="1" x14ac:dyDescent="0.15">
      <c r="D27" s="39">
        <f>ROWS(D$9:D27)</f>
        <v>19</v>
      </c>
      <c r="F27" s="107"/>
    </row>
    <row r="28" spans="4:6" outlineLevel="1" x14ac:dyDescent="0.15">
      <c r="D28" s="39">
        <f>ROWS(D$9:D28)</f>
        <v>20</v>
      </c>
      <c r="F28" s="107"/>
    </row>
    <row r="29" spans="4:6" outlineLevel="1" x14ac:dyDescent="0.15">
      <c r="D29" s="39">
        <f>ROWS(D$9:D29)</f>
        <v>21</v>
      </c>
      <c r="F29" s="107"/>
    </row>
    <row r="30" spans="4:6" outlineLevel="1" x14ac:dyDescent="0.15">
      <c r="D30" s="39">
        <f>ROWS(D$9:D30)</f>
        <v>22</v>
      </c>
      <c r="F30" s="107"/>
    </row>
    <row r="31" spans="4:6" outlineLevel="1" x14ac:dyDescent="0.15">
      <c r="D31" s="39">
        <f>ROWS(D$9:D31)</f>
        <v>23</v>
      </c>
      <c r="F31" s="107"/>
    </row>
    <row r="32" spans="4:6" outlineLevel="1" x14ac:dyDescent="0.15">
      <c r="D32" s="39">
        <f>ROWS(D$9:D32)</f>
        <v>24</v>
      </c>
      <c r="F32" s="107"/>
    </row>
    <row r="33" spans="1:6" outlineLevel="1" x14ac:dyDescent="0.15">
      <c r="D33" s="39">
        <f>ROWS(D$9:D33)</f>
        <v>25</v>
      </c>
      <c r="F33" s="107"/>
    </row>
    <row r="34" spans="1:6" outlineLevel="1" x14ac:dyDescent="0.15">
      <c r="D34" s="39">
        <f>ROWS(D$9:D34)</f>
        <v>26</v>
      </c>
      <c r="F34" s="107"/>
    </row>
    <row r="35" spans="1:6" outlineLevel="1" x14ac:dyDescent="0.15">
      <c r="D35" s="39">
        <f>ROWS(D$9:D35)</f>
        <v>27</v>
      </c>
      <c r="F35" s="107"/>
    </row>
    <row r="36" spans="1:6" outlineLevel="1" x14ac:dyDescent="0.15">
      <c r="D36" s="39">
        <f>ROWS(D$9:D36)</f>
        <v>28</v>
      </c>
      <c r="F36" s="107"/>
    </row>
    <row r="37" spans="1:6" outlineLevel="1" x14ac:dyDescent="0.15">
      <c r="D37" s="39">
        <f>ROWS(D$9:D37)</f>
        <v>29</v>
      </c>
      <c r="F37" s="107"/>
    </row>
    <row r="38" spans="1:6" outlineLevel="1" x14ac:dyDescent="0.15">
      <c r="D38" s="39">
        <f>ROWS(D$9:D38)</f>
        <v>30</v>
      </c>
      <c r="F38" s="107"/>
    </row>
    <row r="39" spans="1:6" outlineLevel="1" x14ac:dyDescent="0.15">
      <c r="D39" s="39">
        <f>ROWS(D$9:D39)</f>
        <v>31</v>
      </c>
      <c r="F39" s="107"/>
    </row>
    <row r="40" spans="1:6" outlineLevel="1" x14ac:dyDescent="0.15"/>
    <row r="41" spans="1:6" s="108" customFormat="1" outlineLevel="1" x14ac:dyDescent="0.15">
      <c r="A41"/>
      <c r="B41"/>
      <c r="C41" s="352" t="s">
        <v>680</v>
      </c>
      <c r="D41" s="352"/>
      <c r="E41" s="352"/>
      <c r="F41" s="108" t="s">
        <v>677</v>
      </c>
    </row>
    <row r="42" spans="1:6" outlineLevel="1" x14ac:dyDescent="0.15"/>
    <row r="43" spans="1:6" outlineLevel="1" x14ac:dyDescent="0.15">
      <c r="D43" s="163" t="s">
        <v>681</v>
      </c>
      <c r="F43" s="107" t="s">
        <v>682</v>
      </c>
    </row>
    <row r="44" spans="1:6" outlineLevel="1" x14ac:dyDescent="0.15">
      <c r="D44" s="39" t="str">
        <f>TEXT(DATE(1,ROWS(D$44:D44),1),"mmmm")</f>
        <v>January</v>
      </c>
      <c r="F44" s="107"/>
    </row>
    <row r="45" spans="1:6" outlineLevel="1" x14ac:dyDescent="0.15">
      <c r="D45" s="39" t="str">
        <f>TEXT(DATE(1,ROWS(D$44:D45),1),"mmmm")</f>
        <v>February</v>
      </c>
      <c r="F45" s="107"/>
    </row>
    <row r="46" spans="1:6" outlineLevel="1" x14ac:dyDescent="0.15">
      <c r="D46" s="39" t="str">
        <f>TEXT(DATE(1,ROWS(D$44:D46),1),"mmmm")</f>
        <v>March</v>
      </c>
      <c r="F46" s="107"/>
    </row>
    <row r="47" spans="1:6" outlineLevel="1" x14ac:dyDescent="0.15">
      <c r="D47" s="39" t="str">
        <f>TEXT(DATE(1,ROWS(D$44:D47),1),"mmmm")</f>
        <v>April</v>
      </c>
      <c r="F47" s="107"/>
    </row>
    <row r="48" spans="1:6" outlineLevel="1" x14ac:dyDescent="0.15">
      <c r="D48" s="39" t="str">
        <f>TEXT(DATE(1,ROWS(D$44:D48),1),"mmmm")</f>
        <v>May</v>
      </c>
      <c r="F48" s="107"/>
    </row>
    <row r="49" spans="1:6" outlineLevel="1" x14ac:dyDescent="0.15">
      <c r="D49" s="39" t="str">
        <f>TEXT(DATE(1,ROWS(D$44:D49),1),"mmmm")</f>
        <v>June</v>
      </c>
      <c r="F49" s="107"/>
    </row>
    <row r="50" spans="1:6" outlineLevel="1" x14ac:dyDescent="0.15">
      <c r="D50" s="39" t="str">
        <f>TEXT(DATE(1,ROWS(D$44:D50),1),"mmmm")</f>
        <v>July</v>
      </c>
      <c r="F50" s="107"/>
    </row>
    <row r="51" spans="1:6" outlineLevel="1" x14ac:dyDescent="0.15">
      <c r="D51" s="39" t="str">
        <f>TEXT(DATE(1,ROWS(D$44:D51),1),"mmmm")</f>
        <v>August</v>
      </c>
      <c r="F51" s="107"/>
    </row>
    <row r="52" spans="1:6" outlineLevel="1" x14ac:dyDescent="0.15">
      <c r="D52" s="39" t="str">
        <f>TEXT(DATE(1,ROWS(D$44:D52),1),"mmmm")</f>
        <v>September</v>
      </c>
      <c r="F52" s="107"/>
    </row>
    <row r="53" spans="1:6" outlineLevel="1" x14ac:dyDescent="0.15">
      <c r="D53" s="39" t="str">
        <f>TEXT(DATE(1,ROWS(D$44:D53),1),"mmmm")</f>
        <v>October</v>
      </c>
      <c r="F53" s="107"/>
    </row>
    <row r="54" spans="1:6" outlineLevel="1" x14ac:dyDescent="0.15">
      <c r="D54" s="39" t="str">
        <f>TEXT(DATE(1,ROWS(D$44:D54),1),"mmmm")</f>
        <v>November</v>
      </c>
      <c r="F54" s="107"/>
    </row>
    <row r="55" spans="1:6" outlineLevel="1" x14ac:dyDescent="0.15">
      <c r="D55" s="39" t="str">
        <f>TEXT(DATE(1,ROWS(D$44:D55),1),"mmmm")</f>
        <v>December</v>
      </c>
      <c r="F55" s="107"/>
    </row>
    <row r="56" spans="1:6" outlineLevel="1" x14ac:dyDescent="0.15"/>
    <row r="57" spans="1:6" s="108" customFormat="1" outlineLevel="1" x14ac:dyDescent="0.15">
      <c r="A57"/>
      <c r="B57"/>
      <c r="C57" s="108" t="s">
        <v>683</v>
      </c>
    </row>
    <row r="58" spans="1:6" outlineLevel="1" x14ac:dyDescent="0.15"/>
    <row r="59" spans="1:6" outlineLevel="1" x14ac:dyDescent="0.15">
      <c r="D59" s="163" t="s">
        <v>684</v>
      </c>
      <c r="F59" s="107" t="s">
        <v>685</v>
      </c>
    </row>
    <row r="60" spans="1:6" outlineLevel="1" x14ac:dyDescent="0.15">
      <c r="D60" s="39">
        <v>60</v>
      </c>
      <c r="F60" s="107" t="s">
        <v>686</v>
      </c>
    </row>
    <row r="61" spans="1:6" outlineLevel="1" x14ac:dyDescent="0.15">
      <c r="D61" s="39">
        <v>60</v>
      </c>
      <c r="F61" s="107" t="s">
        <v>687</v>
      </c>
    </row>
    <row r="62" spans="1:6" outlineLevel="1" x14ac:dyDescent="0.15">
      <c r="D62" s="39">
        <v>24</v>
      </c>
      <c r="F62" s="107" t="s">
        <v>688</v>
      </c>
    </row>
    <row r="63" spans="1:6" outlineLevel="1" x14ac:dyDescent="0.15">
      <c r="D63" s="39">
        <v>7</v>
      </c>
      <c r="F63" s="107" t="s">
        <v>689</v>
      </c>
    </row>
    <row r="64" spans="1:6" outlineLevel="1" x14ac:dyDescent="0.15">
      <c r="D64" s="39">
        <v>3</v>
      </c>
      <c r="F64" s="107" t="s">
        <v>690</v>
      </c>
    </row>
    <row r="65" spans="1:6" outlineLevel="1" x14ac:dyDescent="0.15">
      <c r="D65" s="39">
        <v>6</v>
      </c>
      <c r="F65" s="107" t="s">
        <v>691</v>
      </c>
    </row>
    <row r="66" spans="1:6" outlineLevel="1" x14ac:dyDescent="0.15">
      <c r="D66" s="39">
        <v>12</v>
      </c>
      <c r="F66" s="107" t="s">
        <v>692</v>
      </c>
    </row>
    <row r="67" spans="1:6" outlineLevel="1" x14ac:dyDescent="0.15">
      <c r="D67" s="39">
        <v>2</v>
      </c>
      <c r="F67" s="107" t="s">
        <v>693</v>
      </c>
    </row>
    <row r="68" spans="1:6" outlineLevel="1" x14ac:dyDescent="0.15">
      <c r="D68" s="39">
        <v>4</v>
      </c>
      <c r="F68" s="107" t="s">
        <v>694</v>
      </c>
    </row>
    <row r="69" spans="1:6" outlineLevel="1" x14ac:dyDescent="0.15">
      <c r="D69" s="39">
        <v>2</v>
      </c>
      <c r="F69" s="107" t="s">
        <v>695</v>
      </c>
    </row>
    <row r="70" spans="1:6" outlineLevel="1" x14ac:dyDescent="0.15"/>
    <row r="71" spans="1:6" s="108" customFormat="1" outlineLevel="1" x14ac:dyDescent="0.15">
      <c r="A71"/>
      <c r="B71"/>
      <c r="C71" s="352" t="s">
        <v>696</v>
      </c>
      <c r="D71" s="352"/>
      <c r="E71" s="352"/>
      <c r="F71" s="108" t="s">
        <v>677</v>
      </c>
    </row>
    <row r="72" spans="1:6" outlineLevel="1" x14ac:dyDescent="0.15"/>
    <row r="73" spans="1:6" outlineLevel="1" x14ac:dyDescent="0.15">
      <c r="D73" s="163" t="s">
        <v>671</v>
      </c>
      <c r="F73" s="107" t="s">
        <v>697</v>
      </c>
    </row>
    <row r="74" spans="1:6" outlineLevel="1" x14ac:dyDescent="0.15">
      <c r="D74" s="39" t="str">
        <f>Ts_Currency&amp;CHOOSE(ROWS(D$74:D74),"","'000","Millions","Billions")</f>
        <v>£</v>
      </c>
      <c r="F74" s="107"/>
    </row>
    <row r="75" spans="1:6" outlineLevel="1" x14ac:dyDescent="0.15">
      <c r="D75" s="39" t="str">
        <f>Ts_Currency&amp;CHOOSE(ROWS(D$74:D75),"","'000","Millions","Billions")</f>
        <v>£'000</v>
      </c>
      <c r="F75" s="107"/>
    </row>
    <row r="76" spans="1:6" outlineLevel="1" x14ac:dyDescent="0.15">
      <c r="D76" s="39" t="str">
        <f>Ts_Currency&amp;CHOOSE(ROWS(D$74:D76),"","'000","Millions","Billions")</f>
        <v>£Millions</v>
      </c>
      <c r="F76" s="107"/>
    </row>
    <row r="77" spans="1:6" outlineLevel="1" x14ac:dyDescent="0.15">
      <c r="D77" s="39" t="str">
        <f>Ts_Currency&amp;CHOOSE(ROWS(D$74:D77),"","'000","Millions","Billions")</f>
        <v>£Billions</v>
      </c>
      <c r="F77" s="107"/>
    </row>
    <row r="78" spans="1:6" outlineLevel="1" x14ac:dyDescent="0.15"/>
    <row r="79" spans="1:6" s="108" customFormat="1" outlineLevel="1" x14ac:dyDescent="0.15">
      <c r="A79"/>
      <c r="B79"/>
      <c r="C79" s="352" t="s">
        <v>698</v>
      </c>
      <c r="D79" s="352"/>
      <c r="E79" s="352"/>
      <c r="F79" s="108" t="s">
        <v>677</v>
      </c>
    </row>
    <row r="80" spans="1:6" outlineLevel="1" x14ac:dyDescent="0.15"/>
    <row r="81" spans="1:6" outlineLevel="1" x14ac:dyDescent="0.15">
      <c r="D81" s="163" t="s">
        <v>699</v>
      </c>
      <c r="F81" s="107" t="s">
        <v>700</v>
      </c>
    </row>
    <row r="82" spans="1:6" outlineLevel="1" x14ac:dyDescent="0.15">
      <c r="D82" s="164">
        <v>1</v>
      </c>
      <c r="F82" s="107"/>
    </row>
    <row r="83" spans="1:6" outlineLevel="1" x14ac:dyDescent="0.15">
      <c r="D83" s="164">
        <v>1000</v>
      </c>
      <c r="F83" s="107" t="s">
        <v>701</v>
      </c>
    </row>
    <row r="84" spans="1:6" outlineLevel="1" x14ac:dyDescent="0.15">
      <c r="D84" s="164">
        <v>1000000</v>
      </c>
      <c r="F84" s="107" t="s">
        <v>702</v>
      </c>
    </row>
    <row r="85" spans="1:6" outlineLevel="1" x14ac:dyDescent="0.15">
      <c r="D85" s="164">
        <v>1000000000</v>
      </c>
      <c r="F85" s="107" t="s">
        <v>703</v>
      </c>
    </row>
    <row r="86" spans="1:6" outlineLevel="1" x14ac:dyDescent="0.15"/>
    <row r="87" spans="1:6" s="108" customFormat="1" outlineLevel="1" x14ac:dyDescent="0.15">
      <c r="A87"/>
      <c r="B87"/>
      <c r="C87" s="352" t="s">
        <v>704</v>
      </c>
      <c r="D87" s="352"/>
      <c r="E87" s="352"/>
      <c r="F87" s="108" t="s">
        <v>677</v>
      </c>
    </row>
    <row r="88" spans="1:6" outlineLevel="1" x14ac:dyDescent="0.15"/>
    <row r="89" spans="1:6" outlineLevel="1" x14ac:dyDescent="0.15">
      <c r="D89" s="163" t="s">
        <v>662</v>
      </c>
      <c r="F89" s="107" t="s">
        <v>705</v>
      </c>
    </row>
    <row r="90" spans="1:6" outlineLevel="1" x14ac:dyDescent="0.15">
      <c r="D90" s="63">
        <f>EOMONTH(DATE(Ts_First_Fin_Yr-1,DD_Ts_Fin_Yr_End_Mth+ROWS(D$90:D90)-1,1),0)+1</f>
        <v>45139</v>
      </c>
      <c r="F90" s="107"/>
    </row>
    <row r="91" spans="1:6" outlineLevel="1" x14ac:dyDescent="0.15">
      <c r="D91" s="63">
        <f>EOMONTH(DATE(Ts_First_Fin_Yr-1,DD_Ts_Fin_Yr_End_Mth+ROWS(D$90:D91)-1,1),0)+1</f>
        <v>45170</v>
      </c>
      <c r="F91" s="107"/>
    </row>
    <row r="92" spans="1:6" outlineLevel="1" x14ac:dyDescent="0.15">
      <c r="D92" s="63">
        <f>EOMONTH(DATE(Ts_First_Fin_Yr-1,DD_Ts_Fin_Yr_End_Mth+ROWS(D$90:D92)-1,1),0)+1</f>
        <v>45200</v>
      </c>
      <c r="F92" s="107"/>
    </row>
    <row r="93" spans="1:6" outlineLevel="1" x14ac:dyDescent="0.15">
      <c r="D93" s="63">
        <f>EOMONTH(DATE(Ts_First_Fin_Yr-1,DD_Ts_Fin_Yr_End_Mth+ROWS(D$90:D93)-1,1),0)+1</f>
        <v>45231</v>
      </c>
      <c r="F93" s="107"/>
    </row>
    <row r="94" spans="1:6" outlineLevel="1" x14ac:dyDescent="0.15">
      <c r="D94" s="63">
        <f>EOMONTH(DATE(Ts_First_Fin_Yr-1,DD_Ts_Fin_Yr_End_Mth+ROWS(D$90:D94)-1,1),0)+1</f>
        <v>45261</v>
      </c>
      <c r="F94" s="107"/>
    </row>
    <row r="95" spans="1:6" outlineLevel="1" x14ac:dyDescent="0.15">
      <c r="D95" s="63">
        <f>EOMONTH(DATE(Ts_First_Fin_Yr-1,DD_Ts_Fin_Yr_End_Mth+ROWS(D$90:D95)-1,1),0)+1</f>
        <v>45292</v>
      </c>
      <c r="F95" s="107"/>
    </row>
    <row r="96" spans="1:6" outlineLevel="1" x14ac:dyDescent="0.15">
      <c r="D96" s="63">
        <f>EOMONTH(DATE(Ts_First_Fin_Yr-1,DD_Ts_Fin_Yr_End_Mth+ROWS(D$90:D96)-1,1),0)+1</f>
        <v>45323</v>
      </c>
      <c r="F96" s="107"/>
    </row>
    <row r="97" spans="1:6" outlineLevel="1" x14ac:dyDescent="0.15">
      <c r="D97" s="63">
        <f>EOMONTH(DATE(Ts_First_Fin_Yr-1,DD_Ts_Fin_Yr_End_Mth+ROWS(D$90:D97)-1,1),0)+1</f>
        <v>45352</v>
      </c>
      <c r="F97" s="107"/>
    </row>
    <row r="98" spans="1:6" outlineLevel="1" x14ac:dyDescent="0.15">
      <c r="D98" s="63">
        <f>EOMONTH(DATE(Ts_First_Fin_Yr-1,DD_Ts_Fin_Yr_End_Mth+ROWS(D$90:D98)-1,1),0)+1</f>
        <v>45383</v>
      </c>
      <c r="F98" s="107"/>
    </row>
    <row r="99" spans="1:6" outlineLevel="1" x14ac:dyDescent="0.15">
      <c r="D99" s="63">
        <f>EOMONTH(DATE(Ts_First_Fin_Yr-1,DD_Ts_Fin_Yr_End_Mth+ROWS(D$90:D99)-1,1),0)+1</f>
        <v>45413</v>
      </c>
      <c r="F99" s="107"/>
    </row>
    <row r="100" spans="1:6" outlineLevel="1" x14ac:dyDescent="0.15">
      <c r="D100" s="63">
        <f>EOMONTH(DATE(Ts_First_Fin_Yr-1,DD_Ts_Fin_Yr_End_Mth+ROWS(D$90:D100)-1,1),0)+1</f>
        <v>45444</v>
      </c>
      <c r="F100" s="107"/>
    </row>
    <row r="101" spans="1:6" outlineLevel="1" x14ac:dyDescent="0.15">
      <c r="D101" s="63">
        <f>EOMONTH(DATE(Ts_First_Fin_Yr-1,DD_Ts_Fin_Yr_End_Mth+ROWS(D$90:D101)-1,1),0)+1</f>
        <v>45474</v>
      </c>
      <c r="F101" s="107"/>
    </row>
    <row r="103" spans="1:6" s="1" customFormat="1" x14ac:dyDescent="0.15">
      <c r="A103"/>
      <c r="B103" s="1" t="s">
        <v>706</v>
      </c>
    </row>
    <row r="104" spans="1:6" outlineLevel="1" x14ac:dyDescent="0.15"/>
    <row r="105" spans="1:6" s="108" customFormat="1" outlineLevel="1" x14ac:dyDescent="0.15">
      <c r="A105"/>
      <c r="B105"/>
      <c r="C105" s="352" t="s">
        <v>707</v>
      </c>
      <c r="D105" s="352"/>
      <c r="E105" s="352"/>
      <c r="F105" s="108" t="s">
        <v>677</v>
      </c>
    </row>
    <row r="106" spans="1:6" outlineLevel="1" x14ac:dyDescent="0.15"/>
    <row r="107" spans="1:6" outlineLevel="1" x14ac:dyDescent="0.15">
      <c r="D107" s="163" t="s">
        <v>708</v>
      </c>
      <c r="F107" s="107" t="s">
        <v>709</v>
      </c>
    </row>
    <row r="108" spans="1:6" outlineLevel="1" x14ac:dyDescent="0.15">
      <c r="D108" s="39" t="str">
        <f>INDEX(Scenarios!$J$18:$L$18,ROWS(D$108:D108))</f>
        <v>Base Case</v>
      </c>
      <c r="F108" s="107"/>
    </row>
    <row r="109" spans="1:6" outlineLevel="1" x14ac:dyDescent="0.15">
      <c r="D109" s="39" t="str">
        <f>INDEX(Scenarios!$J$18:$L$18,ROWS(D$108:D109))</f>
        <v>Slower Growth</v>
      </c>
      <c r="F109" s="107"/>
    </row>
    <row r="110" spans="1:6" outlineLevel="1" x14ac:dyDescent="0.15">
      <c r="D110" s="39" t="str">
        <f>INDEX(Scenarios!$J$18:$L$18,ROWS(D$108:D110))</f>
        <v>Faster Growth</v>
      </c>
      <c r="F110" s="107"/>
    </row>
    <row r="112" spans="1:6" s="1" customFormat="1" x14ac:dyDescent="0.15">
      <c r="A112"/>
      <c r="B112" s="1" t="s">
        <v>710</v>
      </c>
    </row>
    <row r="113" spans="1:6" outlineLevel="1" x14ac:dyDescent="0.15"/>
    <row r="114" spans="1:6" s="108" customFormat="1" outlineLevel="1" x14ac:dyDescent="0.15">
      <c r="A114"/>
      <c r="B114"/>
      <c r="C114" s="352" t="s">
        <v>711</v>
      </c>
      <c r="D114" s="352"/>
      <c r="E114" s="352"/>
      <c r="F114" s="108" t="s">
        <v>677</v>
      </c>
    </row>
    <row r="115" spans="1:6" outlineLevel="1" x14ac:dyDescent="0.15"/>
    <row r="116" spans="1:6" outlineLevel="1" x14ac:dyDescent="0.15">
      <c r="D116" s="163" t="s">
        <v>712</v>
      </c>
      <c r="F116" s="107" t="s">
        <v>713</v>
      </c>
    </row>
    <row r="117" spans="1:6" outlineLevel="1" x14ac:dyDescent="0.15">
      <c r="D117" s="39" t="str">
        <f>WC!B37</f>
        <v>Trade Debtors</v>
      </c>
      <c r="F117" s="107"/>
    </row>
    <row r="119" spans="1:6" s="1" customFormat="1" x14ac:dyDescent="0.15">
      <c r="A119"/>
      <c r="B119" s="1" t="s">
        <v>714</v>
      </c>
    </row>
    <row r="120" spans="1:6" outlineLevel="1" x14ac:dyDescent="0.15"/>
    <row r="121" spans="1:6" s="108" customFormat="1" outlineLevel="1" x14ac:dyDescent="0.15">
      <c r="A121"/>
      <c r="B121"/>
      <c r="C121" s="352" t="s">
        <v>715</v>
      </c>
      <c r="D121" s="352"/>
      <c r="E121" s="352"/>
      <c r="F121" s="108" t="s">
        <v>677</v>
      </c>
    </row>
    <row r="122" spans="1:6" outlineLevel="1" x14ac:dyDescent="0.15"/>
    <row r="123" spans="1:6" outlineLevel="1" x14ac:dyDescent="0.15">
      <c r="D123" s="163" t="s">
        <v>712</v>
      </c>
      <c r="F123" s="107" t="s">
        <v>716</v>
      </c>
    </row>
    <row r="124" spans="1:6" outlineLevel="1" x14ac:dyDescent="0.15">
      <c r="D124" s="39" t="str">
        <f>WC!B99</f>
        <v>Inventory</v>
      </c>
      <c r="F124" s="107"/>
    </row>
    <row r="126" spans="1:6" s="1" customFormat="1" x14ac:dyDescent="0.15">
      <c r="A126"/>
      <c r="B126" s="1" t="s">
        <v>717</v>
      </c>
    </row>
    <row r="127" spans="1:6" outlineLevel="1" x14ac:dyDescent="0.15"/>
    <row r="128" spans="1:6" s="108" customFormat="1" outlineLevel="1" x14ac:dyDescent="0.15">
      <c r="A128"/>
      <c r="B128"/>
      <c r="C128" s="352" t="s">
        <v>718</v>
      </c>
      <c r="D128" s="352"/>
      <c r="E128" s="352"/>
      <c r="F128" s="108" t="s">
        <v>677</v>
      </c>
    </row>
    <row r="129" spans="1:6" outlineLevel="1" x14ac:dyDescent="0.15"/>
    <row r="130" spans="1:6" outlineLevel="1" x14ac:dyDescent="0.15">
      <c r="D130" s="163" t="s">
        <v>712</v>
      </c>
      <c r="F130" s="107" t="s">
        <v>719</v>
      </c>
    </row>
    <row r="131" spans="1:6" outlineLevel="1" x14ac:dyDescent="0.15">
      <c r="D131" s="39" t="str">
        <f>WC!B166</f>
        <v>Creditors (Monthly)</v>
      </c>
      <c r="F131" s="107"/>
    </row>
    <row r="132" spans="1:6" outlineLevel="1" x14ac:dyDescent="0.15">
      <c r="D132" s="39" t="str">
        <f>WC!B187</f>
        <v>Creditors (Quarterly)</v>
      </c>
      <c r="F132" s="107"/>
    </row>
    <row r="134" spans="1:6" s="1" customFormat="1" x14ac:dyDescent="0.15">
      <c r="A134"/>
      <c r="B134" s="1" t="s">
        <v>720</v>
      </c>
    </row>
    <row r="135" spans="1:6" outlineLevel="1" x14ac:dyDescent="0.15"/>
    <row r="136" spans="1:6" s="108" customFormat="1" outlineLevel="1" x14ac:dyDescent="0.15">
      <c r="A136"/>
      <c r="B136"/>
      <c r="C136" s="352" t="s">
        <v>721</v>
      </c>
      <c r="D136" s="352"/>
      <c r="E136" s="352"/>
      <c r="F136" s="108" t="s">
        <v>677</v>
      </c>
    </row>
    <row r="137" spans="1:6" outlineLevel="1" x14ac:dyDescent="0.15"/>
    <row r="138" spans="1:6" outlineLevel="1" x14ac:dyDescent="0.15">
      <c r="D138" s="163" t="s">
        <v>712</v>
      </c>
      <c r="F138" s="107" t="s">
        <v>722</v>
      </c>
    </row>
    <row r="139" spans="1:6" outlineLevel="1" x14ac:dyDescent="0.15">
      <c r="D139" s="39" t="str">
        <f>WC!B252</f>
        <v>Inventory Payables Category 1</v>
      </c>
      <c r="F139" s="107"/>
    </row>
    <row r="141" spans="1:6" s="1" customFormat="1" x14ac:dyDescent="0.15">
      <c r="A141"/>
      <c r="B141" s="1" t="s">
        <v>723</v>
      </c>
    </row>
    <row r="142" spans="1:6" outlineLevel="1" x14ac:dyDescent="0.15"/>
    <row r="143" spans="1:6" s="108" customFormat="1" outlineLevel="1" x14ac:dyDescent="0.15">
      <c r="A143"/>
      <c r="B143"/>
      <c r="C143" s="352" t="s">
        <v>724</v>
      </c>
      <c r="D143" s="352"/>
      <c r="E143" s="352"/>
      <c r="F143" s="108" t="s">
        <v>677</v>
      </c>
    </row>
    <row r="144" spans="1:6" outlineLevel="1" x14ac:dyDescent="0.15"/>
    <row r="145" spans="1:6" outlineLevel="1" x14ac:dyDescent="0.15">
      <c r="D145" s="163" t="s">
        <v>725</v>
      </c>
      <c r="F145" s="107" t="s">
        <v>726</v>
      </c>
    </row>
    <row r="146" spans="1:6" outlineLevel="1" x14ac:dyDescent="0.15">
      <c r="D146" s="39" t="str">
        <f>Assets!B51</f>
        <v>Fencing Equipment</v>
      </c>
      <c r="F146" s="107"/>
    </row>
    <row r="147" spans="1:6" outlineLevel="1" x14ac:dyDescent="0.15">
      <c r="D147" s="39" t="str">
        <f>Assets!B60</f>
        <v>Leashold Improvements</v>
      </c>
      <c r="F147" s="107"/>
    </row>
    <row r="149" spans="1:6" s="1" customFormat="1" x14ac:dyDescent="0.15">
      <c r="A149"/>
      <c r="B149" s="1" t="s">
        <v>727</v>
      </c>
    </row>
    <row r="150" spans="1:6" outlineLevel="1" x14ac:dyDescent="0.15"/>
    <row r="151" spans="1:6" s="108" customFormat="1" outlineLevel="1" x14ac:dyDescent="0.15">
      <c r="A151"/>
      <c r="B151"/>
      <c r="C151" s="352" t="s">
        <v>728</v>
      </c>
      <c r="D151" s="352"/>
      <c r="E151" s="352"/>
      <c r="F151" s="108" t="s">
        <v>677</v>
      </c>
    </row>
    <row r="152" spans="1:6" outlineLevel="1" x14ac:dyDescent="0.15"/>
    <row r="153" spans="1:6" outlineLevel="1" x14ac:dyDescent="0.15">
      <c r="D153" s="163" t="s">
        <v>466</v>
      </c>
      <c r="F153" s="107" t="s">
        <v>729</v>
      </c>
    </row>
    <row r="154" spans="1:6" outlineLevel="1" x14ac:dyDescent="0.15">
      <c r="D154" s="39" t="s">
        <v>467</v>
      </c>
      <c r="F154" s="107" t="s">
        <v>730</v>
      </c>
    </row>
    <row r="155" spans="1:6" outlineLevel="1" x14ac:dyDescent="0.15">
      <c r="D155" s="39" t="s">
        <v>179</v>
      </c>
      <c r="F155" s="107" t="s">
        <v>731</v>
      </c>
    </row>
    <row r="156" spans="1:6" outlineLevel="1" x14ac:dyDescent="0.15"/>
    <row r="157" spans="1:6" s="108" customFormat="1" outlineLevel="1" x14ac:dyDescent="0.15">
      <c r="A157"/>
      <c r="B157"/>
      <c r="C157" s="352" t="s">
        <v>732</v>
      </c>
      <c r="D157" s="352"/>
      <c r="E157" s="352"/>
      <c r="F157" s="108" t="s">
        <v>677</v>
      </c>
    </row>
    <row r="158" spans="1:6" outlineLevel="1" x14ac:dyDescent="0.15"/>
    <row r="159" spans="1:6" outlineLevel="1" x14ac:dyDescent="0.15">
      <c r="D159" s="163" t="s">
        <v>733</v>
      </c>
      <c r="F159" s="107" t="s">
        <v>734</v>
      </c>
    </row>
    <row r="160" spans="1:6" outlineLevel="1" x14ac:dyDescent="0.15">
      <c r="D160" s="39" t="s">
        <v>735</v>
      </c>
      <c r="F160" s="107" t="s">
        <v>736</v>
      </c>
    </row>
    <row r="161" spans="1:6" outlineLevel="1" x14ac:dyDescent="0.15">
      <c r="D161" s="39" t="s">
        <v>252</v>
      </c>
      <c r="F161" s="107" t="s">
        <v>737</v>
      </c>
    </row>
    <row r="162" spans="1:6" outlineLevel="1" x14ac:dyDescent="0.15"/>
    <row r="163" spans="1:6" s="108" customFormat="1" outlineLevel="1" x14ac:dyDescent="0.15">
      <c r="A163"/>
      <c r="B163"/>
      <c r="C163" s="352" t="s">
        <v>478</v>
      </c>
      <c r="D163" s="352"/>
      <c r="E163" s="352"/>
      <c r="F163" s="108" t="s">
        <v>677</v>
      </c>
    </row>
    <row r="164" spans="1:6" outlineLevel="1" x14ac:dyDescent="0.15"/>
    <row r="165" spans="1:6" outlineLevel="1" x14ac:dyDescent="0.15">
      <c r="D165" s="163" t="s">
        <v>478</v>
      </c>
      <c r="F165" s="107" t="s">
        <v>738</v>
      </c>
    </row>
    <row r="166" spans="1:6" outlineLevel="1" x14ac:dyDescent="0.15">
      <c r="D166" s="39" t="s">
        <v>464</v>
      </c>
      <c r="F166" s="107" t="s">
        <v>739</v>
      </c>
    </row>
    <row r="167" spans="1:6" outlineLevel="1" x14ac:dyDescent="0.15">
      <c r="D167" s="39" t="s">
        <v>505</v>
      </c>
      <c r="F167" s="107" t="s">
        <v>740</v>
      </c>
    </row>
    <row r="168" spans="1:6" outlineLevel="1" x14ac:dyDescent="0.15">
      <c r="D168" s="39" t="s">
        <v>741</v>
      </c>
      <c r="F168" s="107" t="s">
        <v>742</v>
      </c>
    </row>
    <row r="169" spans="1:6" outlineLevel="1" x14ac:dyDescent="0.15">
      <c r="D169" s="39" t="s">
        <v>743</v>
      </c>
      <c r="F169" s="107" t="s">
        <v>744</v>
      </c>
    </row>
    <row r="171" spans="1:6" s="1" customFormat="1" x14ac:dyDescent="0.15">
      <c r="A171"/>
      <c r="B171" s="1" t="s">
        <v>745</v>
      </c>
    </row>
    <row r="172" spans="1:6" outlineLevel="1" x14ac:dyDescent="0.15"/>
    <row r="173" spans="1:6" s="108" customFormat="1" outlineLevel="1" x14ac:dyDescent="0.15">
      <c r="A173"/>
      <c r="B173"/>
      <c r="C173" s="352" t="s">
        <v>746</v>
      </c>
      <c r="D173" s="352"/>
      <c r="E173" s="352"/>
      <c r="F173" s="108" t="s">
        <v>677</v>
      </c>
    </row>
    <row r="174" spans="1:6" outlineLevel="1" x14ac:dyDescent="0.15"/>
    <row r="175" spans="1:6" outlineLevel="1" x14ac:dyDescent="0.15">
      <c r="D175" s="163" t="s">
        <v>747</v>
      </c>
      <c r="F175" s="107" t="s">
        <v>748</v>
      </c>
    </row>
    <row r="176" spans="1:6" outlineLevel="1" x14ac:dyDescent="0.15">
      <c r="D176" s="39" t="str">
        <f>TEXT(DATE(1,ROWS(D$176:D176),1),"mmmm")</f>
        <v>January</v>
      </c>
      <c r="F176" s="107"/>
    </row>
    <row r="177" spans="1:6" outlineLevel="1" x14ac:dyDescent="0.15">
      <c r="D177" s="39" t="str">
        <f>TEXT(DATE(1,ROWS(D$176:D177),1),"mmmm")</f>
        <v>February</v>
      </c>
      <c r="F177" s="107"/>
    </row>
    <row r="178" spans="1:6" outlineLevel="1" x14ac:dyDescent="0.15">
      <c r="D178" s="39" t="str">
        <f>TEXT(DATE(1,ROWS(D$176:D178),1),"mmmm")</f>
        <v>March</v>
      </c>
      <c r="F178" s="107"/>
    </row>
    <row r="179" spans="1:6" outlineLevel="1" x14ac:dyDescent="0.15">
      <c r="D179" s="39" t="str">
        <f>TEXT(DATE(1,ROWS(D$176:D179),1),"mmmm")</f>
        <v>April</v>
      </c>
      <c r="F179" s="107"/>
    </row>
    <row r="180" spans="1:6" outlineLevel="1" x14ac:dyDescent="0.15">
      <c r="D180" s="39" t="str">
        <f>TEXT(DATE(1,ROWS(D$176:D180),1),"mmmm")</f>
        <v>May</v>
      </c>
      <c r="F180" s="107"/>
    </row>
    <row r="181" spans="1:6" outlineLevel="1" x14ac:dyDescent="0.15">
      <c r="D181" s="39" t="str">
        <f>TEXT(DATE(1,ROWS(D$176:D181),1),"mmmm")</f>
        <v>June</v>
      </c>
      <c r="F181" s="107"/>
    </row>
    <row r="182" spans="1:6" outlineLevel="1" x14ac:dyDescent="0.15">
      <c r="D182" s="39" t="str">
        <f>TEXT(DATE(1,ROWS(D$176:D182),1),"mmmm")</f>
        <v>July</v>
      </c>
      <c r="F182" s="107"/>
    </row>
    <row r="183" spans="1:6" outlineLevel="1" x14ac:dyDescent="0.15">
      <c r="D183" s="39" t="str">
        <f>TEXT(DATE(1,ROWS(D$176:D183),1),"mmmm")</f>
        <v>August</v>
      </c>
      <c r="F183" s="107"/>
    </row>
    <row r="184" spans="1:6" outlineLevel="1" x14ac:dyDescent="0.15">
      <c r="D184" s="39" t="str">
        <f>TEXT(DATE(1,ROWS(D$176:D184),1),"mmmm")</f>
        <v>September</v>
      </c>
      <c r="F184" s="107"/>
    </row>
    <row r="185" spans="1:6" outlineLevel="1" x14ac:dyDescent="0.15">
      <c r="D185" s="39" t="str">
        <f>TEXT(DATE(1,ROWS(D$176:D185),1),"mmmm")</f>
        <v>October</v>
      </c>
      <c r="F185" s="107"/>
    </row>
    <row r="186" spans="1:6" outlineLevel="1" x14ac:dyDescent="0.15">
      <c r="D186" s="39" t="str">
        <f>TEXT(DATE(1,ROWS(D$176:D186),1),"mmmm")</f>
        <v>November</v>
      </c>
      <c r="F186" s="107"/>
    </row>
    <row r="187" spans="1:6" outlineLevel="1" x14ac:dyDescent="0.15">
      <c r="D187" s="39" t="str">
        <f>TEXT(DATE(1,ROWS(D$176:D187),1),"mmmm")</f>
        <v>December</v>
      </c>
      <c r="F187" s="107"/>
    </row>
    <row r="188" spans="1:6" outlineLevel="1" x14ac:dyDescent="0.15"/>
    <row r="189" spans="1:6" s="108" customFormat="1" outlineLevel="1" x14ac:dyDescent="0.15">
      <c r="A189"/>
      <c r="B189"/>
      <c r="C189" s="352" t="s">
        <v>749</v>
      </c>
      <c r="D189" s="352"/>
      <c r="E189" s="352"/>
      <c r="F189" s="108" t="s">
        <v>677</v>
      </c>
    </row>
    <row r="190" spans="1:6" outlineLevel="1" x14ac:dyDescent="0.15"/>
    <row r="191" spans="1:6" outlineLevel="1" x14ac:dyDescent="0.15">
      <c r="D191" s="163" t="s">
        <v>750</v>
      </c>
      <c r="F191" s="107" t="s">
        <v>751</v>
      </c>
    </row>
    <row r="192" spans="1:6" outlineLevel="1" x14ac:dyDescent="0.15">
      <c r="D192" s="39" t="s">
        <v>464</v>
      </c>
      <c r="F192" s="107" t="s">
        <v>752</v>
      </c>
    </row>
    <row r="193" spans="1:6" outlineLevel="1" x14ac:dyDescent="0.15">
      <c r="D193" s="39" t="s">
        <v>505</v>
      </c>
      <c r="F193" s="107" t="s">
        <v>753</v>
      </c>
    </row>
    <row r="194" spans="1:6" outlineLevel="1" x14ac:dyDescent="0.15">
      <c r="D194" s="39" t="s">
        <v>741</v>
      </c>
      <c r="F194" s="107" t="s">
        <v>754</v>
      </c>
    </row>
    <row r="195" spans="1:6" outlineLevel="1" x14ac:dyDescent="0.15">
      <c r="D195" s="39" t="s">
        <v>743</v>
      </c>
      <c r="F195" s="107" t="s">
        <v>755</v>
      </c>
    </row>
    <row r="196" spans="1:6" outlineLevel="1" x14ac:dyDescent="0.15"/>
    <row r="197" spans="1:6" s="108" customFormat="1" outlineLevel="1" x14ac:dyDescent="0.15">
      <c r="A197"/>
      <c r="B197"/>
      <c r="C197" s="352" t="s">
        <v>756</v>
      </c>
      <c r="D197" s="352"/>
      <c r="E197" s="352"/>
      <c r="F197" s="108" t="s">
        <v>677</v>
      </c>
    </row>
    <row r="198" spans="1:6" outlineLevel="1" x14ac:dyDescent="0.15"/>
    <row r="199" spans="1:6" outlineLevel="1" x14ac:dyDescent="0.15">
      <c r="D199" s="163" t="s">
        <v>757</v>
      </c>
      <c r="F199" s="107" t="s">
        <v>758</v>
      </c>
    </row>
    <row r="200" spans="1:6" outlineLevel="1" x14ac:dyDescent="0.15">
      <c r="D200" s="39" t="s">
        <v>759</v>
      </c>
      <c r="F200" s="107" t="s">
        <v>760</v>
      </c>
    </row>
    <row r="201" spans="1:6" outlineLevel="1" x14ac:dyDescent="0.15">
      <c r="D201" s="39" t="s">
        <v>89</v>
      </c>
      <c r="F201" s="107" t="s">
        <v>761</v>
      </c>
    </row>
    <row r="202" spans="1:6" outlineLevel="1" x14ac:dyDescent="0.15"/>
    <row r="203" spans="1:6" s="108" customFormat="1" outlineLevel="1" x14ac:dyDescent="0.15">
      <c r="A203"/>
      <c r="B203"/>
      <c r="C203" s="352" t="s">
        <v>732</v>
      </c>
      <c r="D203" s="352"/>
      <c r="E203" s="352"/>
      <c r="F203" s="108" t="s">
        <v>677</v>
      </c>
    </row>
    <row r="204" spans="1:6" outlineLevel="1" x14ac:dyDescent="0.15"/>
    <row r="205" spans="1:6" outlineLevel="1" x14ac:dyDescent="0.15">
      <c r="D205" s="163" t="s">
        <v>733</v>
      </c>
      <c r="F205" s="107" t="s">
        <v>685</v>
      </c>
    </row>
    <row r="206" spans="1:6" outlineLevel="1" x14ac:dyDescent="0.15">
      <c r="D206" s="39" t="s">
        <v>735</v>
      </c>
      <c r="F206" s="107" t="s">
        <v>762</v>
      </c>
    </row>
    <row r="207" spans="1:6" outlineLevel="1" x14ac:dyDescent="0.15">
      <c r="D207" s="39" t="s">
        <v>252</v>
      </c>
      <c r="F207" s="107" t="s">
        <v>763</v>
      </c>
    </row>
    <row r="209" spans="1:6" s="1" customFormat="1" x14ac:dyDescent="0.15">
      <c r="A209"/>
      <c r="B209" s="1" t="s">
        <v>764</v>
      </c>
    </row>
    <row r="210" spans="1:6" outlineLevel="1" x14ac:dyDescent="0.15"/>
    <row r="211" spans="1:6" s="108" customFormat="1" outlineLevel="1" x14ac:dyDescent="0.15">
      <c r="A211"/>
      <c r="B211"/>
      <c r="C211" s="352" t="s">
        <v>732</v>
      </c>
      <c r="D211" s="352"/>
      <c r="E211" s="352"/>
      <c r="F211" s="108" t="s">
        <v>677</v>
      </c>
    </row>
    <row r="212" spans="1:6" outlineLevel="1" x14ac:dyDescent="0.15"/>
    <row r="213" spans="1:6" outlineLevel="1" x14ac:dyDescent="0.15">
      <c r="D213" s="163" t="s">
        <v>733</v>
      </c>
      <c r="F213" s="107" t="s">
        <v>685</v>
      </c>
    </row>
    <row r="214" spans="1:6" outlineLevel="1" x14ac:dyDescent="0.15">
      <c r="D214" s="39" t="s">
        <v>735</v>
      </c>
      <c r="F214" s="107" t="s">
        <v>765</v>
      </c>
    </row>
    <row r="215" spans="1:6" outlineLevel="1" x14ac:dyDescent="0.15">
      <c r="D215" s="39" t="s">
        <v>252</v>
      </c>
      <c r="F215" s="107" t="s">
        <v>766</v>
      </c>
    </row>
    <row r="216" spans="1:6" outlineLevel="1" x14ac:dyDescent="0.15"/>
    <row r="217" spans="1:6" s="108" customFormat="1" outlineLevel="1" x14ac:dyDescent="0.15">
      <c r="A217"/>
      <c r="B217"/>
      <c r="C217" s="352" t="s">
        <v>767</v>
      </c>
      <c r="D217" s="352"/>
      <c r="E217" s="352"/>
      <c r="F217" s="108" t="s">
        <v>677</v>
      </c>
    </row>
    <row r="218" spans="1:6" outlineLevel="1" x14ac:dyDescent="0.15"/>
    <row r="219" spans="1:6" outlineLevel="1" x14ac:dyDescent="0.15">
      <c r="D219" s="163" t="s">
        <v>768</v>
      </c>
      <c r="F219" s="107" t="s">
        <v>769</v>
      </c>
    </row>
    <row r="220" spans="1:6" outlineLevel="1" x14ac:dyDescent="0.15">
      <c r="D220" s="39" t="s">
        <v>770</v>
      </c>
      <c r="F220" s="107" t="s">
        <v>771</v>
      </c>
    </row>
    <row r="221" spans="1:6" outlineLevel="1" x14ac:dyDescent="0.15">
      <c r="D221" s="39" t="s">
        <v>464</v>
      </c>
      <c r="F221" s="107" t="s">
        <v>772</v>
      </c>
    </row>
    <row r="222" spans="1:6" outlineLevel="1" x14ac:dyDescent="0.15">
      <c r="D222" s="39" t="s">
        <v>505</v>
      </c>
      <c r="F222" s="107" t="s">
        <v>773</v>
      </c>
    </row>
    <row r="223" spans="1:6" outlineLevel="1" x14ac:dyDescent="0.15">
      <c r="D223" s="39" t="s">
        <v>741</v>
      </c>
      <c r="F223" s="107" t="s">
        <v>774</v>
      </c>
    </row>
    <row r="224" spans="1:6" outlineLevel="1" x14ac:dyDescent="0.15"/>
    <row r="225" spans="1:6" s="108" customFormat="1" outlineLevel="1" x14ac:dyDescent="0.15">
      <c r="A225"/>
      <c r="B225"/>
      <c r="C225" s="352" t="s">
        <v>775</v>
      </c>
      <c r="D225" s="352"/>
      <c r="E225" s="352"/>
      <c r="F225" s="108" t="s">
        <v>677</v>
      </c>
    </row>
    <row r="226" spans="1:6" outlineLevel="1" x14ac:dyDescent="0.15"/>
    <row r="227" spans="1:6" outlineLevel="1" x14ac:dyDescent="0.15">
      <c r="D227" s="163" t="s">
        <v>776</v>
      </c>
      <c r="F227" s="107" t="s">
        <v>777</v>
      </c>
    </row>
    <row r="228" spans="1:6" outlineLevel="1" x14ac:dyDescent="0.15">
      <c r="D228" s="39" t="str">
        <f>TEXT(DATE(1,ROWS(D$228:D228),1),"mmmm")</f>
        <v>January</v>
      </c>
      <c r="F228" s="107"/>
    </row>
    <row r="229" spans="1:6" outlineLevel="1" x14ac:dyDescent="0.15">
      <c r="D229" s="39" t="str">
        <f>TEXT(DATE(1,ROWS(D$228:D229),1),"mmmm")</f>
        <v>February</v>
      </c>
      <c r="F229" s="107"/>
    </row>
    <row r="230" spans="1:6" outlineLevel="1" x14ac:dyDescent="0.15">
      <c r="D230" s="39" t="str">
        <f>TEXT(DATE(1,ROWS(D$228:D230),1),"mmmm")</f>
        <v>March</v>
      </c>
      <c r="F230" s="107"/>
    </row>
    <row r="231" spans="1:6" outlineLevel="1" x14ac:dyDescent="0.15">
      <c r="D231" s="39" t="str">
        <f>TEXT(DATE(1,ROWS(D$228:D231),1),"mmmm")</f>
        <v>April</v>
      </c>
      <c r="F231" s="107"/>
    </row>
    <row r="232" spans="1:6" outlineLevel="1" x14ac:dyDescent="0.15">
      <c r="D232" s="39" t="str">
        <f>TEXT(DATE(1,ROWS(D$228:D232),1),"mmmm")</f>
        <v>May</v>
      </c>
      <c r="F232" s="107"/>
    </row>
    <row r="233" spans="1:6" outlineLevel="1" x14ac:dyDescent="0.15">
      <c r="D233" s="39" t="str">
        <f>TEXT(DATE(1,ROWS(D$228:D233),1),"mmmm")</f>
        <v>June</v>
      </c>
      <c r="F233" s="107"/>
    </row>
    <row r="234" spans="1:6" outlineLevel="1" x14ac:dyDescent="0.15">
      <c r="D234" s="39" t="str">
        <f>TEXT(DATE(1,ROWS(D$228:D234),1),"mmmm")</f>
        <v>July</v>
      </c>
      <c r="F234" s="107"/>
    </row>
    <row r="235" spans="1:6" outlineLevel="1" x14ac:dyDescent="0.15">
      <c r="D235" s="39" t="str">
        <f>TEXT(DATE(1,ROWS(D$228:D235),1),"mmmm")</f>
        <v>August</v>
      </c>
      <c r="F235" s="107"/>
    </row>
    <row r="236" spans="1:6" outlineLevel="1" x14ac:dyDescent="0.15">
      <c r="D236" s="39" t="str">
        <f>TEXT(DATE(1,ROWS(D$228:D236),1),"mmmm")</f>
        <v>September</v>
      </c>
      <c r="F236" s="107"/>
    </row>
    <row r="237" spans="1:6" outlineLevel="1" x14ac:dyDescent="0.15">
      <c r="D237" s="39" t="str">
        <f>TEXT(DATE(1,ROWS(D$228:D237),1),"mmmm")</f>
        <v>October</v>
      </c>
      <c r="F237" s="107"/>
    </row>
    <row r="238" spans="1:6" outlineLevel="1" x14ac:dyDescent="0.15">
      <c r="D238" s="39" t="str">
        <f>TEXT(DATE(1,ROWS(D$228:D238),1),"mmmm")</f>
        <v>November</v>
      </c>
      <c r="F238" s="107"/>
    </row>
    <row r="239" spans="1:6" outlineLevel="1" x14ac:dyDescent="0.15">
      <c r="D239" s="39" t="str">
        <f>TEXT(DATE(1,ROWS(D$228:D239),1),"mmmm")</f>
        <v>December</v>
      </c>
      <c r="F239" s="107"/>
    </row>
    <row r="240" spans="1:6" outlineLevel="1" x14ac:dyDescent="0.15"/>
    <row r="241" spans="1:6" s="108" customFormat="1" outlineLevel="1" x14ac:dyDescent="0.15">
      <c r="A241"/>
      <c r="B241"/>
      <c r="C241" s="352" t="s">
        <v>778</v>
      </c>
      <c r="D241" s="352"/>
      <c r="E241" s="352"/>
      <c r="F241" s="108" t="s">
        <v>677</v>
      </c>
    </row>
    <row r="242" spans="1:6" outlineLevel="1" x14ac:dyDescent="0.15"/>
    <row r="243" spans="1:6" outlineLevel="1" x14ac:dyDescent="0.15">
      <c r="D243" s="163" t="s">
        <v>779</v>
      </c>
      <c r="F243" s="107" t="s">
        <v>780</v>
      </c>
    </row>
    <row r="244" spans="1:6" outlineLevel="1" x14ac:dyDescent="0.15">
      <c r="D244" s="39" t="s">
        <v>564</v>
      </c>
      <c r="F244" s="107" t="s">
        <v>781</v>
      </c>
    </row>
    <row r="245" spans="1:6" outlineLevel="1" x14ac:dyDescent="0.15">
      <c r="D245" s="39" t="s">
        <v>179</v>
      </c>
      <c r="F245" s="107" t="s">
        <v>782</v>
      </c>
    </row>
    <row r="247" spans="1:6" s="1" customFormat="1" x14ac:dyDescent="0.15">
      <c r="A247"/>
      <c r="B247" s="1" t="s">
        <v>783</v>
      </c>
    </row>
    <row r="248" spans="1:6" outlineLevel="1" x14ac:dyDescent="0.15"/>
    <row r="249" spans="1:6" s="108" customFormat="1" outlineLevel="1" x14ac:dyDescent="0.15">
      <c r="A249"/>
      <c r="B249"/>
      <c r="C249" s="352" t="s">
        <v>784</v>
      </c>
      <c r="D249" s="352"/>
      <c r="E249" s="352"/>
      <c r="F249" s="108" t="s">
        <v>677</v>
      </c>
    </row>
    <row r="250" spans="1:6" outlineLevel="1" x14ac:dyDescent="0.15"/>
    <row r="251" spans="1:6" outlineLevel="1" x14ac:dyDescent="0.15">
      <c r="D251" s="163" t="s">
        <v>146</v>
      </c>
      <c r="F251" s="107" t="s">
        <v>785</v>
      </c>
    </row>
    <row r="252" spans="1:6" outlineLevel="1" x14ac:dyDescent="0.15">
      <c r="D252" s="63">
        <f>EDATE(Ts_Start_Date,ROWS(D$252:D252))-1</f>
        <v>45169</v>
      </c>
      <c r="F252" s="107"/>
    </row>
    <row r="253" spans="1:6" outlineLevel="1" x14ac:dyDescent="0.15">
      <c r="D253" s="63">
        <f>EDATE(Ts_Start_Date,ROWS(D$252:D253))-1</f>
        <v>45199</v>
      </c>
      <c r="F253" s="107"/>
    </row>
    <row r="254" spans="1:6" outlineLevel="1" x14ac:dyDescent="0.15">
      <c r="D254" s="63">
        <f>EDATE(Ts_Start_Date,ROWS(D$252:D254))-1</f>
        <v>45230</v>
      </c>
      <c r="F254" s="107"/>
    </row>
    <row r="255" spans="1:6" outlineLevel="1" x14ac:dyDescent="0.15">
      <c r="D255" s="63">
        <f>EDATE(Ts_Start_Date,ROWS(D$252:D255))-1</f>
        <v>45260</v>
      </c>
      <c r="F255" s="107"/>
    </row>
    <row r="256" spans="1:6" outlineLevel="1" x14ac:dyDescent="0.15">
      <c r="D256" s="63">
        <f>EDATE(Ts_Start_Date,ROWS(D$252:D256))-1</f>
        <v>45291</v>
      </c>
      <c r="F256" s="107"/>
    </row>
    <row r="257" spans="4:6" outlineLevel="1" x14ac:dyDescent="0.15">
      <c r="D257" s="63">
        <f>EDATE(Ts_Start_Date,ROWS(D$252:D257))-1</f>
        <v>45322</v>
      </c>
      <c r="F257" s="107"/>
    </row>
    <row r="258" spans="4:6" outlineLevel="1" x14ac:dyDescent="0.15">
      <c r="D258" s="63">
        <f>EDATE(Ts_Start_Date,ROWS(D$252:D258))-1</f>
        <v>45351</v>
      </c>
      <c r="F258" s="107"/>
    </row>
    <row r="259" spans="4:6" outlineLevel="1" x14ac:dyDescent="0.15">
      <c r="D259" s="63">
        <f>EDATE(Ts_Start_Date,ROWS(D$252:D259))-1</f>
        <v>45382</v>
      </c>
      <c r="F259" s="107"/>
    </row>
    <row r="260" spans="4:6" outlineLevel="1" x14ac:dyDescent="0.15">
      <c r="D260" s="63">
        <f>EDATE(Ts_Start_Date,ROWS(D$252:D260))-1</f>
        <v>45412</v>
      </c>
      <c r="F260" s="107"/>
    </row>
    <row r="261" spans="4:6" outlineLevel="1" x14ac:dyDescent="0.15">
      <c r="D261" s="63">
        <f>EDATE(Ts_Start_Date,ROWS(D$252:D261))-1</f>
        <v>45443</v>
      </c>
      <c r="F261" s="107"/>
    </row>
    <row r="262" spans="4:6" outlineLevel="1" x14ac:dyDescent="0.15">
      <c r="D262" s="63">
        <f>EDATE(Ts_Start_Date,ROWS(D$252:D262))-1</f>
        <v>45473</v>
      </c>
      <c r="F262" s="107"/>
    </row>
    <row r="263" spans="4:6" outlineLevel="1" x14ac:dyDescent="0.15">
      <c r="D263" s="63">
        <f>EDATE(Ts_Start_Date,ROWS(D$252:D263))-1</f>
        <v>45504</v>
      </c>
      <c r="F263" s="107"/>
    </row>
    <row r="264" spans="4:6" outlineLevel="1" x14ac:dyDescent="0.15">
      <c r="D264" s="63">
        <f>EDATE(Ts_Start_Date,ROWS(D$252:D264))-1</f>
        <v>45535</v>
      </c>
      <c r="F264" s="107"/>
    </row>
    <row r="265" spans="4:6" outlineLevel="1" x14ac:dyDescent="0.15">
      <c r="D265" s="63">
        <f>EDATE(Ts_Start_Date,ROWS(D$252:D265))-1</f>
        <v>45565</v>
      </c>
      <c r="F265" s="107"/>
    </row>
    <row r="266" spans="4:6" outlineLevel="1" x14ac:dyDescent="0.15">
      <c r="D266" s="63">
        <f>EDATE(Ts_Start_Date,ROWS(D$252:D266))-1</f>
        <v>45596</v>
      </c>
      <c r="F266" s="107"/>
    </row>
    <row r="267" spans="4:6" outlineLevel="1" x14ac:dyDescent="0.15">
      <c r="D267" s="63">
        <f>EDATE(Ts_Start_Date,ROWS(D$252:D267))-1</f>
        <v>45626</v>
      </c>
      <c r="F267" s="107"/>
    </row>
    <row r="268" spans="4:6" outlineLevel="1" x14ac:dyDescent="0.15">
      <c r="D268" s="63">
        <f>EDATE(Ts_Start_Date,ROWS(D$252:D268))-1</f>
        <v>45657</v>
      </c>
      <c r="F268" s="107"/>
    </row>
    <row r="269" spans="4:6" outlineLevel="1" x14ac:dyDescent="0.15">
      <c r="D269" s="63">
        <f>EDATE(Ts_Start_Date,ROWS(D$252:D269))-1</f>
        <v>45688</v>
      </c>
      <c r="F269" s="107"/>
    </row>
    <row r="270" spans="4:6" outlineLevel="1" x14ac:dyDescent="0.15">
      <c r="D270" s="63">
        <f>EDATE(Ts_Start_Date,ROWS(D$252:D270))-1</f>
        <v>45716</v>
      </c>
      <c r="F270" s="107"/>
    </row>
    <row r="271" spans="4:6" outlineLevel="1" x14ac:dyDescent="0.15">
      <c r="D271" s="63">
        <f>EDATE(Ts_Start_Date,ROWS(D$252:D271))-1</f>
        <v>45747</v>
      </c>
      <c r="F271" s="107"/>
    </row>
    <row r="272" spans="4:6" outlineLevel="1" x14ac:dyDescent="0.15">
      <c r="D272" s="63">
        <f>EDATE(Ts_Start_Date,ROWS(D$252:D272))-1</f>
        <v>45777</v>
      </c>
      <c r="F272" s="107"/>
    </row>
    <row r="273" spans="4:6" outlineLevel="1" x14ac:dyDescent="0.15">
      <c r="D273" s="63">
        <f>EDATE(Ts_Start_Date,ROWS(D$252:D273))-1</f>
        <v>45808</v>
      </c>
      <c r="F273" s="107"/>
    </row>
    <row r="274" spans="4:6" outlineLevel="1" x14ac:dyDescent="0.15">
      <c r="D274" s="63">
        <f>EDATE(Ts_Start_Date,ROWS(D$252:D274))-1</f>
        <v>45838</v>
      </c>
      <c r="F274" s="107"/>
    </row>
    <row r="275" spans="4:6" outlineLevel="1" x14ac:dyDescent="0.15">
      <c r="D275" s="63">
        <f>EDATE(Ts_Start_Date,ROWS(D$252:D275))-1</f>
        <v>45869</v>
      </c>
      <c r="F275" s="107"/>
    </row>
    <row r="276" spans="4:6" outlineLevel="1" x14ac:dyDescent="0.15">
      <c r="D276" s="63">
        <f>EDATE(Ts_Start_Date,ROWS(D$252:D276))-1</f>
        <v>45900</v>
      </c>
      <c r="F276" s="107"/>
    </row>
    <row r="277" spans="4:6" outlineLevel="1" x14ac:dyDescent="0.15">
      <c r="D277" s="63">
        <f>EDATE(Ts_Start_Date,ROWS(D$252:D277))-1</f>
        <v>45930</v>
      </c>
      <c r="F277" s="107"/>
    </row>
    <row r="278" spans="4:6" outlineLevel="1" x14ac:dyDescent="0.15">
      <c r="D278" s="63">
        <f>EDATE(Ts_Start_Date,ROWS(D$252:D278))-1</f>
        <v>45961</v>
      </c>
      <c r="F278" s="107"/>
    </row>
    <row r="279" spans="4:6" outlineLevel="1" x14ac:dyDescent="0.15">
      <c r="D279" s="63">
        <f>EDATE(Ts_Start_Date,ROWS(D$252:D279))-1</f>
        <v>45991</v>
      </c>
      <c r="F279" s="107"/>
    </row>
    <row r="280" spans="4:6" outlineLevel="1" x14ac:dyDescent="0.15">
      <c r="D280" s="63">
        <f>EDATE(Ts_Start_Date,ROWS(D$252:D280))-1</f>
        <v>46022</v>
      </c>
      <c r="F280" s="107"/>
    </row>
    <row r="281" spans="4:6" outlineLevel="1" x14ac:dyDescent="0.15">
      <c r="D281" s="63">
        <f>EDATE(Ts_Start_Date,ROWS(D$252:D281))-1</f>
        <v>46053</v>
      </c>
      <c r="F281" s="107"/>
    </row>
    <row r="282" spans="4:6" outlineLevel="1" x14ac:dyDescent="0.15">
      <c r="D282" s="63">
        <f>EDATE(Ts_Start_Date,ROWS(D$252:D282))-1</f>
        <v>46081</v>
      </c>
      <c r="F282" s="107"/>
    </row>
    <row r="283" spans="4:6" outlineLevel="1" x14ac:dyDescent="0.15">
      <c r="D283" s="63">
        <f>EDATE(Ts_Start_Date,ROWS(D$252:D283))-1</f>
        <v>46112</v>
      </c>
      <c r="F283" s="107"/>
    </row>
    <row r="284" spans="4:6" outlineLevel="1" x14ac:dyDescent="0.15">
      <c r="D284" s="63">
        <f>EDATE(Ts_Start_Date,ROWS(D$252:D284))-1</f>
        <v>46142</v>
      </c>
      <c r="F284" s="107"/>
    </row>
    <row r="285" spans="4:6" outlineLevel="1" x14ac:dyDescent="0.15">
      <c r="D285" s="63">
        <f>EDATE(Ts_Start_Date,ROWS(D$252:D285))-1</f>
        <v>46173</v>
      </c>
      <c r="F285" s="107"/>
    </row>
    <row r="286" spans="4:6" outlineLevel="1" x14ac:dyDescent="0.15">
      <c r="D286" s="63">
        <f>EDATE(Ts_Start_Date,ROWS(D$252:D286))-1</f>
        <v>46203</v>
      </c>
      <c r="F286" s="107"/>
    </row>
    <row r="287" spans="4:6" outlineLevel="1" x14ac:dyDescent="0.15">
      <c r="D287" s="63">
        <f>EDATE(Ts_Start_Date,ROWS(D$252:D287))-1</f>
        <v>46234</v>
      </c>
      <c r="F287" s="107"/>
    </row>
    <row r="289" spans="1:6" s="1" customFormat="1" x14ac:dyDescent="0.15">
      <c r="A289"/>
      <c r="B289" s="1" t="s">
        <v>786</v>
      </c>
    </row>
    <row r="290" spans="1:6" outlineLevel="1" x14ac:dyDescent="0.15"/>
    <row r="291" spans="1:6" s="108" customFormat="1" outlineLevel="1" x14ac:dyDescent="0.15">
      <c r="A291"/>
      <c r="B291"/>
      <c r="C291" s="352" t="s">
        <v>784</v>
      </c>
      <c r="D291" s="352"/>
      <c r="E291" s="352"/>
      <c r="F291" s="108" t="s">
        <v>677</v>
      </c>
    </row>
    <row r="292" spans="1:6" outlineLevel="1" x14ac:dyDescent="0.15"/>
    <row r="293" spans="1:6" outlineLevel="1" x14ac:dyDescent="0.15">
      <c r="D293" s="163" t="s">
        <v>146</v>
      </c>
      <c r="F293" s="107" t="s">
        <v>787</v>
      </c>
    </row>
    <row r="294" spans="1:6" outlineLevel="1" x14ac:dyDescent="0.15">
      <c r="D294" s="63">
        <f>EDATE(Ts_Start_Date,ROWS(D$294:D294))-1</f>
        <v>45169</v>
      </c>
      <c r="F294" s="107"/>
    </row>
    <row r="295" spans="1:6" outlineLevel="1" x14ac:dyDescent="0.15">
      <c r="D295" s="63">
        <f>EDATE(Ts_Start_Date,ROWS(D$294:D295))-1</f>
        <v>45199</v>
      </c>
      <c r="F295" s="107"/>
    </row>
    <row r="296" spans="1:6" outlineLevel="1" x14ac:dyDescent="0.15">
      <c r="D296" s="63">
        <f>EDATE(Ts_Start_Date,ROWS(D$294:D296))-1</f>
        <v>45230</v>
      </c>
      <c r="F296" s="107"/>
    </row>
    <row r="297" spans="1:6" outlineLevel="1" x14ac:dyDescent="0.15">
      <c r="D297" s="63">
        <f>EDATE(Ts_Start_Date,ROWS(D$294:D297))-1</f>
        <v>45260</v>
      </c>
      <c r="F297" s="107"/>
    </row>
    <row r="298" spans="1:6" outlineLevel="1" x14ac:dyDescent="0.15">
      <c r="D298" s="63">
        <f>EDATE(Ts_Start_Date,ROWS(D$294:D298))-1</f>
        <v>45291</v>
      </c>
      <c r="F298" s="107"/>
    </row>
    <row r="299" spans="1:6" outlineLevel="1" x14ac:dyDescent="0.15">
      <c r="D299" s="63">
        <f>EDATE(Ts_Start_Date,ROWS(D$294:D299))-1</f>
        <v>45322</v>
      </c>
      <c r="F299" s="107"/>
    </row>
    <row r="300" spans="1:6" outlineLevel="1" x14ac:dyDescent="0.15">
      <c r="D300" s="63">
        <f>EDATE(Ts_Start_Date,ROWS(D$294:D300))-1</f>
        <v>45351</v>
      </c>
      <c r="F300" s="107"/>
    </row>
    <row r="301" spans="1:6" outlineLevel="1" x14ac:dyDescent="0.15">
      <c r="D301" s="63">
        <f>EDATE(Ts_Start_Date,ROWS(D$294:D301))-1</f>
        <v>45382</v>
      </c>
      <c r="F301" s="107"/>
    </row>
    <row r="302" spans="1:6" outlineLevel="1" x14ac:dyDescent="0.15">
      <c r="D302" s="63">
        <f>EDATE(Ts_Start_Date,ROWS(D$294:D302))-1</f>
        <v>45412</v>
      </c>
      <c r="F302" s="107"/>
    </row>
    <row r="303" spans="1:6" outlineLevel="1" x14ac:dyDescent="0.15">
      <c r="D303" s="63">
        <f>EDATE(Ts_Start_Date,ROWS(D$294:D303))-1</f>
        <v>45443</v>
      </c>
      <c r="F303" s="107"/>
    </row>
    <row r="304" spans="1:6" outlineLevel="1" x14ac:dyDescent="0.15">
      <c r="D304" s="63">
        <f>EDATE(Ts_Start_Date,ROWS(D$294:D304))-1</f>
        <v>45473</v>
      </c>
      <c r="F304" s="107"/>
    </row>
    <row r="305" spans="4:6" outlineLevel="1" x14ac:dyDescent="0.15">
      <c r="D305" s="63">
        <f>EDATE(Ts_Start_Date,ROWS(D$294:D305))-1</f>
        <v>45504</v>
      </c>
      <c r="F305" s="107"/>
    </row>
    <row r="306" spans="4:6" outlineLevel="1" x14ac:dyDescent="0.15">
      <c r="D306" s="63">
        <f>EDATE(Ts_Start_Date,ROWS(D$294:D306))-1</f>
        <v>45535</v>
      </c>
      <c r="F306" s="107"/>
    </row>
    <row r="307" spans="4:6" outlineLevel="1" x14ac:dyDescent="0.15">
      <c r="D307" s="63">
        <f>EDATE(Ts_Start_Date,ROWS(D$294:D307))-1</f>
        <v>45565</v>
      </c>
      <c r="F307" s="107"/>
    </row>
    <row r="308" spans="4:6" outlineLevel="1" x14ac:dyDescent="0.15">
      <c r="D308" s="63">
        <f>EDATE(Ts_Start_Date,ROWS(D$294:D308))-1</f>
        <v>45596</v>
      </c>
      <c r="F308" s="107"/>
    </row>
    <row r="309" spans="4:6" outlineLevel="1" x14ac:dyDescent="0.15">
      <c r="D309" s="63">
        <f>EDATE(Ts_Start_Date,ROWS(D$294:D309))-1</f>
        <v>45626</v>
      </c>
      <c r="F309" s="107"/>
    </row>
    <row r="310" spans="4:6" outlineLevel="1" x14ac:dyDescent="0.15">
      <c r="D310" s="63">
        <f>EDATE(Ts_Start_Date,ROWS(D$294:D310))-1</f>
        <v>45657</v>
      </c>
      <c r="F310" s="107"/>
    </row>
    <row r="311" spans="4:6" outlineLevel="1" x14ac:dyDescent="0.15">
      <c r="D311" s="63">
        <f>EDATE(Ts_Start_Date,ROWS(D$294:D311))-1</f>
        <v>45688</v>
      </c>
      <c r="F311" s="107"/>
    </row>
    <row r="312" spans="4:6" outlineLevel="1" x14ac:dyDescent="0.15">
      <c r="D312" s="63">
        <f>EDATE(Ts_Start_Date,ROWS(D$294:D312))-1</f>
        <v>45716</v>
      </c>
      <c r="F312" s="107"/>
    </row>
    <row r="313" spans="4:6" outlineLevel="1" x14ac:dyDescent="0.15">
      <c r="D313" s="63">
        <f>EDATE(Ts_Start_Date,ROWS(D$294:D313))-1</f>
        <v>45747</v>
      </c>
      <c r="F313" s="107"/>
    </row>
    <row r="314" spans="4:6" outlineLevel="1" x14ac:dyDescent="0.15">
      <c r="D314" s="63">
        <f>EDATE(Ts_Start_Date,ROWS(D$294:D314))-1</f>
        <v>45777</v>
      </c>
      <c r="F314" s="107"/>
    </row>
    <row r="315" spans="4:6" outlineLevel="1" x14ac:dyDescent="0.15">
      <c r="D315" s="63">
        <f>EDATE(Ts_Start_Date,ROWS(D$294:D315))-1</f>
        <v>45808</v>
      </c>
      <c r="F315" s="107"/>
    </row>
    <row r="316" spans="4:6" outlineLevel="1" x14ac:dyDescent="0.15">
      <c r="D316" s="63">
        <f>EDATE(Ts_Start_Date,ROWS(D$294:D316))-1</f>
        <v>45838</v>
      </c>
      <c r="F316" s="107"/>
    </row>
    <row r="317" spans="4:6" outlineLevel="1" x14ac:dyDescent="0.15">
      <c r="D317" s="63">
        <f>EDATE(Ts_Start_Date,ROWS(D$294:D317))-1</f>
        <v>45869</v>
      </c>
      <c r="F317" s="107"/>
    </row>
    <row r="318" spans="4:6" outlineLevel="1" x14ac:dyDescent="0.15">
      <c r="D318" s="63">
        <f>EDATE(Ts_Start_Date,ROWS(D$294:D318))-1</f>
        <v>45900</v>
      </c>
      <c r="F318" s="107"/>
    </row>
    <row r="319" spans="4:6" outlineLevel="1" x14ac:dyDescent="0.15">
      <c r="D319" s="63">
        <f>EDATE(Ts_Start_Date,ROWS(D$294:D319))-1</f>
        <v>45930</v>
      </c>
      <c r="F319" s="107"/>
    </row>
    <row r="320" spans="4:6" outlineLevel="1" x14ac:dyDescent="0.15">
      <c r="D320" s="63">
        <f>EDATE(Ts_Start_Date,ROWS(D$294:D320))-1</f>
        <v>45961</v>
      </c>
      <c r="F320" s="107"/>
    </row>
    <row r="321" spans="1:6" outlineLevel="1" x14ac:dyDescent="0.15">
      <c r="D321" s="63">
        <f>EDATE(Ts_Start_Date,ROWS(D$294:D321))-1</f>
        <v>45991</v>
      </c>
      <c r="F321" s="107"/>
    </row>
    <row r="322" spans="1:6" outlineLevel="1" x14ac:dyDescent="0.15">
      <c r="D322" s="63">
        <f>EDATE(Ts_Start_Date,ROWS(D$294:D322))-1</f>
        <v>46022</v>
      </c>
      <c r="F322" s="107"/>
    </row>
    <row r="323" spans="1:6" outlineLevel="1" x14ac:dyDescent="0.15">
      <c r="D323" s="63">
        <f>EDATE(Ts_Start_Date,ROWS(D$294:D323))-1</f>
        <v>46053</v>
      </c>
      <c r="F323" s="107"/>
    </row>
    <row r="324" spans="1:6" outlineLevel="1" x14ac:dyDescent="0.15">
      <c r="D324" s="63">
        <f>EDATE(Ts_Start_Date,ROWS(D$294:D324))-1</f>
        <v>46081</v>
      </c>
      <c r="F324" s="107"/>
    </row>
    <row r="325" spans="1:6" outlineLevel="1" x14ac:dyDescent="0.15">
      <c r="D325" s="63">
        <f>EDATE(Ts_Start_Date,ROWS(D$294:D325))-1</f>
        <v>46112</v>
      </c>
      <c r="F325" s="107"/>
    </row>
    <row r="326" spans="1:6" outlineLevel="1" x14ac:dyDescent="0.15">
      <c r="D326" s="63">
        <f>EDATE(Ts_Start_Date,ROWS(D$294:D326))-1</f>
        <v>46142</v>
      </c>
      <c r="F326" s="107"/>
    </row>
    <row r="327" spans="1:6" outlineLevel="1" x14ac:dyDescent="0.15">
      <c r="D327" s="63">
        <f>EDATE(Ts_Start_Date,ROWS(D$294:D327))-1</f>
        <v>46173</v>
      </c>
      <c r="F327" s="107"/>
    </row>
    <row r="328" spans="1:6" outlineLevel="1" x14ac:dyDescent="0.15">
      <c r="D328" s="63">
        <f>EDATE(Ts_Start_Date,ROWS(D$294:D328))-1</f>
        <v>46203</v>
      </c>
      <c r="F328" s="107"/>
    </row>
    <row r="329" spans="1:6" outlineLevel="1" x14ac:dyDescent="0.15">
      <c r="D329" s="63">
        <f>EDATE(Ts_Start_Date,ROWS(D$294:D329))-1</f>
        <v>46234</v>
      </c>
      <c r="F329" s="107"/>
    </row>
    <row r="331" spans="1:6" s="1" customFormat="1" x14ac:dyDescent="0.15">
      <c r="A331"/>
      <c r="B331" s="1" t="s">
        <v>788</v>
      </c>
    </row>
    <row r="332" spans="1:6" outlineLevel="1" x14ac:dyDescent="0.15"/>
    <row r="333" spans="1:6" s="108" customFormat="1" outlineLevel="1" x14ac:dyDescent="0.15">
      <c r="A333"/>
      <c r="B333"/>
      <c r="C333" s="352" t="s">
        <v>784</v>
      </c>
      <c r="D333" s="352"/>
      <c r="E333" s="352"/>
      <c r="F333" s="108" t="s">
        <v>677</v>
      </c>
    </row>
    <row r="334" spans="1:6" outlineLevel="1" x14ac:dyDescent="0.15"/>
    <row r="335" spans="1:6" outlineLevel="1" x14ac:dyDescent="0.15">
      <c r="D335" s="163" t="s">
        <v>146</v>
      </c>
      <c r="F335" s="107" t="s">
        <v>789</v>
      </c>
    </row>
    <row r="336" spans="1:6" outlineLevel="1" x14ac:dyDescent="0.15">
      <c r="D336" s="63">
        <f>EDATE(Ts_Start_Date,ROWS(D$336:D336))-1</f>
        <v>45169</v>
      </c>
      <c r="F336" s="107"/>
    </row>
    <row r="337" spans="4:6" outlineLevel="1" x14ac:dyDescent="0.15">
      <c r="D337" s="63">
        <f>EDATE(Ts_Start_Date,ROWS(D$336:D337))-1</f>
        <v>45199</v>
      </c>
      <c r="F337" s="107"/>
    </row>
    <row r="338" spans="4:6" outlineLevel="1" x14ac:dyDescent="0.15">
      <c r="D338" s="63">
        <f>EDATE(Ts_Start_Date,ROWS(D$336:D338))-1</f>
        <v>45230</v>
      </c>
      <c r="F338" s="107"/>
    </row>
    <row r="339" spans="4:6" outlineLevel="1" x14ac:dyDescent="0.15">
      <c r="D339" s="63">
        <f>EDATE(Ts_Start_Date,ROWS(D$336:D339))-1</f>
        <v>45260</v>
      </c>
      <c r="F339" s="107"/>
    </row>
    <row r="340" spans="4:6" outlineLevel="1" x14ac:dyDescent="0.15">
      <c r="D340" s="63">
        <f>EDATE(Ts_Start_Date,ROWS(D$336:D340))-1</f>
        <v>45291</v>
      </c>
      <c r="F340" s="107"/>
    </row>
    <row r="341" spans="4:6" outlineLevel="1" x14ac:dyDescent="0.15">
      <c r="D341" s="63">
        <f>EDATE(Ts_Start_Date,ROWS(D$336:D341))-1</f>
        <v>45322</v>
      </c>
      <c r="F341" s="107"/>
    </row>
    <row r="342" spans="4:6" outlineLevel="1" x14ac:dyDescent="0.15">
      <c r="D342" s="63">
        <f>EDATE(Ts_Start_Date,ROWS(D$336:D342))-1</f>
        <v>45351</v>
      </c>
      <c r="F342" s="107"/>
    </row>
    <row r="343" spans="4:6" outlineLevel="1" x14ac:dyDescent="0.15">
      <c r="D343" s="63">
        <f>EDATE(Ts_Start_Date,ROWS(D$336:D343))-1</f>
        <v>45382</v>
      </c>
      <c r="F343" s="107"/>
    </row>
    <row r="344" spans="4:6" outlineLevel="1" x14ac:dyDescent="0.15">
      <c r="D344" s="63">
        <f>EDATE(Ts_Start_Date,ROWS(D$336:D344))-1</f>
        <v>45412</v>
      </c>
      <c r="F344" s="107"/>
    </row>
    <row r="345" spans="4:6" outlineLevel="1" x14ac:dyDescent="0.15">
      <c r="D345" s="63">
        <f>EDATE(Ts_Start_Date,ROWS(D$336:D345))-1</f>
        <v>45443</v>
      </c>
      <c r="F345" s="107"/>
    </row>
    <row r="346" spans="4:6" outlineLevel="1" x14ac:dyDescent="0.15">
      <c r="D346" s="63">
        <f>EDATE(Ts_Start_Date,ROWS(D$336:D346))-1</f>
        <v>45473</v>
      </c>
      <c r="F346" s="107"/>
    </row>
    <row r="347" spans="4:6" outlineLevel="1" x14ac:dyDescent="0.15">
      <c r="D347" s="63">
        <f>EDATE(Ts_Start_Date,ROWS(D$336:D347))-1</f>
        <v>45504</v>
      </c>
      <c r="F347" s="107"/>
    </row>
    <row r="348" spans="4:6" outlineLevel="1" x14ac:dyDescent="0.15">
      <c r="D348" s="63">
        <f>EDATE(Ts_Start_Date,ROWS(D$336:D348))-1</f>
        <v>45535</v>
      </c>
      <c r="F348" s="107"/>
    </row>
    <row r="349" spans="4:6" outlineLevel="1" x14ac:dyDescent="0.15">
      <c r="D349" s="63">
        <f>EDATE(Ts_Start_Date,ROWS(D$336:D349))-1</f>
        <v>45565</v>
      </c>
      <c r="F349" s="107"/>
    </row>
    <row r="350" spans="4:6" outlineLevel="1" x14ac:dyDescent="0.15">
      <c r="D350" s="63">
        <f>EDATE(Ts_Start_Date,ROWS(D$336:D350))-1</f>
        <v>45596</v>
      </c>
      <c r="F350" s="107"/>
    </row>
    <row r="351" spans="4:6" outlineLevel="1" x14ac:dyDescent="0.15">
      <c r="D351" s="63">
        <f>EDATE(Ts_Start_Date,ROWS(D$336:D351))-1</f>
        <v>45626</v>
      </c>
      <c r="F351" s="107"/>
    </row>
    <row r="352" spans="4:6" outlineLevel="1" x14ac:dyDescent="0.15">
      <c r="D352" s="63">
        <f>EDATE(Ts_Start_Date,ROWS(D$336:D352))-1</f>
        <v>45657</v>
      </c>
      <c r="F352" s="107"/>
    </row>
    <row r="353" spans="4:6" outlineLevel="1" x14ac:dyDescent="0.15">
      <c r="D353" s="63">
        <f>EDATE(Ts_Start_Date,ROWS(D$336:D353))-1</f>
        <v>45688</v>
      </c>
      <c r="F353" s="107"/>
    </row>
    <row r="354" spans="4:6" outlineLevel="1" x14ac:dyDescent="0.15">
      <c r="D354" s="63">
        <f>EDATE(Ts_Start_Date,ROWS(D$336:D354))-1</f>
        <v>45716</v>
      </c>
      <c r="F354" s="107"/>
    </row>
    <row r="355" spans="4:6" outlineLevel="1" x14ac:dyDescent="0.15">
      <c r="D355" s="63">
        <f>EDATE(Ts_Start_Date,ROWS(D$336:D355))-1</f>
        <v>45747</v>
      </c>
      <c r="F355" s="107"/>
    </row>
    <row r="356" spans="4:6" outlineLevel="1" x14ac:dyDescent="0.15">
      <c r="D356" s="63">
        <f>EDATE(Ts_Start_Date,ROWS(D$336:D356))-1</f>
        <v>45777</v>
      </c>
      <c r="F356" s="107"/>
    </row>
    <row r="357" spans="4:6" outlineLevel="1" x14ac:dyDescent="0.15">
      <c r="D357" s="63">
        <f>EDATE(Ts_Start_Date,ROWS(D$336:D357))-1</f>
        <v>45808</v>
      </c>
      <c r="F357" s="107"/>
    </row>
    <row r="358" spans="4:6" outlineLevel="1" x14ac:dyDescent="0.15">
      <c r="D358" s="63">
        <f>EDATE(Ts_Start_Date,ROWS(D$336:D358))-1</f>
        <v>45838</v>
      </c>
      <c r="F358" s="107"/>
    </row>
    <row r="359" spans="4:6" outlineLevel="1" x14ac:dyDescent="0.15">
      <c r="D359" s="63">
        <f>EDATE(Ts_Start_Date,ROWS(D$336:D359))-1</f>
        <v>45869</v>
      </c>
      <c r="F359" s="107"/>
    </row>
    <row r="360" spans="4:6" outlineLevel="1" x14ac:dyDescent="0.15">
      <c r="D360" s="63">
        <f>EDATE(Ts_Start_Date,ROWS(D$336:D360))-1</f>
        <v>45900</v>
      </c>
      <c r="F360" s="107"/>
    </row>
    <row r="361" spans="4:6" outlineLevel="1" x14ac:dyDescent="0.15">
      <c r="D361" s="63">
        <f>EDATE(Ts_Start_Date,ROWS(D$336:D361))-1</f>
        <v>45930</v>
      </c>
      <c r="F361" s="107"/>
    </row>
    <row r="362" spans="4:6" outlineLevel="1" x14ac:dyDescent="0.15">
      <c r="D362" s="63">
        <f>EDATE(Ts_Start_Date,ROWS(D$336:D362))-1</f>
        <v>45961</v>
      </c>
      <c r="F362" s="107"/>
    </row>
    <row r="363" spans="4:6" outlineLevel="1" x14ac:dyDescent="0.15">
      <c r="D363" s="63">
        <f>EDATE(Ts_Start_Date,ROWS(D$336:D363))-1</f>
        <v>45991</v>
      </c>
      <c r="F363" s="107"/>
    </row>
    <row r="364" spans="4:6" outlineLevel="1" x14ac:dyDescent="0.15">
      <c r="D364" s="63">
        <f>EDATE(Ts_Start_Date,ROWS(D$336:D364))-1</f>
        <v>46022</v>
      </c>
      <c r="F364" s="107"/>
    </row>
    <row r="365" spans="4:6" outlineLevel="1" x14ac:dyDescent="0.15">
      <c r="D365" s="63">
        <f>EDATE(Ts_Start_Date,ROWS(D$336:D365))-1</f>
        <v>46053</v>
      </c>
      <c r="F365" s="107"/>
    </row>
    <row r="366" spans="4:6" outlineLevel="1" x14ac:dyDescent="0.15">
      <c r="D366" s="63">
        <f>EDATE(Ts_Start_Date,ROWS(D$336:D366))-1</f>
        <v>46081</v>
      </c>
      <c r="F366" s="107"/>
    </row>
    <row r="367" spans="4:6" outlineLevel="1" x14ac:dyDescent="0.15">
      <c r="D367" s="63">
        <f>EDATE(Ts_Start_Date,ROWS(D$336:D367))-1</f>
        <v>46112</v>
      </c>
      <c r="F367" s="107"/>
    </row>
    <row r="368" spans="4:6" outlineLevel="1" x14ac:dyDescent="0.15">
      <c r="D368" s="63">
        <f>EDATE(Ts_Start_Date,ROWS(D$336:D368))-1</f>
        <v>46142</v>
      </c>
      <c r="F368" s="107"/>
    </row>
    <row r="369" spans="1:6" outlineLevel="1" x14ac:dyDescent="0.15">
      <c r="D369" s="63">
        <f>EDATE(Ts_Start_Date,ROWS(D$336:D369))-1</f>
        <v>46173</v>
      </c>
      <c r="F369" s="107"/>
    </row>
    <row r="370" spans="1:6" outlineLevel="1" x14ac:dyDescent="0.15">
      <c r="D370" s="63">
        <f>EDATE(Ts_Start_Date,ROWS(D$336:D370))-1</f>
        <v>46203</v>
      </c>
      <c r="F370" s="107"/>
    </row>
    <row r="371" spans="1:6" outlineLevel="1" x14ac:dyDescent="0.15">
      <c r="D371" s="63">
        <f>EDATE(Ts_Start_Date,ROWS(D$336:D371))-1</f>
        <v>46234</v>
      </c>
      <c r="F371" s="107"/>
    </row>
    <row r="372" spans="1:6" outlineLevel="1" x14ac:dyDescent="0.15"/>
    <row r="373" spans="1:6" s="108" customFormat="1" outlineLevel="1" x14ac:dyDescent="0.15">
      <c r="A373"/>
      <c r="B373"/>
      <c r="C373" s="352" t="s">
        <v>707</v>
      </c>
      <c r="D373" s="352"/>
      <c r="E373" s="352"/>
      <c r="F373" s="108" t="s">
        <v>677</v>
      </c>
    </row>
    <row r="374" spans="1:6" outlineLevel="1" x14ac:dyDescent="0.15"/>
    <row r="375" spans="1:6" outlineLevel="1" x14ac:dyDescent="0.15">
      <c r="D375" s="163" t="s">
        <v>708</v>
      </c>
      <c r="F375" s="107" t="s">
        <v>790</v>
      </c>
    </row>
    <row r="376" spans="1:6" outlineLevel="1" x14ac:dyDescent="0.15">
      <c r="D376" s="39" t="str">
        <f>Scenarios!B21</f>
        <v>Base Case</v>
      </c>
      <c r="F376" s="107"/>
    </row>
    <row r="377" spans="1:6" outlineLevel="1" x14ac:dyDescent="0.15">
      <c r="D377" s="39" t="str">
        <f>Scenarios!B22</f>
        <v>Slower Growth</v>
      </c>
      <c r="F377" s="107"/>
    </row>
    <row r="378" spans="1:6" outlineLevel="1" x14ac:dyDescent="0.15">
      <c r="D378" s="39" t="str">
        <f>Scenarios!B23</f>
        <v>Faster Growth</v>
      </c>
      <c r="F378" s="107"/>
    </row>
    <row r="379" spans="1:6" outlineLevel="1" x14ac:dyDescent="0.15"/>
    <row r="380" spans="1:6" s="108" customFormat="1" outlineLevel="1" x14ac:dyDescent="0.15">
      <c r="A380"/>
      <c r="B380"/>
      <c r="C380" s="352" t="s">
        <v>280</v>
      </c>
      <c r="D380" s="352"/>
      <c r="E380" s="352"/>
      <c r="F380" s="108" t="s">
        <v>677</v>
      </c>
    </row>
    <row r="381" spans="1:6" outlineLevel="1" x14ac:dyDescent="0.15"/>
    <row r="382" spans="1:6" outlineLevel="1" x14ac:dyDescent="0.15">
      <c r="D382" s="163" t="s">
        <v>280</v>
      </c>
      <c r="F382" s="107" t="s">
        <v>791</v>
      </c>
    </row>
    <row r="383" spans="1:6" outlineLevel="1" x14ac:dyDescent="0.15">
      <c r="D383" s="39" t="s">
        <v>281</v>
      </c>
      <c r="F383" s="107" t="s">
        <v>792</v>
      </c>
    </row>
    <row r="384" spans="1:6" outlineLevel="1" x14ac:dyDescent="0.15">
      <c r="D384" s="39" t="s">
        <v>793</v>
      </c>
      <c r="F384" s="107" t="s">
        <v>794</v>
      </c>
    </row>
    <row r="385" spans="4:6" outlineLevel="1" x14ac:dyDescent="0.15">
      <c r="D385" s="39" t="s">
        <v>795</v>
      </c>
      <c r="F385" s="107" t="s">
        <v>796</v>
      </c>
    </row>
  </sheetData>
  <sheetProtection algorithmName="SHA-512" hashValue="gR0eQ7KELM+llc5RvDNCE2UoWmkeqBsZnVca8n5J9iKpGL6To5BNv+uP3N7hw2ZqxZfcwYTVXbhcfGjz7MxYcw==" saltValue="Zb6bYGSgw9RWhVKHpEIkpw==" spinCount="100000" sheet="1" objects="1" scenarios="1" formatColumns="0" formatRows="0"/>
  <mergeCells count="27">
    <mergeCell ref="C241:E241"/>
    <mergeCell ref="C189:E189"/>
    <mergeCell ref="C197:E197"/>
    <mergeCell ref="C203:E203"/>
    <mergeCell ref="C211:E211"/>
    <mergeCell ref="C225:E225"/>
    <mergeCell ref="C6:E6"/>
    <mergeCell ref="C41:E41"/>
    <mergeCell ref="C71:E71"/>
    <mergeCell ref="C79:E79"/>
    <mergeCell ref="C87:E87"/>
    <mergeCell ref="C291:E291"/>
    <mergeCell ref="C105:E105"/>
    <mergeCell ref="C333:E333"/>
    <mergeCell ref="C373:E373"/>
    <mergeCell ref="C380:E380"/>
    <mergeCell ref="C249:E249"/>
    <mergeCell ref="C114:E114"/>
    <mergeCell ref="C121:E121"/>
    <mergeCell ref="C128:E128"/>
    <mergeCell ref="C136:E136"/>
    <mergeCell ref="C143:E143"/>
    <mergeCell ref="C151:E151"/>
    <mergeCell ref="C157:E157"/>
    <mergeCell ref="C173:E173"/>
    <mergeCell ref="C163:E163"/>
    <mergeCell ref="C217:E217"/>
  </mergeCells>
  <hyperlinks>
    <hyperlink ref="A1" location="HL_Home" tooltip="Go to Table of Contents" display="HL_Home" xr:uid="{1F2271F1-BA7B-4831-90C5-DFC81125881F}"/>
    <hyperlink ref="A2" location="HL_Err_Chk" tooltip="Go to Error Checks" display="HL_Err_Chk" xr:uid="{80100317-D0B8-498A-84F5-74BFAAE4B075}"/>
  </hyperlinks>
  <pageMargins left="0.4" right="0.4" top="0.6" bottom="1" header="0" footer="0.3"/>
  <pageSetup scale="75" orientation="landscape" r:id="rId1"/>
  <headerFooter>
    <oddFooter>&amp;L&amp;F
&amp;A
Printed: &amp;T on &amp;D&amp;CPage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D341D-50C8-4BC5-B5CF-4AB8C76F9175}">
  <sheetPr codeName="Sheet17">
    <tabColor rgb="FFB14425"/>
    <pageSetUpPr autoPageBreaks="0" fitToPage="1"/>
  </sheetPr>
  <dimension ref="A1:DA68"/>
  <sheetViews>
    <sheetView showGridLines="0" topLeftCell="A6" workbookViewId="0">
      <pane ySplit="6" topLeftCell="A12" activePane="bottomLeft" state="frozenSplit"/>
      <selection activeCell="A6" sqref="A6"/>
      <selection pane="bottomLeft"/>
    </sheetView>
  </sheetViews>
  <sheetFormatPr baseColWidth="10" defaultColWidth="11.59765625" defaultRowHeight="12" outlineLevelRow="2" x14ac:dyDescent="0.15"/>
  <cols>
    <col min="1" max="1" width="2.59765625" style="51" customWidth="1"/>
    <col min="2" max="2" width="0.796875" style="51" customWidth="1"/>
    <col min="3" max="3" width="1.59765625" style="51" customWidth="1"/>
    <col min="4" max="4" width="0.19921875" style="51" customWidth="1"/>
    <col min="5" max="33" width="1.59765625" style="51" customWidth="1"/>
    <col min="34" max="34" width="0.19921875" style="51" customWidth="1"/>
    <col min="35" max="38" width="1.59765625" style="51" customWidth="1"/>
    <col min="39" max="39" width="0.19921875" style="51" customWidth="1"/>
    <col min="40" max="68" width="1.59765625" style="51" customWidth="1"/>
    <col min="69" max="69" width="0.19921875" style="51" customWidth="1"/>
    <col min="70" max="73" width="1.59765625" style="51" customWidth="1"/>
    <col min="74" max="74" width="0.19921875" style="51" customWidth="1"/>
    <col min="75" max="103" width="1.59765625" style="51" customWidth="1"/>
    <col min="104" max="104" width="0.19921875" style="51" customWidth="1"/>
    <col min="105" max="105" width="1.59765625" style="51" customWidth="1"/>
    <col min="106" max="16384" width="11.59765625" style="51"/>
  </cols>
  <sheetData>
    <row r="1" spans="1:105" ht="14" hidden="1" outlineLevel="2" x14ac:dyDescent="0.15">
      <c r="B1" s="53" t="s">
        <v>14</v>
      </c>
    </row>
    <row r="2" spans="1:105" ht="13" hidden="1" outlineLevel="2" x14ac:dyDescent="0.15">
      <c r="B2" s="113" t="s">
        <v>15</v>
      </c>
    </row>
    <row r="3" spans="1:105" ht="13" hidden="1" outlineLevel="2" x14ac:dyDescent="0.15">
      <c r="B3" s="52" t="str">
        <f ca="1">Model_Name</f>
        <v>Venue Planning Project (Alert in Inventory)</v>
      </c>
    </row>
    <row r="4" spans="1:105" ht="12" hidden="1" customHeight="1" outlineLevel="2" x14ac:dyDescent="0.15">
      <c r="B4" s="300" t="s">
        <v>16</v>
      </c>
      <c r="C4" s="300"/>
      <c r="D4" s="300"/>
      <c r="E4" s="300"/>
      <c r="F4" s="300"/>
      <c r="G4" s="300"/>
      <c r="H4" s="300"/>
      <c r="I4" s="300"/>
      <c r="J4" s="300"/>
      <c r="K4" s="300"/>
      <c r="L4" s="300"/>
      <c r="M4" s="300"/>
      <c r="N4" s="300"/>
      <c r="O4" s="300"/>
    </row>
    <row r="5" spans="1:105" hidden="1" outlineLevel="2" x14ac:dyDescent="0.15">
      <c r="B5" s="111" t="s">
        <v>17</v>
      </c>
      <c r="C5" s="112" t="s">
        <v>18</v>
      </c>
    </row>
    <row r="6" spans="1:105" ht="41.25" customHeight="1" collapsed="1" x14ac:dyDescent="0.15">
      <c r="A6" s="74" t="s">
        <v>19</v>
      </c>
      <c r="B6" s="7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326" t="s">
        <v>20</v>
      </c>
      <c r="BV6" s="326"/>
      <c r="BW6" s="326"/>
      <c r="BX6" s="326"/>
      <c r="BY6" s="326"/>
      <c r="BZ6" s="326"/>
      <c r="CA6" s="326"/>
      <c r="CB6" s="326"/>
      <c r="CC6" s="326"/>
      <c r="CD6" s="326"/>
      <c r="CE6" s="326"/>
      <c r="CF6" s="326"/>
      <c r="CG6" s="326" t="s">
        <v>21</v>
      </c>
      <c r="CH6" s="326"/>
      <c r="CI6" s="326"/>
      <c r="CJ6" s="326"/>
      <c r="CK6" s="326"/>
      <c r="CL6" s="326"/>
      <c r="CM6" s="326"/>
      <c r="CN6" s="326" t="s">
        <v>22</v>
      </c>
      <c r="CO6" s="326"/>
      <c r="CP6" s="326"/>
      <c r="CQ6" s="326"/>
      <c r="CR6" s="326"/>
      <c r="CS6" s="326"/>
      <c r="CT6" s="326"/>
      <c r="CU6" s="327" t="s">
        <v>23</v>
      </c>
      <c r="CV6" s="327"/>
      <c r="CW6" s="327"/>
      <c r="CX6" s="327"/>
      <c r="CY6" s="327"/>
      <c r="CZ6" s="327"/>
      <c r="DA6" s="327"/>
    </row>
    <row r="7" spans="1:105" ht="9" customHeight="1" x14ac:dyDescent="0.15"/>
    <row r="8" spans="1:105" ht="30" customHeight="1" x14ac:dyDescent="0.15">
      <c r="B8" s="115" t="s">
        <v>24</v>
      </c>
    </row>
    <row r="9" spans="1:105" ht="9" customHeight="1" x14ac:dyDescent="0.15"/>
    <row r="10" spans="1:105" ht="9" customHeight="1" x14ac:dyDescent="0.15">
      <c r="C10" s="116"/>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8"/>
      <c r="AL10" s="116"/>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8"/>
      <c r="BU10" s="116"/>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8"/>
    </row>
    <row r="11" spans="1:105" ht="9" customHeight="1" x14ac:dyDescent="0.15">
      <c r="C11" s="119"/>
      <c r="D11" s="324" t="s">
        <v>25</v>
      </c>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120"/>
      <c r="AL11" s="119"/>
      <c r="AM11" s="324" t="s">
        <v>26</v>
      </c>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120"/>
      <c r="BU11" s="119"/>
      <c r="BV11" s="324" t="s">
        <v>27</v>
      </c>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120"/>
    </row>
    <row r="12" spans="1:105" ht="9" customHeight="1" x14ac:dyDescent="0.15">
      <c r="C12" s="119"/>
      <c r="D12" s="324"/>
      <c r="E12" s="324"/>
      <c r="F12" s="324"/>
      <c r="G12" s="324"/>
      <c r="H12" s="324"/>
      <c r="I12" s="324"/>
      <c r="J12" s="324"/>
      <c r="K12" s="324"/>
      <c r="L12" s="324"/>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120"/>
      <c r="AL12" s="119"/>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120"/>
      <c r="BU12" s="119"/>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120"/>
    </row>
    <row r="13" spans="1:105" ht="9" customHeight="1" x14ac:dyDescent="0.15">
      <c r="C13" s="119"/>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120"/>
      <c r="AL13" s="119"/>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120"/>
      <c r="BU13" s="119"/>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120"/>
    </row>
    <row r="14" spans="1:105" ht="9" customHeight="1" x14ac:dyDescent="0.15">
      <c r="C14" s="119"/>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0"/>
      <c r="AL14" s="119"/>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0"/>
      <c r="BU14" s="119"/>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0"/>
    </row>
    <row r="15" spans="1:105" ht="9" customHeight="1" x14ac:dyDescent="0.15">
      <c r="C15" s="119"/>
      <c r="D15" s="121"/>
      <c r="E15" s="325" t="s">
        <v>28</v>
      </c>
      <c r="F15" s="325"/>
      <c r="G15" s="325"/>
      <c r="H15" s="325"/>
      <c r="I15" s="325"/>
      <c r="J15" s="325"/>
      <c r="K15" s="325"/>
      <c r="L15" s="325"/>
      <c r="M15" s="325"/>
      <c r="N15" s="325"/>
      <c r="O15" s="325"/>
      <c r="P15" s="325"/>
      <c r="Q15" s="325"/>
      <c r="R15" s="325"/>
      <c r="S15" s="325"/>
      <c r="T15" s="325"/>
      <c r="U15" s="325"/>
      <c r="V15" s="325"/>
      <c r="W15" s="325"/>
      <c r="X15" s="325"/>
      <c r="Y15" s="325"/>
      <c r="Z15" s="325"/>
      <c r="AA15" s="325"/>
      <c r="AB15" s="325"/>
      <c r="AC15" s="325"/>
      <c r="AD15" s="325"/>
      <c r="AE15" s="325"/>
      <c r="AF15" s="325"/>
      <c r="AG15" s="325"/>
      <c r="AH15" s="122"/>
      <c r="AI15" s="120"/>
      <c r="AL15" s="119"/>
      <c r="AM15" s="121"/>
      <c r="AN15" s="325" t="s">
        <v>29</v>
      </c>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121"/>
      <c r="BR15" s="120"/>
      <c r="BU15" s="119"/>
      <c r="BV15" s="121"/>
      <c r="BW15" s="325" t="s">
        <v>30</v>
      </c>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121"/>
      <c r="DA15" s="120"/>
    </row>
    <row r="16" spans="1:105" ht="9" customHeight="1" x14ac:dyDescent="0.15">
      <c r="C16" s="119"/>
      <c r="D16" s="123"/>
      <c r="E16" s="325"/>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122"/>
      <c r="AI16" s="120"/>
      <c r="AL16" s="119"/>
      <c r="AM16" s="121"/>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121"/>
      <c r="BR16" s="120"/>
      <c r="BU16" s="119"/>
      <c r="BV16" s="121"/>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121"/>
      <c r="DA16" s="120"/>
    </row>
    <row r="17" spans="3:105" ht="9" customHeight="1" x14ac:dyDescent="0.15">
      <c r="C17" s="119"/>
      <c r="D17" s="123"/>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122"/>
      <c r="AI17" s="120"/>
      <c r="AL17" s="119"/>
      <c r="AM17" s="121"/>
      <c r="AN17" s="325"/>
      <c r="AO17" s="325"/>
      <c r="AP17" s="325"/>
      <c r="AQ17" s="325"/>
      <c r="AR17" s="325"/>
      <c r="AS17" s="325"/>
      <c r="AT17" s="325"/>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121"/>
      <c r="BR17" s="120"/>
      <c r="BU17" s="119"/>
      <c r="BV17" s="121"/>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121"/>
      <c r="DA17" s="120"/>
    </row>
    <row r="18" spans="3:105" ht="9" customHeight="1" x14ac:dyDescent="0.15">
      <c r="C18" s="119"/>
      <c r="D18" s="123"/>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122"/>
      <c r="AI18" s="120"/>
      <c r="AL18" s="119"/>
      <c r="AM18" s="121"/>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121"/>
      <c r="BR18" s="120"/>
      <c r="BU18" s="119"/>
      <c r="BV18" s="121"/>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121"/>
      <c r="DA18" s="120"/>
    </row>
    <row r="19" spans="3:105" ht="9" customHeight="1" x14ac:dyDescent="0.15">
      <c r="C19" s="119"/>
      <c r="D19" s="123"/>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122"/>
      <c r="AI19" s="120"/>
      <c r="AL19" s="119"/>
      <c r="AM19" s="121"/>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121"/>
      <c r="BR19" s="120"/>
      <c r="BU19" s="119"/>
      <c r="BV19" s="121"/>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121"/>
      <c r="DA19" s="120"/>
    </row>
    <row r="20" spans="3:105" ht="9" customHeight="1" x14ac:dyDescent="0.15">
      <c r="C20" s="119"/>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0"/>
      <c r="AL20" s="119"/>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0"/>
      <c r="BU20" s="119"/>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0"/>
    </row>
    <row r="21" spans="3:105" ht="9" customHeight="1" x14ac:dyDescent="0.15">
      <c r="C21" s="119"/>
      <c r="D21" s="124"/>
      <c r="E21" s="125"/>
      <c r="F21" s="126"/>
      <c r="G21" s="309" t="s">
        <v>31</v>
      </c>
      <c r="H21" s="309"/>
      <c r="I21" s="309"/>
      <c r="J21" s="309"/>
      <c r="K21" s="309"/>
      <c r="L21" s="309"/>
      <c r="M21" s="310"/>
      <c r="N21" s="124"/>
      <c r="O21" s="125"/>
      <c r="P21" s="126"/>
      <c r="Q21" s="309" t="s">
        <v>32</v>
      </c>
      <c r="R21" s="309"/>
      <c r="S21" s="309"/>
      <c r="T21" s="309"/>
      <c r="U21" s="309"/>
      <c r="V21" s="309"/>
      <c r="W21" s="310"/>
      <c r="X21" s="124"/>
      <c r="Y21" s="124"/>
      <c r="Z21" s="124"/>
      <c r="AA21" s="124"/>
      <c r="AB21" s="124"/>
      <c r="AC21" s="124"/>
      <c r="AD21" s="124"/>
      <c r="AE21" s="124"/>
      <c r="AF21" s="124"/>
      <c r="AG21" s="124"/>
      <c r="AH21" s="124"/>
      <c r="AI21" s="120"/>
      <c r="AL21" s="119"/>
      <c r="AM21" s="121"/>
      <c r="AN21" s="125"/>
      <c r="AO21" s="126"/>
      <c r="AP21" s="309" t="s">
        <v>33</v>
      </c>
      <c r="AQ21" s="309"/>
      <c r="AR21" s="309"/>
      <c r="AS21" s="310"/>
      <c r="AT21" s="121"/>
      <c r="AU21" s="125"/>
      <c r="AV21" s="126"/>
      <c r="AW21" s="309" t="s">
        <v>34</v>
      </c>
      <c r="AX21" s="309"/>
      <c r="AY21" s="309"/>
      <c r="AZ21" s="309"/>
      <c r="BA21" s="309"/>
      <c r="BB21" s="309"/>
      <c r="BC21" s="309"/>
      <c r="BD21" s="309"/>
      <c r="BE21" s="309"/>
      <c r="BF21" s="309"/>
      <c r="BG21" s="309"/>
      <c r="BH21" s="309"/>
      <c r="BI21" s="309"/>
      <c r="BJ21" s="310"/>
      <c r="BK21" s="121"/>
      <c r="BL21" s="121"/>
      <c r="BM21" s="121"/>
      <c r="BN21" s="121"/>
      <c r="BO21" s="121"/>
      <c r="BP21" s="121"/>
      <c r="BQ21" s="121"/>
      <c r="BR21" s="120"/>
      <c r="BU21" s="119"/>
      <c r="BV21" s="121"/>
      <c r="BW21" s="125"/>
      <c r="BX21" s="126"/>
      <c r="BY21" s="309" t="s">
        <v>33</v>
      </c>
      <c r="BZ21" s="309"/>
      <c r="CA21" s="309"/>
      <c r="CB21" s="310"/>
      <c r="CC21" s="121"/>
      <c r="CD21" s="125"/>
      <c r="CE21" s="126"/>
      <c r="CF21" s="309" t="s">
        <v>35</v>
      </c>
      <c r="CG21" s="309"/>
      <c r="CH21" s="309"/>
      <c r="CI21" s="309"/>
      <c r="CJ21" s="309"/>
      <c r="CK21" s="309"/>
      <c r="CL21" s="309"/>
      <c r="CM21" s="310"/>
      <c r="CN21" s="121"/>
      <c r="CO21" s="121"/>
      <c r="CP21" s="121"/>
      <c r="CQ21" s="121"/>
      <c r="CR21" s="121"/>
      <c r="CS21" s="121"/>
      <c r="CT21" s="121"/>
      <c r="CU21" s="121"/>
      <c r="CV21" s="121"/>
      <c r="CW21" s="121"/>
      <c r="CX21" s="121"/>
      <c r="CY21" s="121"/>
      <c r="CZ21" s="121"/>
      <c r="DA21" s="120"/>
    </row>
    <row r="22" spans="3:105" ht="9" customHeight="1" x14ac:dyDescent="0.15">
      <c r="C22" s="119"/>
      <c r="D22" s="124"/>
      <c r="E22" s="127"/>
      <c r="F22" s="128"/>
      <c r="G22" s="311"/>
      <c r="H22" s="311"/>
      <c r="I22" s="311"/>
      <c r="J22" s="311"/>
      <c r="K22" s="311"/>
      <c r="L22" s="311"/>
      <c r="M22" s="312"/>
      <c r="N22" s="124"/>
      <c r="O22" s="127"/>
      <c r="P22" s="128"/>
      <c r="Q22" s="311"/>
      <c r="R22" s="311"/>
      <c r="S22" s="311"/>
      <c r="T22" s="311"/>
      <c r="U22" s="311"/>
      <c r="V22" s="311"/>
      <c r="W22" s="312"/>
      <c r="X22" s="124"/>
      <c r="Y22" s="124"/>
      <c r="Z22" s="124"/>
      <c r="AA22" s="124"/>
      <c r="AB22" s="124"/>
      <c r="AC22" s="124"/>
      <c r="AD22" s="124"/>
      <c r="AE22" s="124"/>
      <c r="AF22" s="124"/>
      <c r="AG22" s="124"/>
      <c r="AH22" s="124"/>
      <c r="AI22" s="120"/>
      <c r="AL22" s="119"/>
      <c r="AM22" s="121"/>
      <c r="AN22" s="127"/>
      <c r="AO22" s="128"/>
      <c r="AP22" s="311"/>
      <c r="AQ22" s="311"/>
      <c r="AR22" s="311"/>
      <c r="AS22" s="312"/>
      <c r="AT22" s="121"/>
      <c r="AU22" s="127"/>
      <c r="AV22" s="128"/>
      <c r="AW22" s="311"/>
      <c r="AX22" s="311"/>
      <c r="AY22" s="311"/>
      <c r="AZ22" s="311"/>
      <c r="BA22" s="311"/>
      <c r="BB22" s="311"/>
      <c r="BC22" s="311"/>
      <c r="BD22" s="311"/>
      <c r="BE22" s="311"/>
      <c r="BF22" s="311"/>
      <c r="BG22" s="311"/>
      <c r="BH22" s="311"/>
      <c r="BI22" s="311"/>
      <c r="BJ22" s="312"/>
      <c r="BK22" s="121"/>
      <c r="BL22" s="121"/>
      <c r="BM22" s="121"/>
      <c r="BN22" s="121"/>
      <c r="BO22" s="121"/>
      <c r="BP22" s="121"/>
      <c r="BQ22" s="121"/>
      <c r="BR22" s="120"/>
      <c r="BU22" s="119"/>
      <c r="BV22" s="121"/>
      <c r="BW22" s="127"/>
      <c r="BX22" s="128"/>
      <c r="BY22" s="311"/>
      <c r="BZ22" s="311"/>
      <c r="CA22" s="311"/>
      <c r="CB22" s="312"/>
      <c r="CC22" s="121"/>
      <c r="CD22" s="127"/>
      <c r="CE22" s="128"/>
      <c r="CF22" s="311"/>
      <c r="CG22" s="311"/>
      <c r="CH22" s="311"/>
      <c r="CI22" s="311"/>
      <c r="CJ22" s="311"/>
      <c r="CK22" s="311"/>
      <c r="CL22" s="311"/>
      <c r="CM22" s="312"/>
      <c r="CN22" s="121"/>
      <c r="CO22" s="121"/>
      <c r="CP22" s="121"/>
      <c r="CQ22" s="121"/>
      <c r="CR22" s="121"/>
      <c r="CS22" s="121"/>
      <c r="CT22" s="121"/>
      <c r="CU22" s="121"/>
      <c r="CV22" s="121"/>
      <c r="CW22" s="121"/>
      <c r="CX22" s="121"/>
      <c r="CY22" s="121"/>
      <c r="CZ22" s="121"/>
      <c r="DA22" s="120"/>
    </row>
    <row r="23" spans="3:105" ht="9" customHeight="1" x14ac:dyDescent="0.15">
      <c r="C23" s="119"/>
      <c r="D23" s="124"/>
      <c r="E23" s="129"/>
      <c r="F23" s="130"/>
      <c r="G23" s="313"/>
      <c r="H23" s="313"/>
      <c r="I23" s="313"/>
      <c r="J23" s="313"/>
      <c r="K23" s="313"/>
      <c r="L23" s="313"/>
      <c r="M23" s="314"/>
      <c r="N23" s="124"/>
      <c r="O23" s="129"/>
      <c r="P23" s="130"/>
      <c r="Q23" s="313"/>
      <c r="R23" s="313"/>
      <c r="S23" s="313"/>
      <c r="T23" s="313"/>
      <c r="U23" s="313"/>
      <c r="V23" s="313"/>
      <c r="W23" s="314"/>
      <c r="X23" s="124"/>
      <c r="Y23" s="124"/>
      <c r="Z23" s="124"/>
      <c r="AA23" s="124"/>
      <c r="AB23" s="124"/>
      <c r="AC23" s="124"/>
      <c r="AD23" s="124"/>
      <c r="AE23" s="124"/>
      <c r="AF23" s="124"/>
      <c r="AG23" s="124"/>
      <c r="AH23" s="124"/>
      <c r="AI23" s="120"/>
      <c r="AL23" s="119"/>
      <c r="AM23" s="121"/>
      <c r="AN23" s="129"/>
      <c r="AO23" s="130"/>
      <c r="AP23" s="313"/>
      <c r="AQ23" s="313"/>
      <c r="AR23" s="313"/>
      <c r="AS23" s="314"/>
      <c r="AT23" s="121"/>
      <c r="AU23" s="129"/>
      <c r="AV23" s="130"/>
      <c r="AW23" s="313"/>
      <c r="AX23" s="313"/>
      <c r="AY23" s="313"/>
      <c r="AZ23" s="313"/>
      <c r="BA23" s="313"/>
      <c r="BB23" s="313"/>
      <c r="BC23" s="313"/>
      <c r="BD23" s="313"/>
      <c r="BE23" s="313"/>
      <c r="BF23" s="313"/>
      <c r="BG23" s="313"/>
      <c r="BH23" s="313"/>
      <c r="BI23" s="313"/>
      <c r="BJ23" s="314"/>
      <c r="BK23" s="121"/>
      <c r="BL23" s="121"/>
      <c r="BM23" s="121"/>
      <c r="BN23" s="121"/>
      <c r="BO23" s="121"/>
      <c r="BP23" s="121"/>
      <c r="BQ23" s="121"/>
      <c r="BR23" s="120"/>
      <c r="BU23" s="119"/>
      <c r="BV23" s="121"/>
      <c r="BW23" s="129"/>
      <c r="BX23" s="130"/>
      <c r="BY23" s="313"/>
      <c r="BZ23" s="313"/>
      <c r="CA23" s="313"/>
      <c r="CB23" s="314"/>
      <c r="CC23" s="121"/>
      <c r="CD23" s="129"/>
      <c r="CE23" s="130"/>
      <c r="CF23" s="313"/>
      <c r="CG23" s="313"/>
      <c r="CH23" s="313"/>
      <c r="CI23" s="313"/>
      <c r="CJ23" s="313"/>
      <c r="CK23" s="313"/>
      <c r="CL23" s="313"/>
      <c r="CM23" s="314"/>
      <c r="CN23" s="121"/>
      <c r="CO23" s="121"/>
      <c r="CP23" s="121"/>
      <c r="CQ23" s="121"/>
      <c r="CR23" s="121"/>
      <c r="CS23" s="121"/>
      <c r="CT23" s="121"/>
      <c r="CU23" s="121"/>
      <c r="CV23" s="121"/>
      <c r="CW23" s="121"/>
      <c r="CX23" s="121"/>
      <c r="CY23" s="121"/>
      <c r="CZ23" s="121"/>
      <c r="DA23" s="120"/>
    </row>
    <row r="24" spans="3:105" ht="2" customHeight="1" x14ac:dyDescent="0.15">
      <c r="C24" s="119"/>
      <c r="D24" s="124"/>
      <c r="E24" s="124"/>
      <c r="F24" s="124"/>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0"/>
      <c r="AL24" s="119"/>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0"/>
      <c r="BU24" s="119"/>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0"/>
    </row>
    <row r="25" spans="3:105" ht="9" customHeight="1" x14ac:dyDescent="0.15">
      <c r="C25" s="131"/>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3"/>
      <c r="AL25" s="131"/>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3"/>
      <c r="BU25" s="131"/>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3"/>
    </row>
    <row r="26" spans="3:105" ht="9" customHeight="1" x14ac:dyDescent="0.15"/>
    <row r="27" spans="3:105" ht="9" customHeight="1" x14ac:dyDescent="0.15"/>
    <row r="28" spans="3:105" ht="9" customHeight="1" x14ac:dyDescent="0.15">
      <c r="C28" s="116"/>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8"/>
      <c r="AL28" s="116"/>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8"/>
      <c r="BU28" s="116"/>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8"/>
    </row>
    <row r="29" spans="3:105" ht="9" customHeight="1" x14ac:dyDescent="0.15">
      <c r="C29" s="119"/>
      <c r="D29" s="324" t="s">
        <v>36</v>
      </c>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120"/>
      <c r="AL29" s="119"/>
      <c r="AM29" s="324" t="s">
        <v>37</v>
      </c>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120"/>
      <c r="BU29" s="119"/>
      <c r="BV29" s="324" t="s">
        <v>38</v>
      </c>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120"/>
    </row>
    <row r="30" spans="3:105" ht="9" customHeight="1" x14ac:dyDescent="0.15">
      <c r="C30" s="119"/>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120"/>
      <c r="AL30" s="119"/>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120"/>
      <c r="BU30" s="119"/>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120"/>
    </row>
    <row r="31" spans="3:105" ht="9" customHeight="1" x14ac:dyDescent="0.15">
      <c r="C31" s="119"/>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120"/>
      <c r="AL31" s="119"/>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120"/>
      <c r="BU31" s="119"/>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120"/>
    </row>
    <row r="32" spans="3:105" ht="9" customHeight="1" x14ac:dyDescent="0.15">
      <c r="C32" s="119"/>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0"/>
      <c r="AL32" s="119"/>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0"/>
      <c r="BU32" s="119"/>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0"/>
    </row>
    <row r="33" spans="2:105" ht="9" customHeight="1" x14ac:dyDescent="0.15">
      <c r="C33" s="119"/>
      <c r="D33" s="121"/>
      <c r="E33" s="325" t="s">
        <v>39</v>
      </c>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121"/>
      <c r="AI33" s="120"/>
      <c r="AL33" s="119"/>
      <c r="AM33" s="121"/>
      <c r="AN33" s="325" t="s">
        <v>40</v>
      </c>
      <c r="AO33" s="325"/>
      <c r="AP33" s="325"/>
      <c r="AQ33" s="325"/>
      <c r="AR33" s="325"/>
      <c r="AS33" s="325"/>
      <c r="AT33" s="325"/>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121"/>
      <c r="BR33" s="120"/>
      <c r="BU33" s="119"/>
      <c r="BV33" s="121"/>
      <c r="BW33" s="325" t="s">
        <v>41</v>
      </c>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121"/>
      <c r="DA33" s="120"/>
    </row>
    <row r="34" spans="2:105" ht="9" customHeight="1" x14ac:dyDescent="0.15">
      <c r="C34" s="119"/>
      <c r="D34" s="121"/>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121"/>
      <c r="AI34" s="120"/>
      <c r="AL34" s="119"/>
      <c r="AM34" s="121"/>
      <c r="AN34" s="325"/>
      <c r="AO34" s="325"/>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121"/>
      <c r="BR34" s="120"/>
      <c r="BU34" s="119"/>
      <c r="BV34" s="121"/>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121"/>
      <c r="DA34" s="120"/>
    </row>
    <row r="35" spans="2:105" ht="9" customHeight="1" x14ac:dyDescent="0.15">
      <c r="C35" s="119"/>
      <c r="D35" s="121"/>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121"/>
      <c r="AI35" s="120"/>
      <c r="AL35" s="119"/>
      <c r="AM35" s="121"/>
      <c r="AN35" s="325"/>
      <c r="AO35" s="325"/>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121"/>
      <c r="BR35" s="120"/>
      <c r="BU35" s="119"/>
      <c r="BV35" s="121"/>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121"/>
      <c r="DA35" s="120"/>
    </row>
    <row r="36" spans="2:105" ht="9" customHeight="1" x14ac:dyDescent="0.15">
      <c r="C36" s="119"/>
      <c r="D36" s="121"/>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121"/>
      <c r="AI36" s="120"/>
      <c r="AL36" s="119"/>
      <c r="AM36" s="121"/>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121"/>
      <c r="BR36" s="120"/>
      <c r="BU36" s="119"/>
      <c r="BV36" s="121"/>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121"/>
      <c r="DA36" s="120"/>
    </row>
    <row r="37" spans="2:105" ht="9" customHeight="1" x14ac:dyDescent="0.15">
      <c r="C37" s="119"/>
      <c r="D37" s="121"/>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121"/>
      <c r="AI37" s="120"/>
      <c r="AL37" s="119"/>
      <c r="AM37" s="121"/>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121"/>
      <c r="BR37" s="120"/>
      <c r="BU37" s="119"/>
      <c r="BV37" s="121"/>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121"/>
      <c r="DA37" s="120"/>
    </row>
    <row r="38" spans="2:105" ht="9" customHeight="1" x14ac:dyDescent="0.15">
      <c r="C38" s="119"/>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0"/>
      <c r="AL38" s="119"/>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0"/>
      <c r="BU38" s="119"/>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0"/>
    </row>
    <row r="39" spans="2:105" ht="9" customHeight="1" x14ac:dyDescent="0.15">
      <c r="C39" s="119"/>
      <c r="D39" s="121"/>
      <c r="E39" s="125"/>
      <c r="F39" s="126"/>
      <c r="G39" s="309" t="s">
        <v>33</v>
      </c>
      <c r="H39" s="309"/>
      <c r="I39" s="309"/>
      <c r="J39" s="310"/>
      <c r="K39" s="121"/>
      <c r="L39" s="315" t="s">
        <v>42</v>
      </c>
      <c r="M39" s="316"/>
      <c r="N39" s="316"/>
      <c r="O39" s="316"/>
      <c r="P39" s="316"/>
      <c r="Q39" s="316"/>
      <c r="R39" s="316"/>
      <c r="S39" s="316"/>
      <c r="T39" s="316"/>
      <c r="U39" s="316"/>
      <c r="V39" s="316"/>
      <c r="W39" s="316"/>
      <c r="X39" s="316"/>
      <c r="Y39" s="317"/>
      <c r="Z39" s="121"/>
      <c r="AA39" s="121"/>
      <c r="AB39" s="121"/>
      <c r="AC39" s="121"/>
      <c r="AD39" s="121"/>
      <c r="AE39" s="121"/>
      <c r="AF39" s="121"/>
      <c r="AG39" s="121"/>
      <c r="AH39" s="121"/>
      <c r="AI39" s="120"/>
      <c r="AL39" s="119"/>
      <c r="AM39" s="121"/>
      <c r="AN39" s="125"/>
      <c r="AO39" s="126"/>
      <c r="AP39" s="309" t="s">
        <v>33</v>
      </c>
      <c r="AQ39" s="309"/>
      <c r="AR39" s="309"/>
      <c r="AS39" s="310"/>
      <c r="AT39" s="121"/>
      <c r="AU39" s="125"/>
      <c r="AV39" s="126"/>
      <c r="AW39" s="309" t="s">
        <v>43</v>
      </c>
      <c r="AX39" s="309"/>
      <c r="AY39" s="309"/>
      <c r="AZ39" s="309"/>
      <c r="BA39" s="309"/>
      <c r="BB39" s="309"/>
      <c r="BC39" s="309"/>
      <c r="BD39" s="309"/>
      <c r="BE39" s="309"/>
      <c r="BF39" s="309"/>
      <c r="BG39" s="309"/>
      <c r="BH39" s="310"/>
      <c r="BI39" s="121"/>
      <c r="BJ39" s="121"/>
      <c r="BK39" s="121"/>
      <c r="BL39" s="121"/>
      <c r="BM39" s="121"/>
      <c r="BN39" s="121"/>
      <c r="BO39" s="121"/>
      <c r="BP39" s="121"/>
      <c r="BQ39" s="121"/>
      <c r="BR39" s="120"/>
      <c r="BU39" s="119"/>
      <c r="BV39" s="121"/>
      <c r="BW39" s="125"/>
      <c r="BX39" s="126"/>
      <c r="BY39" s="309" t="s">
        <v>33</v>
      </c>
      <c r="BZ39" s="309"/>
      <c r="CA39" s="309"/>
      <c r="CB39" s="310"/>
      <c r="CC39" s="121"/>
      <c r="CD39" s="315" t="s">
        <v>44</v>
      </c>
      <c r="CE39" s="316"/>
      <c r="CF39" s="316"/>
      <c r="CG39" s="316"/>
      <c r="CH39" s="316"/>
      <c r="CI39" s="316"/>
      <c r="CJ39" s="316"/>
      <c r="CK39" s="316"/>
      <c r="CL39" s="316"/>
      <c r="CM39" s="316"/>
      <c r="CN39" s="317"/>
      <c r="CO39" s="121"/>
      <c r="CP39" s="121"/>
      <c r="CQ39" s="121"/>
      <c r="CR39" s="121"/>
      <c r="CS39" s="121"/>
      <c r="CT39" s="121"/>
      <c r="CU39" s="121"/>
      <c r="CV39" s="121"/>
      <c r="CW39" s="121"/>
      <c r="CX39" s="121"/>
      <c r="CY39" s="121"/>
      <c r="CZ39" s="121"/>
      <c r="DA39" s="120"/>
    </row>
    <row r="40" spans="2:105" ht="9" customHeight="1" x14ac:dyDescent="0.15">
      <c r="C40" s="119"/>
      <c r="D40" s="121"/>
      <c r="E40" s="127"/>
      <c r="F40" s="128"/>
      <c r="G40" s="311"/>
      <c r="H40" s="311"/>
      <c r="I40" s="311"/>
      <c r="J40" s="312"/>
      <c r="K40" s="121"/>
      <c r="L40" s="318"/>
      <c r="M40" s="319"/>
      <c r="N40" s="319"/>
      <c r="O40" s="319"/>
      <c r="P40" s="319"/>
      <c r="Q40" s="319"/>
      <c r="R40" s="319"/>
      <c r="S40" s="319"/>
      <c r="T40" s="319"/>
      <c r="U40" s="319"/>
      <c r="V40" s="319"/>
      <c r="W40" s="319"/>
      <c r="X40" s="319"/>
      <c r="Y40" s="320"/>
      <c r="Z40" s="121"/>
      <c r="AA40" s="121"/>
      <c r="AB40" s="121"/>
      <c r="AC40" s="121"/>
      <c r="AD40" s="121"/>
      <c r="AE40" s="121"/>
      <c r="AF40" s="121"/>
      <c r="AG40" s="121"/>
      <c r="AH40" s="121"/>
      <c r="AI40" s="120"/>
      <c r="AL40" s="119"/>
      <c r="AM40" s="121"/>
      <c r="AN40" s="127"/>
      <c r="AO40" s="128"/>
      <c r="AP40" s="311"/>
      <c r="AQ40" s="311"/>
      <c r="AR40" s="311"/>
      <c r="AS40" s="312"/>
      <c r="AT40" s="121"/>
      <c r="AU40" s="127"/>
      <c r="AV40" s="128"/>
      <c r="AW40" s="311"/>
      <c r="AX40" s="311"/>
      <c r="AY40" s="311"/>
      <c r="AZ40" s="311"/>
      <c r="BA40" s="311"/>
      <c r="BB40" s="311"/>
      <c r="BC40" s="311"/>
      <c r="BD40" s="311"/>
      <c r="BE40" s="311"/>
      <c r="BF40" s="311"/>
      <c r="BG40" s="311"/>
      <c r="BH40" s="312"/>
      <c r="BI40" s="121"/>
      <c r="BJ40" s="121"/>
      <c r="BK40" s="121"/>
      <c r="BL40" s="121"/>
      <c r="BM40" s="121"/>
      <c r="BN40" s="121"/>
      <c r="BO40" s="121"/>
      <c r="BP40" s="121"/>
      <c r="BQ40" s="121"/>
      <c r="BR40" s="120"/>
      <c r="BU40" s="119"/>
      <c r="BV40" s="121"/>
      <c r="BW40" s="127"/>
      <c r="BX40" s="128"/>
      <c r="BY40" s="311"/>
      <c r="BZ40" s="311"/>
      <c r="CA40" s="311"/>
      <c r="CB40" s="312"/>
      <c r="CC40" s="121"/>
      <c r="CD40" s="318"/>
      <c r="CE40" s="319"/>
      <c r="CF40" s="319"/>
      <c r="CG40" s="319"/>
      <c r="CH40" s="319"/>
      <c r="CI40" s="319"/>
      <c r="CJ40" s="319"/>
      <c r="CK40" s="319"/>
      <c r="CL40" s="319"/>
      <c r="CM40" s="319"/>
      <c r="CN40" s="320"/>
      <c r="CO40" s="121"/>
      <c r="CP40" s="121"/>
      <c r="CQ40" s="121"/>
      <c r="CR40" s="121"/>
      <c r="CS40" s="121"/>
      <c r="CT40" s="121"/>
      <c r="CU40" s="121"/>
      <c r="CV40" s="121"/>
      <c r="CW40" s="121"/>
      <c r="CX40" s="121"/>
      <c r="CY40" s="121"/>
      <c r="CZ40" s="121"/>
      <c r="DA40" s="120"/>
    </row>
    <row r="41" spans="2:105" ht="9" customHeight="1" x14ac:dyDescent="0.15">
      <c r="C41" s="119"/>
      <c r="D41" s="121"/>
      <c r="E41" s="129"/>
      <c r="F41" s="130"/>
      <c r="G41" s="313"/>
      <c r="H41" s="313"/>
      <c r="I41" s="313"/>
      <c r="J41" s="314"/>
      <c r="K41" s="121"/>
      <c r="L41" s="321"/>
      <c r="M41" s="322"/>
      <c r="N41" s="322"/>
      <c r="O41" s="322"/>
      <c r="P41" s="322"/>
      <c r="Q41" s="322"/>
      <c r="R41" s="322"/>
      <c r="S41" s="322"/>
      <c r="T41" s="322"/>
      <c r="U41" s="322"/>
      <c r="V41" s="322"/>
      <c r="W41" s="322"/>
      <c r="X41" s="322"/>
      <c r="Y41" s="323"/>
      <c r="Z41" s="121"/>
      <c r="AA41" s="121"/>
      <c r="AB41" s="121"/>
      <c r="AC41" s="121"/>
      <c r="AD41" s="121"/>
      <c r="AE41" s="121"/>
      <c r="AF41" s="121"/>
      <c r="AG41" s="121"/>
      <c r="AH41" s="121"/>
      <c r="AI41" s="120"/>
      <c r="AL41" s="119"/>
      <c r="AM41" s="121"/>
      <c r="AN41" s="129"/>
      <c r="AO41" s="130"/>
      <c r="AP41" s="313"/>
      <c r="AQ41" s="313"/>
      <c r="AR41" s="313"/>
      <c r="AS41" s="314"/>
      <c r="AT41" s="121"/>
      <c r="AU41" s="129"/>
      <c r="AV41" s="130"/>
      <c r="AW41" s="313"/>
      <c r="AX41" s="313"/>
      <c r="AY41" s="313"/>
      <c r="AZ41" s="313"/>
      <c r="BA41" s="313"/>
      <c r="BB41" s="313"/>
      <c r="BC41" s="313"/>
      <c r="BD41" s="313"/>
      <c r="BE41" s="313"/>
      <c r="BF41" s="313"/>
      <c r="BG41" s="313"/>
      <c r="BH41" s="314"/>
      <c r="BI41" s="121"/>
      <c r="BJ41" s="121"/>
      <c r="BK41" s="121"/>
      <c r="BL41" s="121"/>
      <c r="BM41" s="121"/>
      <c r="BN41" s="121"/>
      <c r="BO41" s="121"/>
      <c r="BP41" s="121"/>
      <c r="BQ41" s="121"/>
      <c r="BR41" s="120"/>
      <c r="BU41" s="119"/>
      <c r="BV41" s="121"/>
      <c r="BW41" s="129"/>
      <c r="BX41" s="130"/>
      <c r="BY41" s="313"/>
      <c r="BZ41" s="313"/>
      <c r="CA41" s="313"/>
      <c r="CB41" s="314"/>
      <c r="CC41" s="121"/>
      <c r="CD41" s="321"/>
      <c r="CE41" s="322"/>
      <c r="CF41" s="322"/>
      <c r="CG41" s="322"/>
      <c r="CH41" s="322"/>
      <c r="CI41" s="322"/>
      <c r="CJ41" s="322"/>
      <c r="CK41" s="322"/>
      <c r="CL41" s="322"/>
      <c r="CM41" s="322"/>
      <c r="CN41" s="323"/>
      <c r="CO41" s="121"/>
      <c r="CP41" s="121"/>
      <c r="CQ41" s="121"/>
      <c r="CR41" s="121"/>
      <c r="CS41" s="121"/>
      <c r="CT41" s="121"/>
      <c r="CU41" s="121"/>
      <c r="CV41" s="121"/>
      <c r="CW41" s="121"/>
      <c r="CX41" s="121"/>
      <c r="CY41" s="121"/>
      <c r="CZ41" s="121"/>
      <c r="DA41" s="120"/>
    </row>
    <row r="42" spans="2:105" ht="2" customHeight="1" x14ac:dyDescent="0.15">
      <c r="C42" s="119"/>
      <c r="D42" s="124"/>
      <c r="E42" s="124"/>
      <c r="F42" s="124"/>
      <c r="G42" s="124"/>
      <c r="H42" s="124"/>
      <c r="I42" s="124"/>
      <c r="J42" s="124"/>
      <c r="K42" s="124"/>
      <c r="L42" s="124"/>
      <c r="M42" s="124"/>
      <c r="N42" s="124"/>
      <c r="O42" s="124"/>
      <c r="P42" s="124"/>
      <c r="Q42" s="124"/>
      <c r="R42" s="124"/>
      <c r="S42" s="124"/>
      <c r="T42" s="124"/>
      <c r="U42" s="124"/>
      <c r="V42" s="124"/>
      <c r="W42" s="124"/>
      <c r="X42" s="121"/>
      <c r="Y42" s="121"/>
      <c r="Z42" s="121"/>
      <c r="AA42" s="121"/>
      <c r="AB42" s="121"/>
      <c r="AC42" s="121"/>
      <c r="AD42" s="121"/>
      <c r="AE42" s="121"/>
      <c r="AF42" s="121"/>
      <c r="AG42" s="124"/>
      <c r="AH42" s="124"/>
      <c r="AI42" s="120"/>
      <c r="AL42" s="119"/>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0"/>
      <c r="BU42" s="119"/>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0"/>
    </row>
    <row r="43" spans="2:105" ht="9" customHeight="1" x14ac:dyDescent="0.15">
      <c r="C43" s="131"/>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3"/>
      <c r="AL43" s="131"/>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3"/>
      <c r="BU43" s="131"/>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3"/>
    </row>
    <row r="44" spans="2:105" ht="9" customHeight="1" x14ac:dyDescent="0.15"/>
    <row r="45" spans="2:105" ht="9" customHeight="1" x14ac:dyDescent="0.15">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row>
    <row r="46" spans="2:105" ht="9" customHeight="1" x14ac:dyDescent="0.15"/>
    <row r="47" spans="2:105" ht="30" customHeight="1" x14ac:dyDescent="0.15">
      <c r="B47" s="115" t="s">
        <v>45</v>
      </c>
    </row>
    <row r="48" spans="2:105" ht="9" customHeight="1" x14ac:dyDescent="0.15"/>
    <row r="49" spans="3:105" ht="9" customHeight="1" x14ac:dyDescent="0.15">
      <c r="C49" s="134"/>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6"/>
      <c r="AL49" s="134"/>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6"/>
      <c r="BU49" s="134"/>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c r="DA49" s="136"/>
    </row>
    <row r="50" spans="3:105" ht="9" customHeight="1" x14ac:dyDescent="0.15">
      <c r="C50" s="137"/>
      <c r="D50" s="307" t="s">
        <v>46</v>
      </c>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138"/>
      <c r="AL50" s="137"/>
      <c r="AM50" s="307" t="s">
        <v>22</v>
      </c>
      <c r="AN50" s="307"/>
      <c r="AO50" s="307"/>
      <c r="AP50" s="307"/>
      <c r="AQ50" s="307"/>
      <c r="AR50" s="307"/>
      <c r="AS50" s="307"/>
      <c r="AT50" s="307"/>
      <c r="AU50" s="307"/>
      <c r="AV50" s="307"/>
      <c r="AW50" s="307"/>
      <c r="AX50" s="307"/>
      <c r="AY50" s="307"/>
      <c r="AZ50" s="307"/>
      <c r="BA50" s="307"/>
      <c r="BB50" s="307"/>
      <c r="BC50" s="307"/>
      <c r="BD50" s="307"/>
      <c r="BE50" s="307"/>
      <c r="BF50" s="307"/>
      <c r="BG50" s="307"/>
      <c r="BH50" s="307"/>
      <c r="BI50" s="307"/>
      <c r="BJ50" s="307"/>
      <c r="BK50" s="307"/>
      <c r="BL50" s="307"/>
      <c r="BM50" s="307"/>
      <c r="BN50" s="307"/>
      <c r="BO50" s="307"/>
      <c r="BP50" s="307"/>
      <c r="BQ50" s="307"/>
      <c r="BR50" s="138"/>
      <c r="BU50" s="137"/>
      <c r="BV50" s="307" t="s">
        <v>21</v>
      </c>
      <c r="BW50" s="307"/>
      <c r="BX50" s="307"/>
      <c r="BY50" s="307"/>
      <c r="BZ50" s="307"/>
      <c r="CA50" s="307"/>
      <c r="CB50" s="307"/>
      <c r="CC50" s="307"/>
      <c r="CD50" s="307"/>
      <c r="CE50" s="307"/>
      <c r="CF50" s="307"/>
      <c r="CG50" s="307"/>
      <c r="CH50" s="307"/>
      <c r="CI50" s="307"/>
      <c r="CJ50" s="307"/>
      <c r="CK50" s="307"/>
      <c r="CL50" s="307"/>
      <c r="CM50" s="307"/>
      <c r="CN50" s="307"/>
      <c r="CO50" s="307"/>
      <c r="CP50" s="307"/>
      <c r="CQ50" s="307"/>
      <c r="CR50" s="307"/>
      <c r="CS50" s="307"/>
      <c r="CT50" s="307"/>
      <c r="CU50" s="307"/>
      <c r="CV50" s="307"/>
      <c r="CW50" s="307"/>
      <c r="CX50" s="307"/>
      <c r="CY50" s="307"/>
      <c r="CZ50" s="307"/>
      <c r="DA50" s="138"/>
    </row>
    <row r="51" spans="3:105" ht="9" customHeight="1" x14ac:dyDescent="0.15">
      <c r="C51" s="13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138"/>
      <c r="AL51" s="137"/>
      <c r="AM51" s="307"/>
      <c r="AN51" s="307"/>
      <c r="AO51" s="307"/>
      <c r="AP51" s="307"/>
      <c r="AQ51" s="307"/>
      <c r="AR51" s="307"/>
      <c r="AS51" s="307"/>
      <c r="AT51" s="307"/>
      <c r="AU51" s="307"/>
      <c r="AV51" s="307"/>
      <c r="AW51" s="307"/>
      <c r="AX51" s="307"/>
      <c r="AY51" s="307"/>
      <c r="AZ51" s="307"/>
      <c r="BA51" s="307"/>
      <c r="BB51" s="307"/>
      <c r="BC51" s="307"/>
      <c r="BD51" s="307"/>
      <c r="BE51" s="307"/>
      <c r="BF51" s="307"/>
      <c r="BG51" s="307"/>
      <c r="BH51" s="307"/>
      <c r="BI51" s="307"/>
      <c r="BJ51" s="307"/>
      <c r="BK51" s="307"/>
      <c r="BL51" s="307"/>
      <c r="BM51" s="307"/>
      <c r="BN51" s="307"/>
      <c r="BO51" s="307"/>
      <c r="BP51" s="307"/>
      <c r="BQ51" s="307"/>
      <c r="BR51" s="138"/>
      <c r="BU51" s="137"/>
      <c r="BV51" s="307"/>
      <c r="BW51" s="307"/>
      <c r="BX51" s="307"/>
      <c r="BY51" s="307"/>
      <c r="BZ51" s="307"/>
      <c r="CA51" s="307"/>
      <c r="CB51" s="307"/>
      <c r="CC51" s="307"/>
      <c r="CD51" s="307"/>
      <c r="CE51" s="307"/>
      <c r="CF51" s="307"/>
      <c r="CG51" s="307"/>
      <c r="CH51" s="307"/>
      <c r="CI51" s="307"/>
      <c r="CJ51" s="307"/>
      <c r="CK51" s="307"/>
      <c r="CL51" s="307"/>
      <c r="CM51" s="307"/>
      <c r="CN51" s="307"/>
      <c r="CO51" s="307"/>
      <c r="CP51" s="307"/>
      <c r="CQ51" s="307"/>
      <c r="CR51" s="307"/>
      <c r="CS51" s="307"/>
      <c r="CT51" s="307"/>
      <c r="CU51" s="307"/>
      <c r="CV51" s="307"/>
      <c r="CW51" s="307"/>
      <c r="CX51" s="307"/>
      <c r="CY51" s="307"/>
      <c r="CZ51" s="307"/>
      <c r="DA51" s="138"/>
    </row>
    <row r="52" spans="3:105" ht="9" customHeight="1" x14ac:dyDescent="0.15">
      <c r="C52" s="13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138"/>
      <c r="AL52" s="137"/>
      <c r="AM52" s="307"/>
      <c r="AN52" s="307"/>
      <c r="AO52" s="307"/>
      <c r="AP52" s="307"/>
      <c r="AQ52" s="307"/>
      <c r="AR52" s="307"/>
      <c r="AS52" s="307"/>
      <c r="AT52" s="307"/>
      <c r="AU52" s="307"/>
      <c r="AV52" s="307"/>
      <c r="AW52" s="307"/>
      <c r="AX52" s="307"/>
      <c r="AY52" s="307"/>
      <c r="AZ52" s="307"/>
      <c r="BA52" s="307"/>
      <c r="BB52" s="307"/>
      <c r="BC52" s="307"/>
      <c r="BD52" s="307"/>
      <c r="BE52" s="307"/>
      <c r="BF52" s="307"/>
      <c r="BG52" s="307"/>
      <c r="BH52" s="307"/>
      <c r="BI52" s="307"/>
      <c r="BJ52" s="307"/>
      <c r="BK52" s="307"/>
      <c r="BL52" s="307"/>
      <c r="BM52" s="307"/>
      <c r="BN52" s="307"/>
      <c r="BO52" s="307"/>
      <c r="BP52" s="307"/>
      <c r="BQ52" s="307"/>
      <c r="BR52" s="138"/>
      <c r="BU52" s="137"/>
      <c r="BV52" s="307"/>
      <c r="BW52" s="307"/>
      <c r="BX52" s="307"/>
      <c r="BY52" s="307"/>
      <c r="BZ52" s="307"/>
      <c r="CA52" s="307"/>
      <c r="CB52" s="307"/>
      <c r="CC52" s="307"/>
      <c r="CD52" s="307"/>
      <c r="CE52" s="307"/>
      <c r="CF52" s="307"/>
      <c r="CG52" s="307"/>
      <c r="CH52" s="307"/>
      <c r="CI52" s="307"/>
      <c r="CJ52" s="307"/>
      <c r="CK52" s="307"/>
      <c r="CL52" s="307"/>
      <c r="CM52" s="307"/>
      <c r="CN52" s="307"/>
      <c r="CO52" s="307"/>
      <c r="CP52" s="307"/>
      <c r="CQ52" s="307"/>
      <c r="CR52" s="307"/>
      <c r="CS52" s="307"/>
      <c r="CT52" s="307"/>
      <c r="CU52" s="307"/>
      <c r="CV52" s="307"/>
      <c r="CW52" s="307"/>
      <c r="CX52" s="307"/>
      <c r="CY52" s="307"/>
      <c r="CZ52" s="307"/>
      <c r="DA52" s="138"/>
    </row>
    <row r="53" spans="3:105" ht="9" customHeight="1" x14ac:dyDescent="0.15">
      <c r="C53" s="137"/>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8"/>
      <c r="AL53" s="137"/>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8"/>
      <c r="BU53" s="137"/>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8"/>
    </row>
    <row r="54" spans="3:105" ht="9" customHeight="1" x14ac:dyDescent="0.15">
      <c r="C54" s="137"/>
      <c r="D54" s="139"/>
      <c r="E54" s="308" t="s">
        <v>47</v>
      </c>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139"/>
      <c r="AI54" s="138"/>
      <c r="AL54" s="137"/>
      <c r="AM54" s="139"/>
      <c r="AN54" s="308" t="s">
        <v>48</v>
      </c>
      <c r="AO54" s="308"/>
      <c r="AP54" s="308"/>
      <c r="AQ54" s="308"/>
      <c r="AR54" s="308"/>
      <c r="AS54" s="308"/>
      <c r="AT54" s="308"/>
      <c r="AU54" s="308"/>
      <c r="AV54" s="308"/>
      <c r="AW54" s="308"/>
      <c r="AX54" s="308"/>
      <c r="AY54" s="308"/>
      <c r="AZ54" s="308"/>
      <c r="BA54" s="308"/>
      <c r="BB54" s="308"/>
      <c r="BC54" s="308"/>
      <c r="BD54" s="308"/>
      <c r="BE54" s="308"/>
      <c r="BF54" s="308"/>
      <c r="BG54" s="308"/>
      <c r="BH54" s="308"/>
      <c r="BI54" s="308"/>
      <c r="BJ54" s="308"/>
      <c r="BK54" s="308"/>
      <c r="BL54" s="308"/>
      <c r="BM54" s="308"/>
      <c r="BN54" s="308"/>
      <c r="BO54" s="308"/>
      <c r="BP54" s="308"/>
      <c r="BQ54" s="139"/>
      <c r="BR54" s="138"/>
      <c r="BU54" s="137"/>
      <c r="BV54" s="139"/>
      <c r="BW54" s="308" t="s">
        <v>49</v>
      </c>
      <c r="BX54" s="308"/>
      <c r="BY54" s="308"/>
      <c r="BZ54" s="308"/>
      <c r="CA54" s="308"/>
      <c r="CB54" s="308"/>
      <c r="CC54" s="308"/>
      <c r="CD54" s="308"/>
      <c r="CE54" s="308"/>
      <c r="CF54" s="308"/>
      <c r="CG54" s="308"/>
      <c r="CH54" s="308"/>
      <c r="CI54" s="308"/>
      <c r="CJ54" s="308"/>
      <c r="CK54" s="308"/>
      <c r="CL54" s="308"/>
      <c r="CM54" s="308"/>
      <c r="CN54" s="308"/>
      <c r="CO54" s="308"/>
      <c r="CP54" s="308"/>
      <c r="CQ54" s="308"/>
      <c r="CR54" s="308"/>
      <c r="CS54" s="308"/>
      <c r="CT54" s="308"/>
      <c r="CU54" s="308"/>
      <c r="CV54" s="308"/>
      <c r="CW54" s="308"/>
      <c r="CX54" s="308"/>
      <c r="CY54" s="308"/>
      <c r="CZ54" s="139"/>
      <c r="DA54" s="138"/>
    </row>
    <row r="55" spans="3:105" ht="9" customHeight="1" x14ac:dyDescent="0.15">
      <c r="C55" s="137"/>
      <c r="D55" s="139"/>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139"/>
      <c r="AI55" s="138"/>
      <c r="AL55" s="137"/>
      <c r="AM55" s="139"/>
      <c r="AN55" s="308"/>
      <c r="AO55" s="308"/>
      <c r="AP55" s="308"/>
      <c r="AQ55" s="308"/>
      <c r="AR55" s="308"/>
      <c r="AS55" s="308"/>
      <c r="AT55" s="308"/>
      <c r="AU55" s="308"/>
      <c r="AV55" s="308"/>
      <c r="AW55" s="308"/>
      <c r="AX55" s="308"/>
      <c r="AY55" s="308"/>
      <c r="AZ55" s="308"/>
      <c r="BA55" s="308"/>
      <c r="BB55" s="308"/>
      <c r="BC55" s="308"/>
      <c r="BD55" s="308"/>
      <c r="BE55" s="308"/>
      <c r="BF55" s="308"/>
      <c r="BG55" s="308"/>
      <c r="BH55" s="308"/>
      <c r="BI55" s="308"/>
      <c r="BJ55" s="308"/>
      <c r="BK55" s="308"/>
      <c r="BL55" s="308"/>
      <c r="BM55" s="308"/>
      <c r="BN55" s="308"/>
      <c r="BO55" s="308"/>
      <c r="BP55" s="308"/>
      <c r="BQ55" s="139"/>
      <c r="BR55" s="138"/>
      <c r="BU55" s="137"/>
      <c r="BV55" s="139"/>
      <c r="BW55" s="308"/>
      <c r="BX55" s="308"/>
      <c r="BY55" s="308"/>
      <c r="BZ55" s="308"/>
      <c r="CA55" s="308"/>
      <c r="CB55" s="308"/>
      <c r="CC55" s="308"/>
      <c r="CD55" s="308"/>
      <c r="CE55" s="308"/>
      <c r="CF55" s="308"/>
      <c r="CG55" s="308"/>
      <c r="CH55" s="308"/>
      <c r="CI55" s="308"/>
      <c r="CJ55" s="308"/>
      <c r="CK55" s="308"/>
      <c r="CL55" s="308"/>
      <c r="CM55" s="308"/>
      <c r="CN55" s="308"/>
      <c r="CO55" s="308"/>
      <c r="CP55" s="308"/>
      <c r="CQ55" s="308"/>
      <c r="CR55" s="308"/>
      <c r="CS55" s="308"/>
      <c r="CT55" s="308"/>
      <c r="CU55" s="308"/>
      <c r="CV55" s="308"/>
      <c r="CW55" s="308"/>
      <c r="CX55" s="308"/>
      <c r="CY55" s="308"/>
      <c r="CZ55" s="139"/>
      <c r="DA55" s="138"/>
    </row>
    <row r="56" spans="3:105" ht="9" customHeight="1" x14ac:dyDescent="0.15">
      <c r="C56" s="137"/>
      <c r="D56" s="139"/>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139"/>
      <c r="AI56" s="138"/>
      <c r="AL56" s="137"/>
      <c r="AM56" s="139"/>
      <c r="AN56" s="308"/>
      <c r="AO56" s="308"/>
      <c r="AP56" s="308"/>
      <c r="AQ56" s="308"/>
      <c r="AR56" s="308"/>
      <c r="AS56" s="308"/>
      <c r="AT56" s="308"/>
      <c r="AU56" s="308"/>
      <c r="AV56" s="308"/>
      <c r="AW56" s="308"/>
      <c r="AX56" s="308"/>
      <c r="AY56" s="308"/>
      <c r="AZ56" s="308"/>
      <c r="BA56" s="308"/>
      <c r="BB56" s="308"/>
      <c r="BC56" s="308"/>
      <c r="BD56" s="308"/>
      <c r="BE56" s="308"/>
      <c r="BF56" s="308"/>
      <c r="BG56" s="308"/>
      <c r="BH56" s="308"/>
      <c r="BI56" s="308"/>
      <c r="BJ56" s="308"/>
      <c r="BK56" s="308"/>
      <c r="BL56" s="308"/>
      <c r="BM56" s="308"/>
      <c r="BN56" s="308"/>
      <c r="BO56" s="308"/>
      <c r="BP56" s="308"/>
      <c r="BQ56" s="139"/>
      <c r="BR56" s="138"/>
      <c r="BU56" s="137"/>
      <c r="BV56" s="139"/>
      <c r="BW56" s="308"/>
      <c r="BX56" s="308"/>
      <c r="BY56" s="308"/>
      <c r="BZ56" s="308"/>
      <c r="CA56" s="308"/>
      <c r="CB56" s="308"/>
      <c r="CC56" s="308"/>
      <c r="CD56" s="308"/>
      <c r="CE56" s="308"/>
      <c r="CF56" s="308"/>
      <c r="CG56" s="308"/>
      <c r="CH56" s="308"/>
      <c r="CI56" s="308"/>
      <c r="CJ56" s="308"/>
      <c r="CK56" s="308"/>
      <c r="CL56" s="308"/>
      <c r="CM56" s="308"/>
      <c r="CN56" s="308"/>
      <c r="CO56" s="308"/>
      <c r="CP56" s="308"/>
      <c r="CQ56" s="308"/>
      <c r="CR56" s="308"/>
      <c r="CS56" s="308"/>
      <c r="CT56" s="308"/>
      <c r="CU56" s="308"/>
      <c r="CV56" s="308"/>
      <c r="CW56" s="308"/>
      <c r="CX56" s="308"/>
      <c r="CY56" s="308"/>
      <c r="CZ56" s="139"/>
      <c r="DA56" s="138"/>
    </row>
    <row r="57" spans="3:105" ht="9" customHeight="1" x14ac:dyDescent="0.15">
      <c r="C57" s="137"/>
      <c r="D57" s="139"/>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139"/>
      <c r="AI57" s="138"/>
      <c r="AL57" s="137"/>
      <c r="AM57" s="139"/>
      <c r="AN57" s="308"/>
      <c r="AO57" s="308"/>
      <c r="AP57" s="308"/>
      <c r="AQ57" s="308"/>
      <c r="AR57" s="308"/>
      <c r="AS57" s="308"/>
      <c r="AT57" s="308"/>
      <c r="AU57" s="308"/>
      <c r="AV57" s="308"/>
      <c r="AW57" s="308"/>
      <c r="AX57" s="308"/>
      <c r="AY57" s="308"/>
      <c r="AZ57" s="308"/>
      <c r="BA57" s="308"/>
      <c r="BB57" s="308"/>
      <c r="BC57" s="308"/>
      <c r="BD57" s="308"/>
      <c r="BE57" s="308"/>
      <c r="BF57" s="308"/>
      <c r="BG57" s="308"/>
      <c r="BH57" s="308"/>
      <c r="BI57" s="308"/>
      <c r="BJ57" s="308"/>
      <c r="BK57" s="308"/>
      <c r="BL57" s="308"/>
      <c r="BM57" s="308"/>
      <c r="BN57" s="308"/>
      <c r="BO57" s="308"/>
      <c r="BP57" s="308"/>
      <c r="BQ57" s="139"/>
      <c r="BR57" s="138"/>
      <c r="BU57" s="137"/>
      <c r="BV57" s="139"/>
      <c r="BW57" s="308"/>
      <c r="BX57" s="308"/>
      <c r="BY57" s="308"/>
      <c r="BZ57" s="308"/>
      <c r="CA57" s="308"/>
      <c r="CB57" s="308"/>
      <c r="CC57" s="308"/>
      <c r="CD57" s="308"/>
      <c r="CE57" s="308"/>
      <c r="CF57" s="308"/>
      <c r="CG57" s="308"/>
      <c r="CH57" s="308"/>
      <c r="CI57" s="308"/>
      <c r="CJ57" s="308"/>
      <c r="CK57" s="308"/>
      <c r="CL57" s="308"/>
      <c r="CM57" s="308"/>
      <c r="CN57" s="308"/>
      <c r="CO57" s="308"/>
      <c r="CP57" s="308"/>
      <c r="CQ57" s="308"/>
      <c r="CR57" s="308"/>
      <c r="CS57" s="308"/>
      <c r="CT57" s="308"/>
      <c r="CU57" s="308"/>
      <c r="CV57" s="308"/>
      <c r="CW57" s="308"/>
      <c r="CX57" s="308"/>
      <c r="CY57" s="308"/>
      <c r="CZ57" s="139"/>
      <c r="DA57" s="138"/>
    </row>
    <row r="58" spans="3:105" ht="9" customHeight="1" x14ac:dyDescent="0.15">
      <c r="C58" s="137"/>
      <c r="D58" s="139"/>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139"/>
      <c r="AI58" s="138"/>
      <c r="AL58" s="137"/>
      <c r="AM58" s="139"/>
      <c r="AN58" s="308"/>
      <c r="AO58" s="308"/>
      <c r="AP58" s="308"/>
      <c r="AQ58" s="308"/>
      <c r="AR58" s="308"/>
      <c r="AS58" s="308"/>
      <c r="AT58" s="308"/>
      <c r="AU58" s="308"/>
      <c r="AV58" s="308"/>
      <c r="AW58" s="308"/>
      <c r="AX58" s="308"/>
      <c r="AY58" s="308"/>
      <c r="AZ58" s="308"/>
      <c r="BA58" s="308"/>
      <c r="BB58" s="308"/>
      <c r="BC58" s="308"/>
      <c r="BD58" s="308"/>
      <c r="BE58" s="308"/>
      <c r="BF58" s="308"/>
      <c r="BG58" s="308"/>
      <c r="BH58" s="308"/>
      <c r="BI58" s="308"/>
      <c r="BJ58" s="308"/>
      <c r="BK58" s="308"/>
      <c r="BL58" s="308"/>
      <c r="BM58" s="308"/>
      <c r="BN58" s="308"/>
      <c r="BO58" s="308"/>
      <c r="BP58" s="308"/>
      <c r="BQ58" s="139"/>
      <c r="BR58" s="138"/>
      <c r="BU58" s="137"/>
      <c r="BV58" s="139"/>
      <c r="BW58" s="308"/>
      <c r="BX58" s="308"/>
      <c r="BY58" s="308"/>
      <c r="BZ58" s="308"/>
      <c r="CA58" s="308"/>
      <c r="CB58" s="308"/>
      <c r="CC58" s="308"/>
      <c r="CD58" s="308"/>
      <c r="CE58" s="308"/>
      <c r="CF58" s="308"/>
      <c r="CG58" s="308"/>
      <c r="CH58" s="308"/>
      <c r="CI58" s="308"/>
      <c r="CJ58" s="308"/>
      <c r="CK58" s="308"/>
      <c r="CL58" s="308"/>
      <c r="CM58" s="308"/>
      <c r="CN58" s="308"/>
      <c r="CO58" s="308"/>
      <c r="CP58" s="308"/>
      <c r="CQ58" s="308"/>
      <c r="CR58" s="308"/>
      <c r="CS58" s="308"/>
      <c r="CT58" s="308"/>
      <c r="CU58" s="308"/>
      <c r="CV58" s="308"/>
      <c r="CW58" s="308"/>
      <c r="CX58" s="308"/>
      <c r="CY58" s="308"/>
      <c r="CZ58" s="139"/>
      <c r="DA58" s="138"/>
    </row>
    <row r="59" spans="3:105" ht="9" customHeight="1" x14ac:dyDescent="0.15">
      <c r="C59" s="137"/>
      <c r="D59" s="139"/>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39"/>
      <c r="AI59" s="138"/>
      <c r="AL59" s="137"/>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8"/>
      <c r="BU59" s="137"/>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8"/>
    </row>
    <row r="60" spans="3:105" ht="9" customHeight="1" x14ac:dyDescent="0.15">
      <c r="C60" s="137"/>
      <c r="D60" s="139"/>
      <c r="E60" s="141"/>
      <c r="F60" s="142"/>
      <c r="G60" s="301" t="s">
        <v>50</v>
      </c>
      <c r="H60" s="301"/>
      <c r="I60" s="301"/>
      <c r="J60" s="302"/>
      <c r="K60" s="140"/>
      <c r="L60" s="140"/>
      <c r="M60" s="140"/>
      <c r="N60" s="140"/>
      <c r="O60" s="140"/>
      <c r="P60" s="140"/>
      <c r="Q60" s="140"/>
      <c r="R60" s="140"/>
      <c r="S60" s="140"/>
      <c r="T60" s="140"/>
      <c r="U60" s="140"/>
      <c r="V60" s="140"/>
      <c r="W60" s="140"/>
      <c r="X60" s="140"/>
      <c r="Y60" s="140"/>
      <c r="Z60" s="140"/>
      <c r="AA60" s="140"/>
      <c r="AB60" s="140"/>
      <c r="AC60" s="140"/>
      <c r="AD60" s="140"/>
      <c r="AE60" s="140"/>
      <c r="AF60" s="140"/>
      <c r="AG60" s="140"/>
      <c r="AH60" s="139"/>
      <c r="AI60" s="138"/>
      <c r="AL60" s="137"/>
      <c r="AM60" s="139"/>
      <c r="AN60" s="141"/>
      <c r="AO60" s="142"/>
      <c r="AP60" s="301" t="s">
        <v>51</v>
      </c>
      <c r="AQ60" s="301"/>
      <c r="AR60" s="301"/>
      <c r="AS60" s="301"/>
      <c r="AT60" s="301"/>
      <c r="AU60" s="301"/>
      <c r="AV60" s="301"/>
      <c r="AW60" s="301"/>
      <c r="AX60" s="301"/>
      <c r="AY60" s="301"/>
      <c r="AZ60" s="301"/>
      <c r="BA60" s="301"/>
      <c r="BB60" s="302"/>
      <c r="BC60" s="139"/>
      <c r="BD60" s="139"/>
      <c r="BE60" s="139"/>
      <c r="BF60" s="139"/>
      <c r="BG60" s="139"/>
      <c r="BH60" s="139"/>
      <c r="BI60" s="139"/>
      <c r="BJ60" s="139"/>
      <c r="BK60" s="139"/>
      <c r="BL60" s="139"/>
      <c r="BM60" s="139"/>
      <c r="BN60" s="139"/>
      <c r="BO60" s="139"/>
      <c r="BP60" s="139"/>
      <c r="BQ60" s="139"/>
      <c r="BR60" s="138"/>
      <c r="BU60" s="137"/>
      <c r="BV60" s="139"/>
      <c r="BW60" s="141"/>
      <c r="BX60" s="142"/>
      <c r="BY60" s="301" t="s">
        <v>52</v>
      </c>
      <c r="BZ60" s="301"/>
      <c r="CA60" s="301"/>
      <c r="CB60" s="301"/>
      <c r="CC60" s="301"/>
      <c r="CD60" s="301"/>
      <c r="CE60" s="301"/>
      <c r="CF60" s="301"/>
      <c r="CG60" s="301"/>
      <c r="CH60" s="302"/>
      <c r="CI60" s="139"/>
      <c r="CJ60" s="139"/>
      <c r="CK60" s="139"/>
      <c r="CL60" s="139"/>
      <c r="CM60" s="139"/>
      <c r="CN60" s="139"/>
      <c r="CO60" s="139"/>
      <c r="CP60" s="139"/>
      <c r="CQ60" s="139"/>
      <c r="CR60" s="139"/>
      <c r="CS60" s="139"/>
      <c r="CT60" s="139"/>
      <c r="CU60" s="139"/>
      <c r="CV60" s="139"/>
      <c r="CW60" s="139"/>
      <c r="CX60" s="139"/>
      <c r="CY60" s="139"/>
      <c r="CZ60" s="139"/>
      <c r="DA60" s="138"/>
    </row>
    <row r="61" spans="3:105" ht="9" customHeight="1" x14ac:dyDescent="0.15">
      <c r="C61" s="137"/>
      <c r="D61" s="139"/>
      <c r="E61" s="143"/>
      <c r="F61" s="144"/>
      <c r="G61" s="303"/>
      <c r="H61" s="303"/>
      <c r="I61" s="303"/>
      <c r="J61" s="304"/>
      <c r="K61" s="140"/>
      <c r="L61" s="140"/>
      <c r="M61" s="140"/>
      <c r="N61" s="140"/>
      <c r="O61" s="140"/>
      <c r="P61" s="140"/>
      <c r="Q61" s="140"/>
      <c r="R61" s="140"/>
      <c r="S61" s="140"/>
      <c r="T61" s="140"/>
      <c r="U61" s="140"/>
      <c r="V61" s="140"/>
      <c r="W61" s="140"/>
      <c r="X61" s="140"/>
      <c r="Y61" s="140"/>
      <c r="Z61" s="140"/>
      <c r="AA61" s="140"/>
      <c r="AB61" s="140"/>
      <c r="AC61" s="140"/>
      <c r="AD61" s="140"/>
      <c r="AE61" s="140"/>
      <c r="AF61" s="140"/>
      <c r="AG61" s="140"/>
      <c r="AH61" s="139"/>
      <c r="AI61" s="138"/>
      <c r="AL61" s="137"/>
      <c r="AM61" s="139"/>
      <c r="AN61" s="143"/>
      <c r="AO61" s="144"/>
      <c r="AP61" s="303"/>
      <c r="AQ61" s="303"/>
      <c r="AR61" s="303"/>
      <c r="AS61" s="303"/>
      <c r="AT61" s="303"/>
      <c r="AU61" s="303"/>
      <c r="AV61" s="303"/>
      <c r="AW61" s="303"/>
      <c r="AX61" s="303"/>
      <c r="AY61" s="303"/>
      <c r="AZ61" s="303"/>
      <c r="BA61" s="303"/>
      <c r="BB61" s="304"/>
      <c r="BC61" s="139"/>
      <c r="BD61" s="139"/>
      <c r="BE61" s="139"/>
      <c r="BF61" s="139"/>
      <c r="BG61" s="139"/>
      <c r="BH61" s="139"/>
      <c r="BI61" s="139"/>
      <c r="BJ61" s="139"/>
      <c r="BK61" s="139"/>
      <c r="BL61" s="139"/>
      <c r="BM61" s="139"/>
      <c r="BN61" s="139"/>
      <c r="BO61" s="139"/>
      <c r="BP61" s="139"/>
      <c r="BQ61" s="139"/>
      <c r="BR61" s="138"/>
      <c r="BU61" s="137"/>
      <c r="BV61" s="139"/>
      <c r="BW61" s="143"/>
      <c r="BX61" s="144"/>
      <c r="BY61" s="303"/>
      <c r="BZ61" s="303"/>
      <c r="CA61" s="303"/>
      <c r="CB61" s="303"/>
      <c r="CC61" s="303"/>
      <c r="CD61" s="303"/>
      <c r="CE61" s="303"/>
      <c r="CF61" s="303"/>
      <c r="CG61" s="303"/>
      <c r="CH61" s="304"/>
      <c r="CI61" s="139"/>
      <c r="CJ61" s="139"/>
      <c r="CK61" s="139"/>
      <c r="CL61" s="139"/>
      <c r="CM61" s="139"/>
      <c r="CN61" s="139"/>
      <c r="CO61" s="139"/>
      <c r="CP61" s="139"/>
      <c r="CQ61" s="139"/>
      <c r="CR61" s="139"/>
      <c r="CS61" s="139"/>
      <c r="CT61" s="139"/>
      <c r="CU61" s="139"/>
      <c r="CV61" s="139"/>
      <c r="CW61" s="139"/>
      <c r="CX61" s="139"/>
      <c r="CY61" s="139"/>
      <c r="CZ61" s="139"/>
      <c r="DA61" s="138"/>
    </row>
    <row r="62" spans="3:105" ht="9" customHeight="1" x14ac:dyDescent="0.15">
      <c r="C62" s="137"/>
      <c r="D62" s="139"/>
      <c r="E62" s="145"/>
      <c r="F62" s="146"/>
      <c r="G62" s="305"/>
      <c r="H62" s="305"/>
      <c r="I62" s="305"/>
      <c r="J62" s="306"/>
      <c r="K62" s="140"/>
      <c r="L62" s="140"/>
      <c r="M62" s="140"/>
      <c r="N62" s="140"/>
      <c r="O62" s="140"/>
      <c r="P62" s="140"/>
      <c r="Q62" s="140"/>
      <c r="R62" s="140"/>
      <c r="S62" s="140"/>
      <c r="T62" s="140"/>
      <c r="U62" s="140"/>
      <c r="V62" s="140"/>
      <c r="W62" s="140"/>
      <c r="X62" s="140"/>
      <c r="Y62" s="140"/>
      <c r="Z62" s="140"/>
      <c r="AA62" s="140"/>
      <c r="AB62" s="140"/>
      <c r="AC62" s="140"/>
      <c r="AD62" s="140"/>
      <c r="AE62" s="140"/>
      <c r="AF62" s="140"/>
      <c r="AG62" s="140"/>
      <c r="AH62" s="139"/>
      <c r="AI62" s="138"/>
      <c r="AL62" s="137"/>
      <c r="AM62" s="139"/>
      <c r="AN62" s="145"/>
      <c r="AO62" s="146"/>
      <c r="AP62" s="305"/>
      <c r="AQ62" s="305"/>
      <c r="AR62" s="305"/>
      <c r="AS62" s="305"/>
      <c r="AT62" s="305"/>
      <c r="AU62" s="305"/>
      <c r="AV62" s="305"/>
      <c r="AW62" s="305"/>
      <c r="AX62" s="305"/>
      <c r="AY62" s="305"/>
      <c r="AZ62" s="305"/>
      <c r="BA62" s="305"/>
      <c r="BB62" s="306"/>
      <c r="BC62" s="139"/>
      <c r="BD62" s="139"/>
      <c r="BE62" s="139"/>
      <c r="BF62" s="139"/>
      <c r="BG62" s="139"/>
      <c r="BH62" s="139"/>
      <c r="BI62" s="139"/>
      <c r="BJ62" s="139"/>
      <c r="BK62" s="139"/>
      <c r="BL62" s="139"/>
      <c r="BM62" s="139"/>
      <c r="BN62" s="139"/>
      <c r="BO62" s="139"/>
      <c r="BP62" s="139"/>
      <c r="BQ62" s="139"/>
      <c r="BR62" s="138"/>
      <c r="BU62" s="137"/>
      <c r="BV62" s="139"/>
      <c r="BW62" s="145"/>
      <c r="BX62" s="146"/>
      <c r="BY62" s="305"/>
      <c r="BZ62" s="305"/>
      <c r="CA62" s="305"/>
      <c r="CB62" s="305"/>
      <c r="CC62" s="305"/>
      <c r="CD62" s="305"/>
      <c r="CE62" s="305"/>
      <c r="CF62" s="305"/>
      <c r="CG62" s="305"/>
      <c r="CH62" s="306"/>
      <c r="CI62" s="139"/>
      <c r="CJ62" s="139"/>
      <c r="CK62" s="139"/>
      <c r="CL62" s="139"/>
      <c r="CM62" s="139"/>
      <c r="CN62" s="139"/>
      <c r="CO62" s="139"/>
      <c r="CP62" s="139"/>
      <c r="CQ62" s="139"/>
      <c r="CR62" s="139"/>
      <c r="CS62" s="139"/>
      <c r="CT62" s="139"/>
      <c r="CU62" s="139"/>
      <c r="CV62" s="139"/>
      <c r="CW62" s="139"/>
      <c r="CX62" s="139"/>
      <c r="CY62" s="139"/>
      <c r="CZ62" s="139"/>
      <c r="DA62" s="138"/>
    </row>
    <row r="63" spans="3:105" ht="2" customHeight="1" x14ac:dyDescent="0.15">
      <c r="C63" s="13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38"/>
      <c r="AL63" s="137"/>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8"/>
      <c r="BU63" s="137"/>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8"/>
    </row>
    <row r="64" spans="3:105" ht="2" customHeight="1" x14ac:dyDescent="0.15">
      <c r="C64" s="137"/>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38"/>
      <c r="AL64" s="137"/>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8"/>
      <c r="BU64" s="137"/>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8"/>
    </row>
    <row r="65" spans="3:105" ht="9" customHeight="1" x14ac:dyDescent="0.15">
      <c r="C65" s="147"/>
      <c r="D65" s="148"/>
      <c r="E65" s="148"/>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9"/>
      <c r="AL65" s="147"/>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9"/>
      <c r="BU65" s="147"/>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9"/>
    </row>
    <row r="66" spans="3:105" ht="9" customHeight="1" x14ac:dyDescent="0.15"/>
    <row r="67" spans="3:105" ht="9" customHeight="1" x14ac:dyDescent="0.15">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row>
    <row r="68" spans="3:105" ht="9" customHeight="1" x14ac:dyDescent="0.15"/>
  </sheetData>
  <mergeCells count="38">
    <mergeCell ref="CF21:CM23"/>
    <mergeCell ref="CN6:CT6"/>
    <mergeCell ref="CU6:DA6"/>
    <mergeCell ref="D11:AH13"/>
    <mergeCell ref="AM11:BQ13"/>
    <mergeCell ref="BV11:CZ13"/>
    <mergeCell ref="E15:AG19"/>
    <mergeCell ref="AN15:BP19"/>
    <mergeCell ref="BW15:CY19"/>
    <mergeCell ref="BU6:CF6"/>
    <mergeCell ref="CG6:CM6"/>
    <mergeCell ref="G21:M23"/>
    <mergeCell ref="Q21:W23"/>
    <mergeCell ref="AP21:AS23"/>
    <mergeCell ref="AW21:BJ23"/>
    <mergeCell ref="AN33:BP37"/>
    <mergeCell ref="BW33:CY37"/>
    <mergeCell ref="G39:J41"/>
    <mergeCell ref="L39:Y41"/>
    <mergeCell ref="AP39:AS41"/>
    <mergeCell ref="AW39:BH41"/>
    <mergeCell ref="BY39:CB41"/>
    <mergeCell ref="B4:O4"/>
    <mergeCell ref="G60:J62"/>
    <mergeCell ref="AP60:BB62"/>
    <mergeCell ref="BY60:CH62"/>
    <mergeCell ref="D50:AH52"/>
    <mergeCell ref="AM50:BQ52"/>
    <mergeCell ref="BV50:CZ52"/>
    <mergeCell ref="E54:AG58"/>
    <mergeCell ref="AN54:BP58"/>
    <mergeCell ref="BW54:CY58"/>
    <mergeCell ref="BY21:CB23"/>
    <mergeCell ref="CD39:CN41"/>
    <mergeCell ref="D29:AH31"/>
    <mergeCell ref="AM29:BQ31"/>
    <mergeCell ref="BV29:CZ31"/>
    <mergeCell ref="E33:AG37"/>
  </mergeCells>
  <hyperlinks>
    <hyperlink ref="B5" location="HL_Sheet_Main" tooltip="Go to Previous Sheet" display="HL_Sheet_Main" xr:uid="{6308F0CD-5B4A-4AA2-8581-07F4C723FD93}"/>
    <hyperlink ref="C5" location="HL_Sheet_Main_16" tooltip="Go to Next Sheet" display="HL_Sheet_Main_16" xr:uid="{0F871847-EE7D-4DF4-B478-2E787FB2A83C}"/>
    <hyperlink ref="A6" location="HL_Home" tooltip="Go to Table of Contents" display="HL_Home" xr:uid="{CABE43F6-DAF0-47A7-9DCE-52043B5ADBC9}"/>
    <hyperlink ref="B4" location="HL_Home" tooltip="Go to Table of Contents" display="HL_Home" xr:uid="{06D05342-39DB-4400-9B31-DC01CF1B69B0}"/>
  </hyperlinks>
  <pageMargins left="0.39370078740157499" right="0.39370078740157499" top="0.59055118110236204" bottom="0.98425196850393704" header="0" footer="0.31496062992126"/>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F2FBE-21AC-4008-B6A2-424597854E0C}">
  <sheetPr codeName="Sheet5">
    <pageSetUpPr autoPageBreaks="0"/>
  </sheetPr>
  <dimension ref="A1:M85"/>
  <sheetViews>
    <sheetView showGridLines="0" workbookViewId="0">
      <pane xSplit="1" ySplit="2" topLeftCell="B3" activePane="bottomRight" state="frozenSplit"/>
      <selection pane="topRight" activeCell="B1" sqref="B1"/>
      <selection pane="bottomLeft" activeCell="A3" sqref="A3"/>
      <selection pane="bottomRight"/>
    </sheetView>
  </sheetViews>
  <sheetFormatPr baseColWidth="10" defaultColWidth="11.59765625" defaultRowHeight="12" outlineLevelRow="1" x14ac:dyDescent="0.15"/>
  <cols>
    <col min="1" max="5" width="3.59765625" customWidth="1"/>
  </cols>
  <sheetData>
    <row r="1" spans="1:13" ht="14" x14ac:dyDescent="0.15">
      <c r="A1" s="3" t="s">
        <v>19</v>
      </c>
      <c r="B1" s="205" t="s">
        <v>797</v>
      </c>
    </row>
    <row r="2" spans="1:13" ht="13" x14ac:dyDescent="0.15">
      <c r="A2" s="294" t="s">
        <v>60</v>
      </c>
      <c r="B2" s="65" t="str">
        <f ca="1">Model_Name</f>
        <v>Venue Planning Project (Alert in Inventory)</v>
      </c>
    </row>
    <row r="4" spans="1:13" s="1" customFormat="1" x14ac:dyDescent="0.15">
      <c r="A4"/>
      <c r="B4" s="2" t="s">
        <v>191</v>
      </c>
    </row>
    <row r="5" spans="1:13" outlineLevel="1" x14ac:dyDescent="0.15"/>
    <row r="6" spans="1:13" outlineLevel="1" x14ac:dyDescent="0.15">
      <c r="B6" s="200" t="s">
        <v>798</v>
      </c>
      <c r="F6" s="105">
        <f ca="1">Err_Chks_Ttl_Areas</f>
        <v>0</v>
      </c>
      <c r="G6" s="201" t="str">
        <f ca="1">IF(OR(NOT(CB_Err_Chks_Show_Msg),Err_Chks_Ttl_Areas=0),"",IF(Err_Chks_Ttl_Areas=1," (Error in "&amp;INDEX(CA_Err_Chks_Area_Names,MATCH(1,CA_Err_Chks_Flags,0))&amp;")"," ("&amp;TEXT(Err_Chks_Ttl_Areas,"#,##0")&amp;" Errors Detected)"))</f>
        <v/>
      </c>
    </row>
    <row r="7" spans="1:13" outlineLevel="1" x14ac:dyDescent="0.15"/>
    <row r="8" spans="1:13" outlineLevel="1" x14ac:dyDescent="0.15">
      <c r="B8" s="195" t="s">
        <v>191</v>
      </c>
      <c r="C8" s="5"/>
      <c r="D8" s="5"/>
      <c r="E8" s="5"/>
      <c r="F8" s="5"/>
      <c r="G8" s="5"/>
      <c r="H8" s="5"/>
      <c r="I8" s="5"/>
      <c r="J8" s="5"/>
      <c r="K8" s="196" t="s">
        <v>799</v>
      </c>
      <c r="L8" s="196" t="s">
        <v>800</v>
      </c>
      <c r="M8" s="196" t="s">
        <v>801</v>
      </c>
    </row>
    <row r="9" spans="1:13" ht="6" customHeight="1" outlineLevel="1" x14ac:dyDescent="0.15"/>
    <row r="10" spans="1:13" outlineLevel="1" x14ac:dyDescent="0.15">
      <c r="B10" s="154" t="str">
        <f>IF(ISERROR(Err_Chk_21_Hdg),"Miscellaneous Check",Err_Chk_21_Hdg)</f>
        <v>Summary</v>
      </c>
      <c r="C10" s="7"/>
      <c r="D10" s="7"/>
      <c r="E10" s="7"/>
      <c r="F10" s="7"/>
      <c r="G10" s="7"/>
      <c r="H10" s="7"/>
      <c r="I10" s="7"/>
      <c r="J10" s="7"/>
      <c r="K10" s="106">
        <f ca="1">IF(ISERROR(HL_Err_Chk_21),1,(HL_Err_Chk_21&lt;&gt;0)*1)</f>
        <v>0</v>
      </c>
      <c r="L10" s="237" t="s">
        <v>735</v>
      </c>
      <c r="M10" s="106">
        <f t="shared" ref="M10:M40" ca="1" si="0">K10*(L10="Yes")</f>
        <v>0</v>
      </c>
    </row>
    <row r="11" spans="1:13" outlineLevel="1" x14ac:dyDescent="0.15">
      <c r="B11" s="154" t="str">
        <f>IF(ISERROR(Err_Chk_22_Hdg),"Miscellaneous Check",Err_Chk_22_Hdg)</f>
        <v>Scenario Data Tables</v>
      </c>
      <c r="C11" s="7"/>
      <c r="D11" s="7"/>
      <c r="E11" s="7"/>
      <c r="F11" s="7"/>
      <c r="G11" s="7"/>
      <c r="H11" s="7"/>
      <c r="I11" s="7"/>
      <c r="J11" s="7"/>
      <c r="K11" s="106">
        <f>IF(ISERROR(HL_Err_Chk_22),1,(HL_Err_Chk_22&lt;&gt;0)*1)</f>
        <v>0</v>
      </c>
      <c r="L11" s="237" t="s">
        <v>735</v>
      </c>
      <c r="M11" s="106">
        <f t="shared" si="0"/>
        <v>0</v>
      </c>
    </row>
    <row r="12" spans="1:13" outlineLevel="1" x14ac:dyDescent="0.15">
      <c r="B12" s="154" t="str">
        <f>IF(ISERROR(Err_Chk_14_Hdg),"Miscellaneous Check",Err_Chk_14_Hdg)</f>
        <v>Opening Balance Sheet</v>
      </c>
      <c r="C12" s="7"/>
      <c r="D12" s="7"/>
      <c r="E12" s="7"/>
      <c r="F12" s="7"/>
      <c r="G12" s="7"/>
      <c r="H12" s="7"/>
      <c r="I12" s="7"/>
      <c r="J12" s="7"/>
      <c r="K12" s="106">
        <f>IF(ISERROR(HL_Err_Chk_14),1,(HL_Err_Chk_14&lt;&gt;0)*1)</f>
        <v>0</v>
      </c>
      <c r="L12" s="237" t="s">
        <v>735</v>
      </c>
      <c r="M12" s="106">
        <f t="shared" si="0"/>
        <v>0</v>
      </c>
    </row>
    <row r="13" spans="1:13" outlineLevel="1" x14ac:dyDescent="0.15">
      <c r="B13" s="154" t="str">
        <f>IF(ISERROR(Err_Chk_29_Hdg),"Miscellaneous Check",Err_Chk_29_Hdg)</f>
        <v>Membership</v>
      </c>
      <c r="C13" s="7"/>
      <c r="D13" s="7"/>
      <c r="E13" s="7"/>
      <c r="F13" s="7"/>
      <c r="G13" s="7"/>
      <c r="H13" s="7"/>
      <c r="I13" s="7"/>
      <c r="J13" s="7"/>
      <c r="K13" s="106">
        <f>IF(ISERROR(HL_Err_Chk_29),1,(HL_Err_Chk_29&lt;&gt;0)*1)</f>
        <v>0</v>
      </c>
      <c r="L13" s="237" t="s">
        <v>735</v>
      </c>
      <c r="M13" s="106">
        <f t="shared" si="0"/>
        <v>0</v>
      </c>
    </row>
    <row r="14" spans="1:13" outlineLevel="1" x14ac:dyDescent="0.15">
      <c r="B14" s="154" t="str">
        <f>IF(ISERROR(Err_Chk_30_Hdg),"Miscellaneous Check",Err_Chk_30_Hdg)</f>
        <v>Membership &amp; Utilisation</v>
      </c>
      <c r="C14" s="7"/>
      <c r="D14" s="7"/>
      <c r="E14" s="7"/>
      <c r="F14" s="7"/>
      <c r="G14" s="7"/>
      <c r="H14" s="7"/>
      <c r="I14" s="7"/>
      <c r="J14" s="7"/>
      <c r="K14" s="106">
        <f>IF(ISERROR(HL_Err_Chk_30),1,(HL_Err_Chk_30&lt;&gt;0)*1)</f>
        <v>0</v>
      </c>
      <c r="L14" s="237" t="s">
        <v>735</v>
      </c>
      <c r="M14" s="106">
        <f t="shared" si="0"/>
        <v>0</v>
      </c>
    </row>
    <row r="15" spans="1:13" outlineLevel="1" x14ac:dyDescent="0.15">
      <c r="B15" s="154" t="str">
        <f>IF(ISERROR(Err_Chk_19_Hdg),"Miscellaneous Check",Err_Chk_19_Hdg)</f>
        <v>Revenue</v>
      </c>
      <c r="C15" s="7"/>
      <c r="D15" s="7"/>
      <c r="E15" s="7"/>
      <c r="F15" s="7"/>
      <c r="G15" s="7"/>
      <c r="H15" s="7"/>
      <c r="I15" s="7"/>
      <c r="J15" s="7"/>
      <c r="K15" s="106">
        <f ca="1">IF(ISERROR(HL_Err_Chk_19),1,(HL_Err_Chk_19&lt;&gt;0)*1)</f>
        <v>0</v>
      </c>
      <c r="L15" s="237" t="s">
        <v>735</v>
      </c>
      <c r="M15" s="106">
        <f t="shared" ca="1" si="0"/>
        <v>0</v>
      </c>
    </row>
    <row r="16" spans="1:13" outlineLevel="1" x14ac:dyDescent="0.15">
      <c r="B16" s="154" t="str">
        <f>IF(ISERROR(Err_Chk_5_Hdg),"Miscellaneous Check",Err_Chk_5_Hdg)</f>
        <v>Cost of Goods Sold</v>
      </c>
      <c r="C16" s="7"/>
      <c r="D16" s="7"/>
      <c r="E16" s="7"/>
      <c r="F16" s="7"/>
      <c r="G16" s="7"/>
      <c r="H16" s="7"/>
      <c r="I16" s="7"/>
      <c r="J16" s="7"/>
      <c r="K16" s="106">
        <f ca="1">IF(ISERROR(HL_Err_Chk_5),1,(HL_Err_Chk_5&lt;&gt;0)*1)</f>
        <v>0</v>
      </c>
      <c r="L16" s="237" t="s">
        <v>735</v>
      </c>
      <c r="M16" s="106">
        <f t="shared" ca="1" si="0"/>
        <v>0</v>
      </c>
    </row>
    <row r="17" spans="2:13" outlineLevel="1" x14ac:dyDescent="0.15">
      <c r="B17" s="154" t="str">
        <f>IF(ISERROR(Err_Chk_15_Hdg),"Miscellaneous Check",Err_Chk_15_Hdg)</f>
        <v>Operating Expenditure</v>
      </c>
      <c r="C17" s="7"/>
      <c r="D17" s="7"/>
      <c r="E17" s="7"/>
      <c r="F17" s="7"/>
      <c r="G17" s="7"/>
      <c r="H17" s="7"/>
      <c r="I17" s="7"/>
      <c r="J17" s="7"/>
      <c r="K17" s="106">
        <f ca="1">IF(ISERROR(HL_Err_Chk_15),1,(HL_Err_Chk_15&lt;&gt;0)*1)</f>
        <v>0</v>
      </c>
      <c r="L17" s="237" t="s">
        <v>735</v>
      </c>
      <c r="M17" s="106">
        <f t="shared" ca="1" si="0"/>
        <v>0</v>
      </c>
    </row>
    <row r="18" spans="2:13" outlineLevel="1" x14ac:dyDescent="0.15">
      <c r="B18" s="154" t="str">
        <f>IF(ISERROR(Err_Chk_18_Hdg),"Miscellaneous Check",Err_Chk_18_Hdg)</f>
        <v>Other Revenue</v>
      </c>
      <c r="C18" s="7"/>
      <c r="D18" s="7"/>
      <c r="E18" s="7"/>
      <c r="F18" s="7"/>
      <c r="G18" s="7"/>
      <c r="H18" s="7"/>
      <c r="I18" s="7"/>
      <c r="J18" s="7"/>
      <c r="K18" s="106">
        <f ca="1">IF(ISERROR(HL_Err_Chk_18),1,(HL_Err_Chk_18&lt;&gt;0)*1)</f>
        <v>0</v>
      </c>
      <c r="L18" s="237" t="s">
        <v>735</v>
      </c>
      <c r="M18" s="106">
        <f t="shared" ca="1" si="0"/>
        <v>0</v>
      </c>
    </row>
    <row r="19" spans="2:13" outlineLevel="1" x14ac:dyDescent="0.15">
      <c r="B19" s="154" t="str">
        <f>IF(ISERROR(Err_Chk_24_Hdg),"Miscellaneous Check",Err_Chk_24_Hdg)</f>
        <v>Other Expenses</v>
      </c>
      <c r="C19" s="7"/>
      <c r="D19" s="7"/>
      <c r="E19" s="7"/>
      <c r="F19" s="7"/>
      <c r="G19" s="7"/>
      <c r="H19" s="7"/>
      <c r="I19" s="7"/>
      <c r="J19" s="7"/>
      <c r="K19" s="106">
        <f ca="1">IF(ISERROR(HL_Err_Chk_24),1,(HL_Err_Chk_24&lt;&gt;0)*1)</f>
        <v>0</v>
      </c>
      <c r="L19" s="237" t="s">
        <v>735</v>
      </c>
      <c r="M19" s="106">
        <f t="shared" ca="1" si="0"/>
        <v>0</v>
      </c>
    </row>
    <row r="20" spans="2:13" outlineLevel="1" x14ac:dyDescent="0.15">
      <c r="B20" s="154" t="str">
        <f>IF(ISERROR(Err_Chk_8_Hdg),"Miscellaneous Check",Err_Chk_8_Hdg)</f>
        <v>Debtors</v>
      </c>
      <c r="C20" s="7"/>
      <c r="D20" s="7"/>
      <c r="E20" s="7"/>
      <c r="F20" s="7"/>
      <c r="G20" s="7"/>
      <c r="H20" s="7"/>
      <c r="I20" s="7"/>
      <c r="J20" s="7"/>
      <c r="K20" s="106">
        <f>IF(ISERROR(HL_Err_Chk_8),1,(HL_Err_Chk_8&lt;&gt;0)*1)</f>
        <v>0</v>
      </c>
      <c r="L20" s="237" t="s">
        <v>735</v>
      </c>
      <c r="M20" s="106">
        <f t="shared" si="0"/>
        <v>0</v>
      </c>
    </row>
    <row r="21" spans="2:13" outlineLevel="1" x14ac:dyDescent="0.15">
      <c r="B21" s="154" t="str">
        <f>IF(ISERROR(Err_Chk_13_Hdg),"Miscellaneous Check",Err_Chk_13_Hdg)</f>
        <v>Inventory</v>
      </c>
      <c r="C21" s="7"/>
      <c r="D21" s="7"/>
      <c r="E21" s="7"/>
      <c r="F21" s="7"/>
      <c r="G21" s="7"/>
      <c r="H21" s="7"/>
      <c r="I21" s="7"/>
      <c r="J21" s="7"/>
      <c r="K21" s="106">
        <f ca="1">IF(ISERROR(HL_Err_Chk_13),1,(HL_Err_Chk_13&lt;&gt;0)*1)</f>
        <v>0</v>
      </c>
      <c r="L21" s="237" t="s">
        <v>735</v>
      </c>
      <c r="M21" s="106">
        <f t="shared" ca="1" si="0"/>
        <v>0</v>
      </c>
    </row>
    <row r="22" spans="2:13" outlineLevel="1" x14ac:dyDescent="0.15">
      <c r="B22" s="154" t="str">
        <f>IF(ISERROR(Err_Chk_6_Hdg),"Miscellaneous Check",Err_Chk_6_Hdg)</f>
        <v>Creditors</v>
      </c>
      <c r="C22" s="7"/>
      <c r="D22" s="7"/>
      <c r="E22" s="7"/>
      <c r="F22" s="7"/>
      <c r="G22" s="7"/>
      <c r="H22" s="7"/>
      <c r="I22" s="7"/>
      <c r="J22" s="7"/>
      <c r="K22" s="106">
        <f>IF(ISERROR(HL_Err_Chk_6),1,(HL_Err_Chk_6&lt;&gt;0)*1)</f>
        <v>0</v>
      </c>
      <c r="L22" s="237" t="s">
        <v>735</v>
      </c>
      <c r="M22" s="106">
        <f t="shared" si="0"/>
        <v>0</v>
      </c>
    </row>
    <row r="23" spans="2:13" outlineLevel="1" x14ac:dyDescent="0.15">
      <c r="B23" s="154" t="str">
        <f>IF(ISERROR(Err_Chk_12_Hdg),"Miscellaneous Check",Err_Chk_12_Hdg)</f>
        <v>Inventory Payables</v>
      </c>
      <c r="C23" s="7"/>
      <c r="D23" s="7"/>
      <c r="E23" s="7"/>
      <c r="F23" s="7"/>
      <c r="G23" s="7"/>
      <c r="H23" s="7"/>
      <c r="I23" s="7"/>
      <c r="J23" s="7"/>
      <c r="K23" s="106">
        <f>IF(ISERROR(HL_Err_Chk_12),1,(HL_Err_Chk_12&lt;&gt;0)*1)</f>
        <v>0</v>
      </c>
      <c r="L23" s="237" t="s">
        <v>735</v>
      </c>
      <c r="M23" s="106">
        <f t="shared" si="0"/>
        <v>0</v>
      </c>
    </row>
    <row r="24" spans="2:13" outlineLevel="1" x14ac:dyDescent="0.15">
      <c r="B24" s="154" t="str">
        <f>IF(ISERROR(Err_Chk_2_Hdg),"Miscellaneous Check",Err_Chk_2_Hdg)</f>
        <v>Capital Expenditure</v>
      </c>
      <c r="C24" s="7"/>
      <c r="D24" s="7"/>
      <c r="E24" s="7"/>
      <c r="F24" s="7"/>
      <c r="G24" s="7"/>
      <c r="H24" s="7"/>
      <c r="I24" s="7"/>
      <c r="J24" s="7"/>
      <c r="K24" s="106">
        <f ca="1">IF(ISERROR(HL_Err_Chk_2),1,(HL_Err_Chk_2&lt;&gt;0)*1)</f>
        <v>0</v>
      </c>
      <c r="L24" s="237" t="s">
        <v>735</v>
      </c>
      <c r="M24" s="106">
        <f t="shared" ca="1" si="0"/>
        <v>0</v>
      </c>
    </row>
    <row r="25" spans="2:13" outlineLevel="1" x14ac:dyDescent="0.15">
      <c r="B25" s="154" t="str">
        <f>IF(ISERROR(Err_Chk_9_Hdg),"Miscellaneous Check",Err_Chk_9_Hdg)</f>
        <v>Fixed Assets</v>
      </c>
      <c r="C25" s="7"/>
      <c r="D25" s="7"/>
      <c r="E25" s="7"/>
      <c r="F25" s="7"/>
      <c r="G25" s="7"/>
      <c r="H25" s="7"/>
      <c r="I25" s="7"/>
      <c r="J25" s="7"/>
      <c r="K25" s="106">
        <f ca="1">IF(ISERROR(HL_Err_Chk_9),1,(HL_Err_Chk_9&lt;&gt;0)*1)</f>
        <v>0</v>
      </c>
      <c r="L25" s="237" t="s">
        <v>735</v>
      </c>
      <c r="M25" s="106">
        <f t="shared" ca="1" si="0"/>
        <v>0</v>
      </c>
    </row>
    <row r="26" spans="2:13" outlineLevel="1" x14ac:dyDescent="0.15">
      <c r="B26" s="154" t="str">
        <f>IF(ISERROR(Err_Chk_7_Hdg),"Miscellaneous Check",Err_Chk_7_Hdg)</f>
        <v>Debt</v>
      </c>
      <c r="C26" s="7"/>
      <c r="D26" s="7"/>
      <c r="E26" s="7"/>
      <c r="F26" s="7"/>
      <c r="G26" s="7"/>
      <c r="H26" s="7"/>
      <c r="I26" s="7"/>
      <c r="J26" s="7"/>
      <c r="K26" s="106">
        <f>IF(ISERROR(HL_Err_Chk_7),1,(HL_Err_Chk_7&lt;&gt;0)*1)</f>
        <v>0</v>
      </c>
      <c r="L26" s="237" t="s">
        <v>735</v>
      </c>
      <c r="M26" s="106">
        <f t="shared" si="0"/>
        <v>0</v>
      </c>
    </row>
    <row r="27" spans="2:13" outlineLevel="1" x14ac:dyDescent="0.15">
      <c r="B27" s="154" t="str">
        <f>IF(ISERROR(Err_Chk_23_Hdg),"Miscellaneous Check",Err_Chk_23_Hdg)</f>
        <v>Operating Grants</v>
      </c>
      <c r="C27" s="7"/>
      <c r="D27" s="7"/>
      <c r="E27" s="7"/>
      <c r="F27" s="7"/>
      <c r="G27" s="7"/>
      <c r="H27" s="7"/>
      <c r="I27" s="7"/>
      <c r="J27" s="7"/>
      <c r="K27" s="106">
        <f>IF(ISERROR(HL_Err_Chk_23),1,(HL_Err_Chk_23&lt;&gt;0)*1)</f>
        <v>0</v>
      </c>
      <c r="L27" s="237" t="s">
        <v>735</v>
      </c>
      <c r="M27" s="106">
        <f t="shared" si="0"/>
        <v>0</v>
      </c>
    </row>
    <row r="28" spans="2:13" outlineLevel="1" x14ac:dyDescent="0.15">
      <c r="B28" s="154" t="str">
        <f>IF(ISERROR(Err_Chk_31_Hdg),"Miscellaneous Check",Err_Chk_31_Hdg)</f>
        <v>CAPEX Grant</v>
      </c>
      <c r="C28" s="7"/>
      <c r="D28" s="7"/>
      <c r="E28" s="7"/>
      <c r="F28" s="7"/>
      <c r="G28" s="7"/>
      <c r="H28" s="7"/>
      <c r="I28" s="7"/>
      <c r="J28" s="7"/>
      <c r="K28" s="106">
        <f>IF(ISERROR(HL_Err_Chk_31),1,(HL_Err_Chk_31&lt;&gt;0)*1)</f>
        <v>0</v>
      </c>
      <c r="L28" s="237" t="s">
        <v>735</v>
      </c>
      <c r="M28" s="106">
        <f t="shared" si="0"/>
        <v>0</v>
      </c>
    </row>
    <row r="29" spans="2:13" outlineLevel="1" x14ac:dyDescent="0.15">
      <c r="B29" s="154" t="str">
        <f>IF(ISERROR(Err_Chk_16_Hdg),"Miscellaneous Check",Err_Chk_16_Hdg)</f>
        <v>Ordinary Equity</v>
      </c>
      <c r="C29" s="7"/>
      <c r="D29" s="7"/>
      <c r="E29" s="7"/>
      <c r="F29" s="7"/>
      <c r="G29" s="7"/>
      <c r="H29" s="7"/>
      <c r="I29" s="7"/>
      <c r="J29" s="7"/>
      <c r="K29" s="106">
        <f ca="1">IF(ISERROR(HL_Err_Chk_16),1,(HL_Err_Chk_16&lt;&gt;0)*1)</f>
        <v>0</v>
      </c>
      <c r="L29" s="237" t="s">
        <v>735</v>
      </c>
      <c r="M29" s="106">
        <f t="shared" ca="1" si="0"/>
        <v>0</v>
      </c>
    </row>
    <row r="30" spans="2:13" outlineLevel="1" x14ac:dyDescent="0.15">
      <c r="B30" s="154" t="str">
        <f>IF(ISERROR(Err_Chk_20_Hdg),"Miscellaneous Check",Err_Chk_20_Hdg)</f>
        <v>VAT</v>
      </c>
      <c r="C30" s="7"/>
      <c r="D30" s="7"/>
      <c r="E30" s="7"/>
      <c r="F30" s="7"/>
      <c r="G30" s="7"/>
      <c r="H30" s="7"/>
      <c r="I30" s="7"/>
      <c r="J30" s="7"/>
      <c r="K30" s="106">
        <f ca="1">IF(ISERROR(HL_Err_Chk_20),1,(HL_Err_Chk_20&lt;&gt;0)*1)</f>
        <v>0</v>
      </c>
      <c r="L30" s="237" t="s">
        <v>735</v>
      </c>
      <c r="M30" s="106">
        <f t="shared" ca="1" si="0"/>
        <v>0</v>
      </c>
    </row>
    <row r="31" spans="2:13" outlineLevel="1" x14ac:dyDescent="0.15">
      <c r="B31" s="154" t="str">
        <f>IF(ISERROR(Err_Chk_4_Hdg),"Miscellaneous Check",Err_Chk_4_Hdg)</f>
        <v>Corporate Taxation</v>
      </c>
      <c r="C31" s="7"/>
      <c r="D31" s="7"/>
      <c r="E31" s="7"/>
      <c r="F31" s="7"/>
      <c r="G31" s="7"/>
      <c r="H31" s="7"/>
      <c r="I31" s="7"/>
      <c r="J31" s="7"/>
      <c r="K31" s="106">
        <f ca="1">IF(ISERROR(HL_Err_Chk_4),1,(HL_Err_Chk_4&lt;&gt;0)*1)</f>
        <v>0</v>
      </c>
      <c r="L31" s="237" t="s">
        <v>735</v>
      </c>
      <c r="M31" s="106">
        <f t="shared" ca="1" si="0"/>
        <v>0</v>
      </c>
    </row>
    <row r="32" spans="2:13" outlineLevel="1" x14ac:dyDescent="0.15">
      <c r="B32" s="154" t="str">
        <f>IF(ISERROR(Err_Chk_11_Hdg),"Miscellaneous Check",Err_Chk_11_Hdg)</f>
        <v>Interest on Cash</v>
      </c>
      <c r="C32" s="7"/>
      <c r="D32" s="7"/>
      <c r="E32" s="7"/>
      <c r="F32" s="7"/>
      <c r="G32" s="7"/>
      <c r="H32" s="7"/>
      <c r="I32" s="7"/>
      <c r="J32" s="7"/>
      <c r="K32" s="106">
        <f ca="1">IF(ISERROR(HL_Err_Chk_11),1,(HL_Err_Chk_11&lt;&gt;0)*1)</f>
        <v>0</v>
      </c>
      <c r="L32" s="237" t="s">
        <v>735</v>
      </c>
      <c r="M32" s="106">
        <f t="shared" ca="1" si="0"/>
        <v>0</v>
      </c>
    </row>
    <row r="33" spans="1:13" outlineLevel="1" x14ac:dyDescent="0.15">
      <c r="B33" s="154" t="str">
        <f>IF(ISERROR(Err_Chk_17_Hdg),"Miscellaneous Check",Err_Chk_17_Hdg)</f>
        <v>Other Current Assets</v>
      </c>
      <c r="C33" s="7"/>
      <c r="D33" s="7"/>
      <c r="E33" s="7"/>
      <c r="F33" s="7"/>
      <c r="G33" s="7"/>
      <c r="H33" s="7"/>
      <c r="I33" s="7"/>
      <c r="J33" s="7"/>
      <c r="K33" s="106">
        <f ca="1">IF(ISERROR(HL_Err_Chk_17),1,(HL_Err_Chk_17&lt;&gt;0)*1)</f>
        <v>0</v>
      </c>
      <c r="L33" s="237" t="s">
        <v>735</v>
      </c>
      <c r="M33" s="106">
        <f t="shared" ca="1" si="0"/>
        <v>0</v>
      </c>
    </row>
    <row r="34" spans="1:13" outlineLevel="1" x14ac:dyDescent="0.15">
      <c r="B34" s="154" t="str">
        <f>IF(ISERROR(Err_Chk_25_Hdg),"Miscellaneous Check",Err_Chk_25_Hdg)</f>
        <v>Other Non-Current Assets</v>
      </c>
      <c r="C34" s="7"/>
      <c r="D34" s="7"/>
      <c r="E34" s="7"/>
      <c r="F34" s="7"/>
      <c r="G34" s="7"/>
      <c r="H34" s="7"/>
      <c r="I34" s="7"/>
      <c r="J34" s="7"/>
      <c r="K34" s="106">
        <f ca="1">IF(ISERROR(HL_Err_Chk_25),1,(HL_Err_Chk_25&lt;&gt;0)*1)</f>
        <v>0</v>
      </c>
      <c r="L34" s="237" t="s">
        <v>735</v>
      </c>
      <c r="M34" s="106">
        <f t="shared" ca="1" si="0"/>
        <v>0</v>
      </c>
    </row>
    <row r="35" spans="1:13" outlineLevel="1" x14ac:dyDescent="0.15">
      <c r="B35" s="154" t="str">
        <f>IF(ISERROR(Err_Chk_26_Hdg),"Miscellaneous Check",Err_Chk_26_Hdg)</f>
        <v>Other Current Liabilities</v>
      </c>
      <c r="C35" s="7"/>
      <c r="D35" s="7"/>
      <c r="E35" s="7"/>
      <c r="F35" s="7"/>
      <c r="G35" s="7"/>
      <c r="H35" s="7"/>
      <c r="I35" s="7"/>
      <c r="J35" s="7"/>
      <c r="K35" s="106">
        <f ca="1">IF(ISERROR(HL_Err_Chk_26),1,(HL_Err_Chk_26&lt;&gt;0)*1)</f>
        <v>0</v>
      </c>
      <c r="L35" s="237" t="s">
        <v>735</v>
      </c>
      <c r="M35" s="106">
        <f t="shared" ca="1" si="0"/>
        <v>0</v>
      </c>
    </row>
    <row r="36" spans="1:13" outlineLevel="1" x14ac:dyDescent="0.15">
      <c r="B36" s="154" t="str">
        <f>IF(ISERROR(Err_Chk_27_Hdg),"Miscellaneous Check",Err_Chk_27_Hdg)</f>
        <v>Other Non-Current Liabilities</v>
      </c>
      <c r="C36" s="7"/>
      <c r="D36" s="7"/>
      <c r="E36" s="7"/>
      <c r="F36" s="7"/>
      <c r="G36" s="7"/>
      <c r="H36" s="7"/>
      <c r="I36" s="7"/>
      <c r="J36" s="7"/>
      <c r="K36" s="106">
        <f ca="1">IF(ISERROR(HL_Err_Chk_27),1,(HL_Err_Chk_27&lt;&gt;0)*1)</f>
        <v>0</v>
      </c>
      <c r="L36" s="237" t="s">
        <v>735</v>
      </c>
      <c r="M36" s="106">
        <f t="shared" ca="1" si="0"/>
        <v>0</v>
      </c>
    </row>
    <row r="37" spans="1:13" outlineLevel="1" x14ac:dyDescent="0.15">
      <c r="B37" s="154" t="str">
        <f>IF(ISERROR(Err_Chk_28_Hdg),"Miscellaneous Check",Err_Chk_28_Hdg)</f>
        <v>Other Equity</v>
      </c>
      <c r="C37" s="7"/>
      <c r="D37" s="7"/>
      <c r="E37" s="7"/>
      <c r="F37" s="7"/>
      <c r="G37" s="7"/>
      <c r="H37" s="7"/>
      <c r="I37" s="7"/>
      <c r="J37" s="7"/>
      <c r="K37" s="106">
        <f ca="1">IF(ISERROR(HL_Err_Chk_28),1,(HL_Err_Chk_28&lt;&gt;0)*1)</f>
        <v>0</v>
      </c>
      <c r="L37" s="237" t="s">
        <v>735</v>
      </c>
      <c r="M37" s="106">
        <f t="shared" ca="1" si="0"/>
        <v>0</v>
      </c>
    </row>
    <row r="38" spans="1:13" outlineLevel="1" x14ac:dyDescent="0.15">
      <c r="B38" s="154" t="str">
        <f>IF(ISERROR(Err_Chk_10_Hdg),"Miscellaneous Check",Err_Chk_10_Hdg)</f>
        <v>Income Statement</v>
      </c>
      <c r="C38" s="7"/>
      <c r="D38" s="7"/>
      <c r="E38" s="7"/>
      <c r="F38" s="7"/>
      <c r="G38" s="7"/>
      <c r="H38" s="7"/>
      <c r="I38" s="7"/>
      <c r="J38" s="7"/>
      <c r="K38" s="106">
        <f ca="1">IF(ISERROR(HL_Err_Chk_10),1,(HL_Err_Chk_10&lt;&gt;0)*1)</f>
        <v>0</v>
      </c>
      <c r="L38" s="237" t="s">
        <v>735</v>
      </c>
      <c r="M38" s="106">
        <f t="shared" ca="1" si="0"/>
        <v>0</v>
      </c>
    </row>
    <row r="39" spans="1:13" outlineLevel="1" x14ac:dyDescent="0.15">
      <c r="B39" s="154" t="str">
        <f>IF(ISERROR(Err_Chk_1_Hdg),"Miscellaneous Check",Err_Chk_1_Hdg)</f>
        <v>Balance Sheet</v>
      </c>
      <c r="C39" s="7"/>
      <c r="D39" s="7"/>
      <c r="E39" s="7"/>
      <c r="F39" s="7"/>
      <c r="G39" s="7"/>
      <c r="H39" s="7"/>
      <c r="I39" s="7"/>
      <c r="J39" s="7"/>
      <c r="K39" s="106">
        <f ca="1">IF(ISERROR(HL_Err_Chk_1),1,(HL_Err_Chk_1&lt;&gt;0)*1)</f>
        <v>0</v>
      </c>
      <c r="L39" s="237" t="s">
        <v>735</v>
      </c>
      <c r="M39" s="106">
        <f t="shared" ca="1" si="0"/>
        <v>0</v>
      </c>
    </row>
    <row r="40" spans="1:13" outlineLevel="1" x14ac:dyDescent="0.15">
      <c r="B40" s="154" t="str">
        <f>IF(ISERROR(Err_Chk_3_Hdg),"Miscellaneous Check",Err_Chk_3_Hdg)</f>
        <v>Cash Flow Statement</v>
      </c>
      <c r="C40" s="7"/>
      <c r="D40" s="7"/>
      <c r="E40" s="7"/>
      <c r="F40" s="7"/>
      <c r="G40" s="7"/>
      <c r="H40" s="7"/>
      <c r="I40" s="7"/>
      <c r="J40" s="7"/>
      <c r="K40" s="106">
        <f ca="1">IF(ISERROR(HL_Err_Chk_3),1,(HL_Err_Chk_3&lt;&gt;0)*1)</f>
        <v>0</v>
      </c>
      <c r="L40" s="237" t="s">
        <v>735</v>
      </c>
      <c r="M40" s="106">
        <f t="shared" ca="1" si="0"/>
        <v>0</v>
      </c>
    </row>
    <row r="41" spans="1:13" ht="6" customHeight="1" outlineLevel="1" x14ac:dyDescent="0.15"/>
    <row r="42" spans="1:13" outlineLevel="1" x14ac:dyDescent="0.15">
      <c r="B42" s="194" t="s">
        <v>802</v>
      </c>
      <c r="K42" s="199" t="b">
        <f>L42="Yes"</f>
        <v>1</v>
      </c>
      <c r="L42" s="198" t="s">
        <v>735</v>
      </c>
      <c r="M42" s="197">
        <f ca="1">SUMIF(CA_Err_Chks_Inc,"Yes",CA_Err_Chks_Flags)</f>
        <v>0</v>
      </c>
    </row>
    <row r="44" spans="1:13" s="1" customFormat="1" x14ac:dyDescent="0.15">
      <c r="A44"/>
      <c r="B44" s="2" t="s">
        <v>803</v>
      </c>
    </row>
    <row r="45" spans="1:13" outlineLevel="1" x14ac:dyDescent="0.15"/>
    <row r="46" spans="1:13" outlineLevel="1" x14ac:dyDescent="0.15">
      <c r="B46" s="200" t="s">
        <v>798</v>
      </c>
      <c r="F46" s="105">
        <f ca="1">Sens_Chks_Ttl_Areas</f>
        <v>0</v>
      </c>
      <c r="G46" s="201" t="str">
        <f ca="1">IF(OR(NOT(CB_Sens_Chks_Show_Msg),Sens_Chks_Ttl_Areas=0),"",IF(Sens_Chks_Ttl_Areas=1," (Sensitivity in "&amp;INDEX(CA_Sens_Chks_Area_Names,MATCH(1,CA_Sens_Chks_Flags,0))&amp;")"," ("&amp;TEXT(Sens_Chks_Ttl_Areas,"#,##0")&amp;" Sensitivities Detected)"))</f>
        <v/>
      </c>
    </row>
    <row r="47" spans="1:13" outlineLevel="1" x14ac:dyDescent="0.15"/>
    <row r="48" spans="1:13" outlineLevel="1" x14ac:dyDescent="0.15">
      <c r="B48" s="195" t="s">
        <v>803</v>
      </c>
      <c r="C48" s="5"/>
      <c r="D48" s="5"/>
      <c r="E48" s="5"/>
      <c r="F48" s="5"/>
      <c r="G48" s="5"/>
      <c r="H48" s="5"/>
      <c r="I48" s="5"/>
      <c r="J48" s="5"/>
      <c r="K48" s="196" t="s">
        <v>799</v>
      </c>
      <c r="L48" s="196" t="s">
        <v>800</v>
      </c>
      <c r="M48" s="196" t="s">
        <v>801</v>
      </c>
    </row>
    <row r="49" spans="1:13" ht="6" customHeight="1" outlineLevel="1" x14ac:dyDescent="0.15"/>
    <row r="50" spans="1:13" outlineLevel="1" x14ac:dyDescent="0.15">
      <c r="B50" s="154" t="str">
        <f>IF(ISERROR(Sens_Chk_6_Hdg),"Miscellaneous Check",Sens_Chk_6_Hdg)</f>
        <v>Volumes</v>
      </c>
      <c r="C50" s="7"/>
      <c r="D50" s="7"/>
      <c r="E50" s="7"/>
      <c r="F50" s="7"/>
      <c r="G50" s="7"/>
      <c r="H50" s="7"/>
      <c r="I50" s="7"/>
      <c r="J50" s="7"/>
      <c r="K50" s="106">
        <f>IF(ISERROR(HL_Sens_Chk_6),1,(HL_Sens_Chk_6&lt;&gt;0)*1)</f>
        <v>0</v>
      </c>
      <c r="L50" s="237" t="s">
        <v>735</v>
      </c>
      <c r="M50" s="106">
        <f t="shared" ref="M50:M56" si="1">K50*(L50="Yes")</f>
        <v>0</v>
      </c>
    </row>
    <row r="51" spans="1:13" outlineLevel="1" x14ac:dyDescent="0.15">
      <c r="B51" s="154" t="str">
        <f>IF(ISERROR(Sens_Chk_5_Hdg),"Miscellaneous Check",Sens_Chk_5_Hdg)</f>
        <v>Volumes (2)</v>
      </c>
      <c r="C51" s="7"/>
      <c r="D51" s="7"/>
      <c r="E51" s="7"/>
      <c r="F51" s="7"/>
      <c r="G51" s="7"/>
      <c r="H51" s="7"/>
      <c r="I51" s="7"/>
      <c r="J51" s="7"/>
      <c r="K51" s="106">
        <f>IF(ISERROR(HL_Sens_Chk_5),1,(HL_Sens_Chk_5&lt;&gt;0)*1)</f>
        <v>0</v>
      </c>
      <c r="L51" s="237" t="s">
        <v>735</v>
      </c>
      <c r="M51" s="106">
        <f t="shared" si="1"/>
        <v>0</v>
      </c>
    </row>
    <row r="52" spans="1:13" outlineLevel="1" x14ac:dyDescent="0.15">
      <c r="B52" s="154" t="str">
        <f>IF(ISERROR(Sens_Chk_1_Hdg),"Miscellaneous Check",Sens_Chk_1_Hdg)</f>
        <v>Revenue</v>
      </c>
      <c r="C52" s="7"/>
      <c r="D52" s="7"/>
      <c r="E52" s="7"/>
      <c r="F52" s="7"/>
      <c r="G52" s="7"/>
      <c r="H52" s="7"/>
      <c r="I52" s="7"/>
      <c r="J52" s="7"/>
      <c r="K52" s="106">
        <f ca="1">IF(ISERROR(HL_Sens_Chk_1),1,(HL_Sens_Chk_1&lt;&gt;0)*1)</f>
        <v>0</v>
      </c>
      <c r="L52" s="237" t="s">
        <v>735</v>
      </c>
      <c r="M52" s="106">
        <f t="shared" ca="1" si="1"/>
        <v>0</v>
      </c>
    </row>
    <row r="53" spans="1:13" outlineLevel="1" x14ac:dyDescent="0.15">
      <c r="B53" s="154" t="str">
        <f>IF(ISERROR(Sens_Chk_2_Hdg),"Miscellaneous Check",Sens_Chk_2_Hdg)</f>
        <v>Cost of Goods Sold</v>
      </c>
      <c r="C53" s="7"/>
      <c r="D53" s="7"/>
      <c r="E53" s="7"/>
      <c r="F53" s="7"/>
      <c r="G53" s="7"/>
      <c r="H53" s="7"/>
      <c r="I53" s="7"/>
      <c r="J53" s="7"/>
      <c r="K53" s="106">
        <f ca="1">IF(ISERROR(HL_Sens_Chk_2),1,(HL_Sens_Chk_2&lt;&gt;0)*1)</f>
        <v>0</v>
      </c>
      <c r="L53" s="237" t="s">
        <v>735</v>
      </c>
      <c r="M53" s="106">
        <f t="shared" ca="1" si="1"/>
        <v>0</v>
      </c>
    </row>
    <row r="54" spans="1:13" outlineLevel="1" x14ac:dyDescent="0.15">
      <c r="B54" s="154" t="str">
        <f>IF(ISERROR(Sens_Chk_3_Hdg),"Miscellaneous Check",Sens_Chk_3_Hdg)</f>
        <v>Operating Expenditure</v>
      </c>
      <c r="C54" s="7"/>
      <c r="D54" s="7"/>
      <c r="E54" s="7"/>
      <c r="F54" s="7"/>
      <c r="G54" s="7"/>
      <c r="H54" s="7"/>
      <c r="I54" s="7"/>
      <c r="J54" s="7"/>
      <c r="K54" s="106">
        <f ca="1">IF(ISERROR(HL_Sens_Chk_3),1,(HL_Sens_Chk_3&lt;&gt;0)*1)</f>
        <v>0</v>
      </c>
      <c r="L54" s="237" t="s">
        <v>735</v>
      </c>
      <c r="M54" s="106">
        <f t="shared" ca="1" si="1"/>
        <v>0</v>
      </c>
    </row>
    <row r="55" spans="1:13" outlineLevel="1" x14ac:dyDescent="0.15">
      <c r="B55" s="154" t="str">
        <f>IF(ISERROR(Sens_Chk_7_Hdg),"Miscellaneous Check",Sens_Chk_7_Hdg)</f>
        <v>Other Revenue</v>
      </c>
      <c r="C55" s="7"/>
      <c r="D55" s="7"/>
      <c r="E55" s="7"/>
      <c r="F55" s="7"/>
      <c r="G55" s="7"/>
      <c r="H55" s="7"/>
      <c r="I55" s="7"/>
      <c r="J55" s="7"/>
      <c r="K55" s="106">
        <f ca="1">IF(ISERROR(HL_Sens_Chk_7),1,(HL_Sens_Chk_7&lt;&gt;0)*1)</f>
        <v>0</v>
      </c>
      <c r="L55" s="237" t="s">
        <v>735</v>
      </c>
      <c r="M55" s="106">
        <f t="shared" ca="1" si="1"/>
        <v>0</v>
      </c>
    </row>
    <row r="56" spans="1:13" outlineLevel="1" x14ac:dyDescent="0.15">
      <c r="B56" s="154" t="str">
        <f>IF(ISERROR(Sens_Chk_4_Hdg),"Miscellaneous Check",Sens_Chk_4_Hdg)</f>
        <v>Capital Expenditure</v>
      </c>
      <c r="C56" s="7"/>
      <c r="D56" s="7"/>
      <c r="E56" s="7"/>
      <c r="F56" s="7"/>
      <c r="G56" s="7"/>
      <c r="H56" s="7"/>
      <c r="I56" s="7"/>
      <c r="J56" s="7"/>
      <c r="K56" s="106">
        <f ca="1">IF(ISERROR(HL_Sens_Chk_4),1,(HL_Sens_Chk_4&lt;&gt;0)*1)</f>
        <v>0</v>
      </c>
      <c r="L56" s="237" t="s">
        <v>735</v>
      </c>
      <c r="M56" s="106">
        <f t="shared" ca="1" si="1"/>
        <v>0</v>
      </c>
    </row>
    <row r="57" spans="1:13" ht="6" customHeight="1" outlineLevel="1" x14ac:dyDescent="0.15"/>
    <row r="58" spans="1:13" outlineLevel="1" x14ac:dyDescent="0.15">
      <c r="B58" s="194" t="s">
        <v>804</v>
      </c>
      <c r="K58" s="199" t="b">
        <f>L58="Yes"</f>
        <v>1</v>
      </c>
      <c r="L58" s="198" t="s">
        <v>735</v>
      </c>
      <c r="M58" s="197">
        <f ca="1">SUMIF(CA_Sens_Chks_Inc,"Yes",CA_Sens_Chks_Flags)</f>
        <v>0</v>
      </c>
    </row>
    <row r="60" spans="1:13" s="1" customFormat="1" x14ac:dyDescent="0.15">
      <c r="A60"/>
      <c r="B60" s="2" t="s">
        <v>805</v>
      </c>
    </row>
    <row r="61" spans="1:13" outlineLevel="1" x14ac:dyDescent="0.15"/>
    <row r="62" spans="1:13" outlineLevel="1" x14ac:dyDescent="0.15">
      <c r="B62" s="200" t="s">
        <v>798</v>
      </c>
      <c r="F62" s="105">
        <f ca="1">Alt_Chks_Ttl_Areas</f>
        <v>1</v>
      </c>
      <c r="G62" s="201" t="str">
        <f ca="1">IF(OR(NOT(CB_Alt_Chks_Show_Msg),Alt_Chks_Ttl_Areas=0),"",IF(Alt_Chks_Ttl_Areas=1," (Alert in "&amp;INDEX(CA_Alt_Chks_Area_Names,MATCH(1,CA_Alt_Chks_Flags,0))&amp;")"," ("&amp;TEXT(Alt_Chks_Ttl_Areas,"#,##0")&amp;" Alerts Detected)"))</f>
        <v xml:space="preserve"> (Alert in Inventory)</v>
      </c>
    </row>
    <row r="63" spans="1:13" outlineLevel="1" x14ac:dyDescent="0.15"/>
    <row r="64" spans="1:13" outlineLevel="1" x14ac:dyDescent="0.15">
      <c r="B64" s="195" t="s">
        <v>805</v>
      </c>
      <c r="C64" s="5"/>
      <c r="D64" s="5"/>
      <c r="E64" s="5"/>
      <c r="F64" s="5"/>
      <c r="G64" s="5"/>
      <c r="H64" s="5"/>
      <c r="I64" s="5"/>
      <c r="J64" s="5"/>
      <c r="K64" s="196" t="s">
        <v>799</v>
      </c>
      <c r="L64" s="196" t="s">
        <v>800</v>
      </c>
      <c r="M64" s="196" t="s">
        <v>801</v>
      </c>
    </row>
    <row r="65" spans="2:13" ht="6" customHeight="1" outlineLevel="1" x14ac:dyDescent="0.15"/>
    <row r="66" spans="2:13" outlineLevel="1" x14ac:dyDescent="0.15">
      <c r="B66" s="154" t="str">
        <f>IF(ISERROR(Alt_Chk_10_Hdg),"Miscellaneous Check",Alt_Chk_10_Hdg)</f>
        <v>Opening Balance Sheet</v>
      </c>
      <c r="C66" s="7"/>
      <c r="D66" s="7"/>
      <c r="E66" s="7"/>
      <c r="F66" s="7"/>
      <c r="G66" s="7"/>
      <c r="H66" s="7"/>
      <c r="I66" s="7"/>
      <c r="J66" s="7"/>
      <c r="K66" s="106">
        <f>IF(ISERROR(HL_Alt_Chk_10),1,(HL_Alt_Chk_10&lt;&gt;0)*1)</f>
        <v>0</v>
      </c>
      <c r="L66" s="237" t="s">
        <v>735</v>
      </c>
      <c r="M66" s="106">
        <f t="shared" ref="M66:M83" si="2">K66*(L66="Yes")</f>
        <v>0</v>
      </c>
    </row>
    <row r="67" spans="2:13" outlineLevel="1" x14ac:dyDescent="0.15">
      <c r="B67" s="154" t="str">
        <f>IF(ISERROR(Alt_Chk_16_Hdg),"Miscellaneous Check",Alt_Chk_16_Hdg)</f>
        <v>Membership</v>
      </c>
      <c r="C67" s="7"/>
      <c r="D67" s="7"/>
      <c r="E67" s="7"/>
      <c r="F67" s="7"/>
      <c r="G67" s="7"/>
      <c r="H67" s="7"/>
      <c r="I67" s="7"/>
      <c r="J67" s="7"/>
      <c r="K67" s="106">
        <f>IF(ISERROR(HL_Alt_Chk_16),1,(HL_Alt_Chk_16&lt;&gt;0)*1)</f>
        <v>0</v>
      </c>
      <c r="L67" s="237" t="s">
        <v>735</v>
      </c>
      <c r="M67" s="106">
        <f t="shared" si="2"/>
        <v>0</v>
      </c>
    </row>
    <row r="68" spans="2:13" outlineLevel="1" x14ac:dyDescent="0.15">
      <c r="B68" s="154" t="str">
        <f>IF(ISERROR(Alt_Chk_17_Hdg),"Miscellaneous Check",Alt_Chk_17_Hdg)</f>
        <v>Membership &amp; Utilisation</v>
      </c>
      <c r="C68" s="7"/>
      <c r="D68" s="7"/>
      <c r="E68" s="7"/>
      <c r="F68" s="7"/>
      <c r="G68" s="7"/>
      <c r="H68" s="7"/>
      <c r="I68" s="7"/>
      <c r="J68" s="7"/>
      <c r="K68" s="106">
        <f>IF(ISERROR(HL_Alt_Chk_17),1,(HL_Alt_Chk_17&lt;&gt;0)*1)</f>
        <v>0</v>
      </c>
      <c r="L68" s="237" t="s">
        <v>735</v>
      </c>
      <c r="M68" s="106">
        <f t="shared" si="2"/>
        <v>0</v>
      </c>
    </row>
    <row r="69" spans="2:13" outlineLevel="1" x14ac:dyDescent="0.15">
      <c r="B69" s="154" t="str">
        <f>IF(ISERROR(Alt_Chk_13_Hdg),"Miscellaneous Check",Alt_Chk_13_Hdg)</f>
        <v>Revenue</v>
      </c>
      <c r="C69" s="7"/>
      <c r="D69" s="7"/>
      <c r="E69" s="7"/>
      <c r="F69" s="7"/>
      <c r="G69" s="7"/>
      <c r="H69" s="7"/>
      <c r="I69" s="7"/>
      <c r="J69" s="7"/>
      <c r="K69" s="106">
        <f ca="1">IF(ISERROR(HL_Alt_Chk_13),1,(HL_Alt_Chk_13&lt;&gt;0)*1)</f>
        <v>0</v>
      </c>
      <c r="L69" s="237" t="s">
        <v>735</v>
      </c>
      <c r="M69" s="106">
        <f t="shared" ca="1" si="2"/>
        <v>0</v>
      </c>
    </row>
    <row r="70" spans="2:13" outlineLevel="1" x14ac:dyDescent="0.15">
      <c r="B70" s="154" t="str">
        <f>IF(ISERROR(Alt_Chk_3_Hdg),"Miscellaneous Check",Alt_Chk_3_Hdg)</f>
        <v>Cost of Goods Sold</v>
      </c>
      <c r="C70" s="7"/>
      <c r="D70" s="7"/>
      <c r="E70" s="7"/>
      <c r="F70" s="7"/>
      <c r="G70" s="7"/>
      <c r="H70" s="7"/>
      <c r="I70" s="7"/>
      <c r="J70" s="7"/>
      <c r="K70" s="106">
        <f ca="1">IF(ISERROR(HL_Alt_Chk_3),1,(HL_Alt_Chk_3&lt;&gt;0)*1)</f>
        <v>0</v>
      </c>
      <c r="L70" s="237" t="s">
        <v>735</v>
      </c>
      <c r="M70" s="106">
        <f t="shared" ca="1" si="2"/>
        <v>0</v>
      </c>
    </row>
    <row r="71" spans="2:13" outlineLevel="1" x14ac:dyDescent="0.15">
      <c r="B71" s="154" t="str">
        <f>IF(ISERROR(Alt_Chk_11_Hdg),"Miscellaneous Check",Alt_Chk_11_Hdg)</f>
        <v>Operating Expenditure</v>
      </c>
      <c r="C71" s="7"/>
      <c r="D71" s="7"/>
      <c r="E71" s="7"/>
      <c r="F71" s="7"/>
      <c r="G71" s="7"/>
      <c r="H71" s="7"/>
      <c r="I71" s="7"/>
      <c r="J71" s="7"/>
      <c r="K71" s="106">
        <f ca="1">IF(ISERROR(HL_Alt_Chk_11),1,(HL_Alt_Chk_11&lt;&gt;0)*1)</f>
        <v>0</v>
      </c>
      <c r="L71" s="237" t="s">
        <v>735</v>
      </c>
      <c r="M71" s="106">
        <f t="shared" ca="1" si="2"/>
        <v>0</v>
      </c>
    </row>
    <row r="72" spans="2:13" outlineLevel="1" x14ac:dyDescent="0.15">
      <c r="B72" s="154" t="str">
        <f>IF(ISERROR(Alt_Chk_14_Hdg),"Miscellaneous Check",Alt_Chk_14_Hdg)</f>
        <v>Other Revenue</v>
      </c>
      <c r="C72" s="7"/>
      <c r="D72" s="7"/>
      <c r="E72" s="7"/>
      <c r="F72" s="7"/>
      <c r="G72" s="7"/>
      <c r="H72" s="7"/>
      <c r="I72" s="7"/>
      <c r="J72" s="7"/>
      <c r="K72" s="106">
        <f ca="1">IF(ISERROR(HL_Alt_Chk_14),1,(HL_Alt_Chk_14&lt;&gt;0)*1)</f>
        <v>0</v>
      </c>
      <c r="L72" s="237" t="s">
        <v>735</v>
      </c>
      <c r="M72" s="106">
        <f t="shared" ca="1" si="2"/>
        <v>0</v>
      </c>
    </row>
    <row r="73" spans="2:13" outlineLevel="1" x14ac:dyDescent="0.15">
      <c r="B73" s="154" t="str">
        <f>IF(ISERROR(Alt_Chk_15_Hdg),"Miscellaneous Check",Alt_Chk_15_Hdg)</f>
        <v>Other Expenses</v>
      </c>
      <c r="C73" s="7"/>
      <c r="D73" s="7"/>
      <c r="E73" s="7"/>
      <c r="F73" s="7"/>
      <c r="G73" s="7"/>
      <c r="H73" s="7"/>
      <c r="I73" s="7"/>
      <c r="J73" s="7"/>
      <c r="K73" s="106">
        <f ca="1">IF(ISERROR(HL_Alt_Chk_15),1,(HL_Alt_Chk_15&lt;&gt;0)*1)</f>
        <v>0</v>
      </c>
      <c r="L73" s="237" t="s">
        <v>735</v>
      </c>
      <c r="M73" s="106">
        <f t="shared" ca="1" si="2"/>
        <v>0</v>
      </c>
    </row>
    <row r="74" spans="2:13" outlineLevel="1" x14ac:dyDescent="0.15">
      <c r="B74" s="154" t="str">
        <f>IF(ISERROR(Alt_Chk_6_Hdg),"Miscellaneous Check",Alt_Chk_6_Hdg)</f>
        <v>Debtors</v>
      </c>
      <c r="C74" s="7"/>
      <c r="D74" s="7"/>
      <c r="E74" s="7"/>
      <c r="F74" s="7"/>
      <c r="G74" s="7"/>
      <c r="H74" s="7"/>
      <c r="I74" s="7"/>
      <c r="J74" s="7"/>
      <c r="K74" s="106">
        <f>IF(ISERROR(HL_Alt_Chk_6),1,(HL_Alt_Chk_6&lt;&gt;0)*1)</f>
        <v>0</v>
      </c>
      <c r="L74" s="237" t="s">
        <v>735</v>
      </c>
      <c r="M74" s="106">
        <f t="shared" si="2"/>
        <v>0</v>
      </c>
    </row>
    <row r="75" spans="2:13" outlineLevel="1" x14ac:dyDescent="0.15">
      <c r="B75" s="154" t="str">
        <f>IF(ISERROR(Alt_Chk_9_Hdg),"Miscellaneous Check",Alt_Chk_9_Hdg)</f>
        <v>Inventory</v>
      </c>
      <c r="C75" s="7"/>
      <c r="D75" s="7"/>
      <c r="E75" s="7"/>
      <c r="F75" s="7"/>
      <c r="G75" s="7"/>
      <c r="H75" s="7"/>
      <c r="I75" s="7"/>
      <c r="J75" s="7"/>
      <c r="K75" s="106">
        <f ca="1">IF(ISERROR(HL_Alt_Chk_9),1,(HL_Alt_Chk_9&lt;&gt;0)*1)</f>
        <v>1</v>
      </c>
      <c r="L75" s="237" t="s">
        <v>735</v>
      </c>
      <c r="M75" s="106">
        <f t="shared" ca="1" si="2"/>
        <v>1</v>
      </c>
    </row>
    <row r="76" spans="2:13" outlineLevel="1" x14ac:dyDescent="0.15">
      <c r="B76" s="154" t="str">
        <f>IF(ISERROR(Alt_Chk_4_Hdg),"Miscellaneous Check",Alt_Chk_4_Hdg)</f>
        <v>Creditors</v>
      </c>
      <c r="C76" s="7"/>
      <c r="D76" s="7"/>
      <c r="E76" s="7"/>
      <c r="F76" s="7"/>
      <c r="G76" s="7"/>
      <c r="H76" s="7"/>
      <c r="I76" s="7"/>
      <c r="J76" s="7"/>
      <c r="K76" s="106">
        <f>IF(ISERROR(HL_Alt_Chk_4),1,(HL_Alt_Chk_4&lt;&gt;0)*1)</f>
        <v>0</v>
      </c>
      <c r="L76" s="237" t="s">
        <v>735</v>
      </c>
      <c r="M76" s="106">
        <f t="shared" si="2"/>
        <v>0</v>
      </c>
    </row>
    <row r="77" spans="2:13" outlineLevel="1" x14ac:dyDescent="0.15">
      <c r="B77" s="154" t="str">
        <f>IF(ISERROR(Alt_Chk_8_Hdg),"Miscellaneous Check",Alt_Chk_8_Hdg)</f>
        <v>Inventory Payables</v>
      </c>
      <c r="C77" s="7"/>
      <c r="D77" s="7"/>
      <c r="E77" s="7"/>
      <c r="F77" s="7"/>
      <c r="G77" s="7"/>
      <c r="H77" s="7"/>
      <c r="I77" s="7"/>
      <c r="J77" s="7"/>
      <c r="K77" s="106">
        <f>IF(ISERROR(HL_Alt_Chk_8),1,(HL_Alt_Chk_8&lt;&gt;0)*1)</f>
        <v>0</v>
      </c>
      <c r="L77" s="237" t="s">
        <v>735</v>
      </c>
      <c r="M77" s="106">
        <f t="shared" si="2"/>
        <v>0</v>
      </c>
    </row>
    <row r="78" spans="2:13" outlineLevel="1" x14ac:dyDescent="0.15">
      <c r="B78" s="154" t="str">
        <f>IF(ISERROR(Alt_Chk_2_Hdg),"Miscellaneous Check",Alt_Chk_2_Hdg)</f>
        <v>Capital Expenditure</v>
      </c>
      <c r="C78" s="7"/>
      <c r="D78" s="7"/>
      <c r="E78" s="7"/>
      <c r="F78" s="7"/>
      <c r="G78" s="7"/>
      <c r="H78" s="7"/>
      <c r="I78" s="7"/>
      <c r="J78" s="7"/>
      <c r="K78" s="106">
        <f ca="1">IF(ISERROR(HL_Alt_Chk_2),1,(HL_Alt_Chk_2&lt;&gt;0)*1)</f>
        <v>0</v>
      </c>
      <c r="L78" s="237" t="s">
        <v>735</v>
      </c>
      <c r="M78" s="106">
        <f t="shared" ca="1" si="2"/>
        <v>0</v>
      </c>
    </row>
    <row r="79" spans="2:13" outlineLevel="1" x14ac:dyDescent="0.15">
      <c r="B79" s="154" t="str">
        <f>IF(ISERROR(Alt_Chk_7_Hdg),"Miscellaneous Check",Alt_Chk_7_Hdg)</f>
        <v>Fixed Assets</v>
      </c>
      <c r="C79" s="7"/>
      <c r="D79" s="7"/>
      <c r="E79" s="7"/>
      <c r="F79" s="7"/>
      <c r="G79" s="7"/>
      <c r="H79" s="7"/>
      <c r="I79" s="7"/>
      <c r="J79" s="7"/>
      <c r="K79" s="106">
        <f ca="1">IF(ISERROR(HL_Alt_Chk_7),1,(HL_Alt_Chk_7&lt;&gt;0)*1)</f>
        <v>0</v>
      </c>
      <c r="L79" s="237" t="s">
        <v>735</v>
      </c>
      <c r="M79" s="106">
        <f t="shared" ca="1" si="2"/>
        <v>0</v>
      </c>
    </row>
    <row r="80" spans="2:13" outlineLevel="1" x14ac:dyDescent="0.15">
      <c r="B80" s="154" t="str">
        <f>IF(ISERROR(Alt_Chk_5_Hdg),"Miscellaneous Check",Alt_Chk_5_Hdg)</f>
        <v>Operating Grants</v>
      </c>
      <c r="C80" s="7"/>
      <c r="D80" s="7"/>
      <c r="E80" s="7"/>
      <c r="F80" s="7"/>
      <c r="G80" s="7"/>
      <c r="H80" s="7"/>
      <c r="I80" s="7"/>
      <c r="J80" s="7"/>
      <c r="K80" s="106">
        <f>IF(ISERROR(HL_Alt_Chk_5),1,(HL_Alt_Chk_5&lt;&gt;0)*1)</f>
        <v>0</v>
      </c>
      <c r="L80" s="237" t="s">
        <v>735</v>
      </c>
      <c r="M80" s="106">
        <f t="shared" si="2"/>
        <v>0</v>
      </c>
    </row>
    <row r="81" spans="2:13" outlineLevel="1" x14ac:dyDescent="0.15">
      <c r="B81" s="154" t="str">
        <f>IF(ISERROR(Alt_Chk_18_Hdg),"Miscellaneous Check",Alt_Chk_18_Hdg)</f>
        <v>CAPEX Grant</v>
      </c>
      <c r="C81" s="7"/>
      <c r="D81" s="7"/>
      <c r="E81" s="7"/>
      <c r="F81" s="7"/>
      <c r="G81" s="7"/>
      <c r="H81" s="7"/>
      <c r="I81" s="7"/>
      <c r="J81" s="7"/>
      <c r="K81" s="106">
        <f>IF(ISERROR(HL_Alt_Chk_18),1,(HL_Alt_Chk_18&lt;&gt;0)*1)</f>
        <v>0</v>
      </c>
      <c r="L81" s="237" t="s">
        <v>735</v>
      </c>
      <c r="M81" s="106">
        <f t="shared" si="2"/>
        <v>0</v>
      </c>
    </row>
    <row r="82" spans="2:13" outlineLevel="1" x14ac:dyDescent="0.15">
      <c r="B82" s="154" t="str">
        <f>IF(ISERROR(Alt_Chk_12_Hdg),"Miscellaneous Check",Alt_Chk_12_Hdg)</f>
        <v>Ordinary Equity</v>
      </c>
      <c r="C82" s="7"/>
      <c r="D82" s="7"/>
      <c r="E82" s="7"/>
      <c r="F82" s="7"/>
      <c r="G82" s="7"/>
      <c r="H82" s="7"/>
      <c r="I82" s="7"/>
      <c r="J82" s="7"/>
      <c r="K82" s="106">
        <f ca="1">IF(ISERROR(HL_Alt_Chk_12),1,(HL_Alt_Chk_12&lt;&gt;0)*1)</f>
        <v>0</v>
      </c>
      <c r="L82" s="237" t="s">
        <v>735</v>
      </c>
      <c r="M82" s="106">
        <f t="shared" ca="1" si="2"/>
        <v>0</v>
      </c>
    </row>
    <row r="83" spans="2:13" outlineLevel="1" x14ac:dyDescent="0.15">
      <c r="B83" s="154" t="str">
        <f>IF(ISERROR(Alt_Chk_1_Hdg),"Miscellaneous Check",Alt_Chk_1_Hdg)</f>
        <v>Balance Sheet</v>
      </c>
      <c r="C83" s="7"/>
      <c r="D83" s="7"/>
      <c r="E83" s="7"/>
      <c r="F83" s="7"/>
      <c r="G83" s="7"/>
      <c r="H83" s="7"/>
      <c r="I83" s="7"/>
      <c r="J83" s="7"/>
      <c r="K83" s="106">
        <f ca="1">IF(ISERROR(HL_Alt_Chk_1),1,(HL_Alt_Chk_1&lt;&gt;0)*1)</f>
        <v>0</v>
      </c>
      <c r="L83" s="237" t="s">
        <v>735</v>
      </c>
      <c r="M83" s="106">
        <f t="shared" ca="1" si="2"/>
        <v>0</v>
      </c>
    </row>
    <row r="84" spans="2:13" ht="6" customHeight="1" outlineLevel="1" x14ac:dyDescent="0.15"/>
    <row r="85" spans="2:13" outlineLevel="1" x14ac:dyDescent="0.15">
      <c r="B85" s="194" t="s">
        <v>806</v>
      </c>
      <c r="K85" s="199" t="b">
        <f>L85="Yes"</f>
        <v>1</v>
      </c>
      <c r="L85" s="198" t="s">
        <v>735</v>
      </c>
      <c r="M85" s="197">
        <f ca="1">SUMIF(CA_Alt_Chks_Inc,"Yes",CA_Alt_Chks_Flags)</f>
        <v>1</v>
      </c>
    </row>
  </sheetData>
  <sheetProtection algorithmName="SHA-512" hashValue="Vd+aacYVPccnG8xjm9rg1dIRkbBTayCfdhZWvFN1FKWLafd2fdazXMod3hMMezb8rIBLg8y/3JDLkrAFSwSfPA==" saltValue="51eWLswg3rpjLRYEnmyn+g==" spinCount="100000" sheet="1" objects="1" scenarios="1" formatColumns="0" formatRows="0"/>
  <conditionalFormatting sqref="B10:B40">
    <cfRule type="expression" dxfId="17" priority="9873" stopIfTrue="1">
      <formula>K10&lt;&gt;0</formula>
    </cfRule>
  </conditionalFormatting>
  <conditionalFormatting sqref="B50:B56">
    <cfRule type="expression" dxfId="16" priority="9845" stopIfTrue="1">
      <formula>K50&lt;&gt;0</formula>
    </cfRule>
  </conditionalFormatting>
  <conditionalFormatting sqref="B66:B83">
    <cfRule type="expression" dxfId="15" priority="9997" stopIfTrue="1">
      <formula>K66&lt;&gt;0</formula>
    </cfRule>
  </conditionalFormatting>
  <conditionalFormatting sqref="F6">
    <cfRule type="cellIs" dxfId="14" priority="7452" stopIfTrue="1" operator="notEqual">
      <formula>0</formula>
    </cfRule>
  </conditionalFormatting>
  <conditionalFormatting sqref="F46">
    <cfRule type="cellIs" dxfId="13" priority="7454" stopIfTrue="1" operator="notEqual">
      <formula>0</formula>
    </cfRule>
  </conditionalFormatting>
  <conditionalFormatting sqref="F62">
    <cfRule type="cellIs" dxfId="12" priority="7456" stopIfTrue="1" operator="notEqual">
      <formula>0</formula>
    </cfRule>
  </conditionalFormatting>
  <conditionalFormatting sqref="K10:K40">
    <cfRule type="cellIs" dxfId="11" priority="9874" stopIfTrue="1" operator="notEqual">
      <formula>0</formula>
    </cfRule>
  </conditionalFormatting>
  <conditionalFormatting sqref="K50:K56">
    <cfRule type="cellIs" dxfId="10" priority="9846" stopIfTrue="1" operator="notEqual">
      <formula>0</formula>
    </cfRule>
  </conditionalFormatting>
  <conditionalFormatting sqref="K66:K83">
    <cfRule type="cellIs" dxfId="9" priority="9998" stopIfTrue="1" operator="notEqual">
      <formula>0</formula>
    </cfRule>
  </conditionalFormatting>
  <conditionalFormatting sqref="L10:L40">
    <cfRule type="expression" dxfId="8" priority="9875" stopIfTrue="1">
      <formula>K10&lt;&gt;0</formula>
    </cfRule>
  </conditionalFormatting>
  <conditionalFormatting sqref="L50:L56">
    <cfRule type="expression" dxfId="7" priority="9847" stopIfTrue="1">
      <formula>K50&lt;&gt;0</formula>
    </cfRule>
  </conditionalFormatting>
  <conditionalFormatting sqref="L66:L83">
    <cfRule type="expression" dxfId="6" priority="9999" stopIfTrue="1">
      <formula>K66&lt;&gt;0</formula>
    </cfRule>
  </conditionalFormatting>
  <conditionalFormatting sqref="M10:M40">
    <cfRule type="expression" dxfId="5" priority="9876" stopIfTrue="1">
      <formula>K10&lt;&gt;0</formula>
    </cfRule>
  </conditionalFormatting>
  <conditionalFormatting sqref="M42">
    <cfRule type="cellIs" dxfId="4" priority="7451" stopIfTrue="1" operator="notEqual">
      <formula>0</formula>
    </cfRule>
  </conditionalFormatting>
  <conditionalFormatting sqref="M50:M56">
    <cfRule type="expression" dxfId="3" priority="9848" stopIfTrue="1">
      <formula>K50&lt;&gt;0</formula>
    </cfRule>
  </conditionalFormatting>
  <conditionalFormatting sqref="M58">
    <cfRule type="cellIs" dxfId="2" priority="7453" stopIfTrue="1" operator="notEqual">
      <formula>0</formula>
    </cfRule>
  </conditionalFormatting>
  <conditionalFormatting sqref="M66:M83">
    <cfRule type="expression" dxfId="1" priority="10000" stopIfTrue="1">
      <formula>K66&lt;&gt;0</formula>
    </cfRule>
  </conditionalFormatting>
  <conditionalFormatting sqref="M85">
    <cfRule type="cellIs" dxfId="0" priority="7455" stopIfTrue="1" operator="notEqual">
      <formula>0</formula>
    </cfRule>
  </conditionalFormatting>
  <dataValidations count="6">
    <dataValidation type="list" showErrorMessage="1" errorTitle="Include Error Summary in Model N" error="The include error checks trigger must correspond with one of the options provided in the drop down list." sqref="L42" xr:uid="{22C166F6-A287-44C0-8123-AE753D62CDD6}">
      <formula1>"Yes,No"</formula1>
    </dataValidation>
    <dataValidation type="list" showErrorMessage="1" errorTitle="Include Sensitivity Summary in M" error="The include sensitivity checks trigger must correspond with one of the options provided in the drop down list." sqref="L58" xr:uid="{2B1C7B2C-6CC6-41F6-B6A6-F5005D3FE544}">
      <formula1>"Yes,No"</formula1>
    </dataValidation>
    <dataValidation type="list" showErrorMessage="1" errorTitle="Include Alert Summary in Model N" error="The include alert checks trigger must correspond with one of the options provided in the drop down list." sqref="L85" xr:uid="{1C359F40-6092-450A-B800-39C8558FE3D3}">
      <formula1>"Yes,No"</formula1>
    </dataValidation>
    <dataValidation type="list" showErrorMessage="1" errorTitle="Include Sensitivity Check" error="The include sensitivity check trigger must correspond with one of the options provided in the drop down list." sqref="L50:L56" xr:uid="{8098972A-62AC-4331-833E-D53991043BEB}">
      <formula1>"Yes,No"</formula1>
    </dataValidation>
    <dataValidation type="list" showErrorMessage="1" errorTitle="Include Error Check" error="The include error check trigger must correspond with one of the options provided in the drop down list." sqref="L10:L40" xr:uid="{03BE2C31-D890-4267-8F6A-BBF92F762354}">
      <formula1>"Yes,No"</formula1>
    </dataValidation>
    <dataValidation type="list" showErrorMessage="1" errorTitle="Include Alert Check" error="The include alert check trigger must correspond with one of the options provided in the drop down list." sqref="L66:L83" xr:uid="{22E97F22-46E2-4944-8CAC-0B2516A1B5AD}">
      <formula1>"Yes,No"</formula1>
    </dataValidation>
  </dataValidations>
  <hyperlinks>
    <hyperlink ref="A1" location="HL_Home" tooltip="Go to Table of Contents" display="HL_Home" xr:uid="{092F237D-5C7C-41E6-A6E2-A6736461F988}"/>
    <hyperlink ref="B50:J50" location="HL_Sens_Chk_6" tooltip="Go to Volumes" display="HL_Sens_Chk_6" xr:uid="{82E8DD99-DF79-4E89-B87A-97C059BF5E33}"/>
    <hyperlink ref="B51:J51" location="HL_Sens_Chk_5" tooltip="Go to Volumes (2)" display="HL_Sens_Chk_5" xr:uid="{82004D42-CB10-4378-A422-5EF311E1F445}"/>
    <hyperlink ref="B52:J52" location="HL_Sens_Chk_1" tooltip="Go to Revenue" display="HL_Sens_Chk_1" xr:uid="{F432FAA7-7CB9-4305-9962-2AC95D986948}"/>
    <hyperlink ref="B53:J53" location="HL_Sens_Chk_2" tooltip="Go to Cost of Goods Sold" display="HL_Sens_Chk_2" xr:uid="{72D9F374-EDF0-497B-99F8-58673F195913}"/>
    <hyperlink ref="B54:J54" location="HL_Sens_Chk_3" tooltip="Go to Operating Expenditure" display="HL_Sens_Chk_3" xr:uid="{AF45BB7F-C223-4BA0-9CB0-60AAFADDEA8B}"/>
    <hyperlink ref="B55:J55" location="HL_Sens_Chk_7" tooltip="Go to Other Revenue" display="HL_Sens_Chk_7" xr:uid="{43C9E114-BDB4-4FE8-8654-85FE4E7A4791}"/>
    <hyperlink ref="B56:J56" location="HL_Sens_Chk_4" tooltip="Go to Capital Expenditure" display="HL_Sens_Chk_4" xr:uid="{227DC2F0-1977-4255-9A11-EE922656BEC6}"/>
    <hyperlink ref="B10:J10" location="HL_Err_Chk_21" tooltip="Go to Summary" display="HL_Err_Chk_21" xr:uid="{4CAD088B-3B2B-4F9F-857B-78596595A12C}"/>
    <hyperlink ref="B11:J11" location="HL_Err_Chk_22" tooltip="Go to Scenario Data Tables" display="HL_Err_Chk_22" xr:uid="{D53FF836-BA66-492A-8937-A134A2017495}"/>
    <hyperlink ref="B12:J12" location="HL_Err_Chk_14" tooltip="Go to Opening Balance Sheet" display="HL_Err_Chk_14" xr:uid="{D5CC248A-BB23-4BA7-9E2B-0906D0C4D1F3}"/>
    <hyperlink ref="B13:J13" location="HL_Err_Chk_29" tooltip="Go to Volumes" display="HL_Err_Chk_29" xr:uid="{3CD176F1-9571-4772-8BE6-95701E0369D4}"/>
    <hyperlink ref="B14:J14" location="HL_Err_Chk_30" tooltip="Go to Membership &amp; Utilisation" display="HL_Err_Chk_30" xr:uid="{9DA55E20-0268-4DE0-AF13-A0D1337E9FA6}"/>
    <hyperlink ref="B15:J15" location="HL_Err_Chk_19" tooltip="Go to Revenue" display="HL_Err_Chk_19" xr:uid="{0B476848-186A-4D20-9F87-B9ACFCE0DC51}"/>
    <hyperlink ref="B16:J16" location="HL_Err_Chk_5" tooltip="Go to Cost of Goods Sold" display="HL_Err_Chk_5" xr:uid="{B03A5854-CF74-4393-8542-1C819DAFE6DF}"/>
    <hyperlink ref="B17:J17" location="HL_Err_Chk_15" tooltip="Go to Operating Expenditure" display="HL_Err_Chk_15" xr:uid="{01DDB837-A46A-4A5A-A8CF-62D154E26721}"/>
    <hyperlink ref="B18:J18" location="HL_Err_Chk_18" tooltip="Go to Other Revenue" display="HL_Err_Chk_18" xr:uid="{C533F108-D56F-4994-B04E-54592DB230C8}"/>
    <hyperlink ref="B19:J19" location="HL_Err_Chk_24" tooltip="Go to Other Expenses" display="HL_Err_Chk_24" xr:uid="{6ECB9252-0310-4B9E-BCED-C213FFBB471D}"/>
    <hyperlink ref="B20:J20" location="HL_Err_Chk_8" tooltip="Go to Debtors" display="HL_Err_Chk_8" xr:uid="{3C7B1521-1197-4E6A-846B-C51003090C4A}"/>
    <hyperlink ref="B21:J21" location="HL_Err_Chk_13" tooltip="Go to Inventory" display="HL_Err_Chk_13" xr:uid="{C1187B15-2DA7-4032-AD79-F7A7FA336DD9}"/>
    <hyperlink ref="B22:J22" location="HL_Err_Chk_6" tooltip="Go to Creditors" display="HL_Err_Chk_6" xr:uid="{53171E72-B01C-4C7C-B8DF-8D7A62D8191B}"/>
    <hyperlink ref="B23:J23" location="HL_Err_Chk_12" tooltip="Go to Inventory Payables" display="HL_Err_Chk_12" xr:uid="{EC1841B0-E2EC-45E3-9279-423CDA2BEB85}"/>
    <hyperlink ref="B24:J24" location="HL_Err_Chk_2" tooltip="Go to Capital Expenditure" display="HL_Err_Chk_2" xr:uid="{266A271D-DFF8-4AD3-B5A7-FD158139352E}"/>
    <hyperlink ref="B25:J25" location="HL_Err_Chk_9" tooltip="Go to Fixed Assets" display="HL_Err_Chk_9" xr:uid="{F9911969-B203-4C66-8974-190E3FA5A22C}"/>
    <hyperlink ref="B26:J26" location="HL_Err_Chk_7" tooltip="Go to Debt" display="HL_Err_Chk_7" xr:uid="{2A721212-6C5B-4994-8DCE-E955B7D658FE}"/>
    <hyperlink ref="B27:J27" location="HL_Err_Chk_23" tooltip="Go to Operating Grants" display="HL_Err_Chk_23" xr:uid="{0D82433C-3C2A-4588-AF0E-80BB8274D983}"/>
    <hyperlink ref="B28:J28" location="HL_Err_Chk_31" tooltip="Go to CAPEX Grant" display="HL_Err_Chk_31" xr:uid="{07A16348-72DF-4AB7-A233-7000A108E8E5}"/>
    <hyperlink ref="B29:J29" location="HL_Err_Chk_16" tooltip="Go to Ordinary Equity" display="HL_Err_Chk_16" xr:uid="{14531B70-6014-4F12-A6E5-B954473E986D}"/>
    <hyperlink ref="B30:J30" location="HL_Err_Chk_20" tooltip="Go to VAT" display="HL_Err_Chk_20" xr:uid="{F27A3D62-9171-443C-BF88-BEAF723A85FE}"/>
    <hyperlink ref="B31:J31" location="HL_Err_Chk_4" tooltip="Go to Corporate Taxation" display="HL_Err_Chk_4" xr:uid="{787402BC-99DB-4740-9964-BE1C9DC27A5E}"/>
    <hyperlink ref="B32:J32" location="HL_Err_Chk_11" tooltip="Go to Interest on Cash" display="HL_Err_Chk_11" xr:uid="{AC13AC90-1ABF-4BF3-A72A-522783213871}"/>
    <hyperlink ref="B33:J33" location="HL_Err_Chk_17" tooltip="Go to Other Current Assets" display="HL_Err_Chk_17" xr:uid="{3AE5CB58-680E-4915-93A5-9EC31D2CA3D8}"/>
    <hyperlink ref="B34:J34" location="HL_Err_Chk_25" tooltip="Go to Other Non-Current Assets" display="HL_Err_Chk_25" xr:uid="{8F4330A1-BD95-4B9B-9526-A3E4C213F240}"/>
    <hyperlink ref="B35:J35" location="HL_Err_Chk_26" tooltip="Go to Other Current Liabilities" display="HL_Err_Chk_26" xr:uid="{8EE5F822-BC3A-4CFA-A4D4-BE3E93B92E60}"/>
    <hyperlink ref="B36:J36" location="HL_Err_Chk_27" tooltip="Go to Other Non-Current Liabilities" display="HL_Err_Chk_27" xr:uid="{B3AB8142-3CD9-4850-8879-4B7C0386F1F3}"/>
    <hyperlink ref="B37:J37" location="HL_Err_Chk_28" tooltip="Go to Other Equity" display="HL_Err_Chk_28" xr:uid="{24BB8DD7-409F-4E56-A9E8-DB01E1628E79}"/>
    <hyperlink ref="B38:J38" location="HL_Err_Chk_10" tooltip="Go to Income Statement" display="HL_Err_Chk_10" xr:uid="{40DDD4EF-25A0-477D-AD6C-82BF0F71FA13}"/>
    <hyperlink ref="B39:J39" location="HL_Err_Chk_1" tooltip="Go to Balance Sheet" display="HL_Err_Chk_1" xr:uid="{ACC8D56E-9F0D-440C-B395-244923B7144B}"/>
    <hyperlink ref="B40:J40" location="HL_Err_Chk_3" tooltip="Go to Cash Flow Statement" display="HL_Err_Chk_3" xr:uid="{64D4760B-D9DE-4072-8549-E56DE98539D1}"/>
    <hyperlink ref="B66:J66" location="HL_Alt_Chk_10" tooltip="Go to Opening Balance Sheet" display="HL_Alt_Chk_10" xr:uid="{DC85B2A5-0BBB-4CAB-AB05-543580444DDC}"/>
    <hyperlink ref="B67:J67" location="HL_Alt_Chk_16" tooltip="Go to Volumes" display="HL_Alt_Chk_16" xr:uid="{C1D60A03-CD50-4473-A65E-1D4196B15BAA}"/>
    <hyperlink ref="B68:J68" location="HL_Alt_Chk_17" tooltip="Go to Membership &amp; Utilisation" display="HL_Alt_Chk_17" xr:uid="{9015CD21-F73F-43CD-A781-8C4AEFDD4E6C}"/>
    <hyperlink ref="B69:J69" location="HL_Alt_Chk_13" tooltip="Go to Revenue" display="HL_Alt_Chk_13" xr:uid="{730D154B-EC23-4D74-85B5-AA808DA4655D}"/>
    <hyperlink ref="B70:J70" location="HL_Alt_Chk_3" tooltip="Go to Cost of Goods Sold" display="HL_Alt_Chk_3" xr:uid="{354B6AF7-209C-47D4-B5A4-33D8D140EB38}"/>
    <hyperlink ref="B71:J71" location="HL_Alt_Chk_11" tooltip="Go to Operating Expenditure" display="HL_Alt_Chk_11" xr:uid="{65D046CB-D44C-4BFA-AB61-E51FCAA887B2}"/>
    <hyperlink ref="B72:J72" location="HL_Alt_Chk_14" tooltip="Go to Other Revenue" display="HL_Alt_Chk_14" xr:uid="{8E209146-8948-4CB7-A90A-587E8EDD7530}"/>
    <hyperlink ref="B73:J73" location="HL_Alt_Chk_15" tooltip="Go to Other Expenses" display="HL_Alt_Chk_15" xr:uid="{177C8BF7-8A1D-4F83-AC56-CC652EB879D7}"/>
    <hyperlink ref="B74:J74" location="HL_Alt_Chk_6" tooltip="Go to Debtors" display="HL_Alt_Chk_6" xr:uid="{8AB65AB9-D585-4899-9D47-6CDB05C29128}"/>
    <hyperlink ref="B75:J75" location="HL_Alt_Chk_9" tooltip="Go to Inventory" display="HL_Alt_Chk_9" xr:uid="{B81DC8B5-338C-4D82-89CE-ABC5E231A97C}"/>
    <hyperlink ref="B76:J76" location="HL_Alt_Chk_4" tooltip="Go to Creditors" display="HL_Alt_Chk_4" xr:uid="{3A7F6555-1228-4DC2-81CC-99D80794EA84}"/>
    <hyperlink ref="B77:J77" location="HL_Alt_Chk_8" tooltip="Go to Inventory Payables" display="HL_Alt_Chk_8" xr:uid="{9CCEFF4F-8132-4B4C-9799-54AF0C32C5C8}"/>
    <hyperlink ref="B78:J78" location="HL_Alt_Chk_2" tooltip="Go to Capital Expenditure" display="HL_Alt_Chk_2" xr:uid="{4684367A-6665-4BF8-9436-133FAC070170}"/>
    <hyperlink ref="B79:J79" location="HL_Alt_Chk_7" tooltip="Go to Fixed Assets" display="HL_Alt_Chk_7" xr:uid="{36A773F8-A741-4084-8FAF-19AD2D66EA56}"/>
    <hyperlink ref="B80:J80" location="HL_Alt_Chk_5" tooltip="Go to Operating Grants" display="HL_Alt_Chk_5" xr:uid="{9C6AEE1D-5517-49CD-8C6A-A0B1DA68560A}"/>
    <hyperlink ref="B81:J81" location="HL_Alt_Chk_18" tooltip="Go to CAPEX Grant" display="HL_Alt_Chk_18" xr:uid="{E13D4727-9AE5-422B-A580-1362701FD89C}"/>
    <hyperlink ref="B82:J82" location="HL_Alt_Chk_12" tooltip="Go to Ordinary Equity" display="HL_Alt_Chk_12" xr:uid="{F769F9D6-185F-4164-9C0A-D90F2E6CFB82}"/>
    <hyperlink ref="B83:J83" location="HL_Alt_Chk_1" tooltip="Go to Balance Sheet" display="HL_Alt_Chk_1" xr:uid="{8816454E-820B-4CD4-BE39-F807E920DA93}"/>
    <hyperlink ref="A2" location="HL_Err_Chk" tooltip="Go to Error Checks" display="HL_Err_Chk" xr:uid="{DDADE506-B02A-4298-9AAB-C34C7060271A}"/>
  </hyperlinks>
  <pageMargins left="0.39370078740157499" right="0.39370078740157499" top="0.59055118110236204" bottom="0.98425196850393704" header="0" footer="0.31496062992126"/>
  <pageSetup paperSize="9" scale="75" orientation="landscape" r:id="rId1"/>
  <headerFooter>
    <oddFooter>&amp;L&amp;F
&amp;A
Printed: &amp;T on &amp;D&amp;CPage &amp;P of &amp;N</oddFooter>
  </headerFooter>
  <rowBreaks count="2" manualBreakCount="2">
    <brk id="42" max="16383" man="1"/>
    <brk id="5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05983-C8E3-4B22-8F90-9B59B24F0B06}">
  <sheetPr codeName="Sheet6"/>
  <dimension ref="A1"/>
  <sheetViews>
    <sheetView workbookViewId="0"/>
  </sheetViews>
  <sheetFormatPr baseColWidth="10" defaultColWidth="9" defaultRowHeight="12" x14ac:dyDescent="0.15"/>
  <sheetData>
    <row r="1" spans="1:1" x14ac:dyDescent="0.15">
      <c r="A1" t="s">
        <v>811</v>
      </c>
    </row>
  </sheetData>
  <sheetProtection algorithmName="SHA-512" hashValue="/1GmQI+bP+s4S6HgFFyi6wIAd2h66V71eC8bVJ6nBoSfGirbmwIXX8jJeCKA2mNE88MbaoOeqlAHCa+RbMlOlg==" saltValue="+jgPagudH4LWT4Ut/dnjKA==" spinCount="100000" sheet="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222E7-76BB-48E6-B2FD-5CC699542C55}">
  <sheetPr codeName="Sheet18">
    <pageSetUpPr autoPageBreaks="0" fitToPage="1"/>
  </sheetPr>
  <dimension ref="C9:G20"/>
  <sheetViews>
    <sheetView showGridLines="0" workbookViewId="0"/>
  </sheetViews>
  <sheetFormatPr baseColWidth="10" defaultColWidth="11.59765625" defaultRowHeight="12" x14ac:dyDescent="0.15"/>
  <cols>
    <col min="3" max="6" width="3.59765625" customWidth="1"/>
  </cols>
  <sheetData>
    <row r="9" spans="3:7" ht="14" x14ac:dyDescent="0.15">
      <c r="C9" s="205" t="s">
        <v>53</v>
      </c>
    </row>
    <row r="10" spans="3:7" ht="13" x14ac:dyDescent="0.15">
      <c r="C10" s="206" t="s">
        <v>54</v>
      </c>
    </row>
    <row r="11" spans="3:7" ht="13" x14ac:dyDescent="0.15">
      <c r="C11" s="65" t="str">
        <f ca="1">Model_Name</f>
        <v>Venue Planning Project (Alert in Inventory)</v>
      </c>
    </row>
    <row r="12" spans="3:7" x14ac:dyDescent="0.15">
      <c r="C12" s="328" t="s">
        <v>16</v>
      </c>
      <c r="D12" s="328"/>
      <c r="E12" s="328"/>
      <c r="F12" s="328"/>
      <c r="G12" s="328"/>
    </row>
    <row r="13" spans="3:7" x14ac:dyDescent="0.15">
      <c r="C13" s="109" t="s">
        <v>17</v>
      </c>
      <c r="D13" s="110" t="s">
        <v>18</v>
      </c>
    </row>
    <row r="17" spans="3:3" x14ac:dyDescent="0.15">
      <c r="C17" s="194" t="s">
        <v>55</v>
      </c>
    </row>
    <row r="18" spans="3:3" x14ac:dyDescent="0.15">
      <c r="C18" s="204" t="s">
        <v>56</v>
      </c>
    </row>
    <row r="19" spans="3:3" x14ac:dyDescent="0.15">
      <c r="C19" s="204" t="s">
        <v>57</v>
      </c>
    </row>
    <row r="20" spans="3:3" x14ac:dyDescent="0.15">
      <c r="C20" s="204" t="s">
        <v>58</v>
      </c>
    </row>
  </sheetData>
  <mergeCells count="1">
    <mergeCell ref="C12:G12"/>
  </mergeCells>
  <hyperlinks>
    <hyperlink ref="D13" location="HL_Sheet_Main_13" tooltip="Go to Next Sheet" display="HL_Sheet_Main_13" xr:uid="{3E9A923C-D511-412B-BE35-0B22BC1726E8}"/>
    <hyperlink ref="C13" location="HL_Sheet_Main_19" tooltip="Go to Previous Sheet" display="HL_Sheet_Main_19" xr:uid="{1BE0744D-2740-46B7-8876-14FC89EE9B24}"/>
    <hyperlink ref="C12" location="HL_Home" tooltip="Go to Table of Contents" display="HL_Home" xr:uid="{A047D3F1-8105-4AFD-9FF4-368F76BDBA38}"/>
  </hyperlinks>
  <pageMargins left="0.39370078740157499" right="0.39370078740157499" top="0.59055118110236204" bottom="0.98425196850393704" header="0" footer="0.31496062992126"/>
  <pageSetup paperSize="9" orientation="landscape" r:id="rId1"/>
  <headerFooter>
    <oddFooter>&amp;L&amp;F
&amp;A
Printed: &amp;T on &amp;D&amp;CPage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2352-AB0D-48C3-8B8B-B47A01D8A643}">
  <sheetPr codeName="Sheet14">
    <pageSetUpPr autoPageBreaks="0" fitToPage="1"/>
  </sheetPr>
  <dimension ref="A1:AH247"/>
  <sheetViews>
    <sheetView showGridLines="0" tabSelected="1" workbookViewId="0">
      <pane xSplit="1" ySplit="2" topLeftCell="B3" activePane="bottomRight" state="frozenSplit"/>
      <selection pane="topRight" activeCell="B1" sqref="B1"/>
      <selection pane="bottomLeft" activeCell="A3" sqref="A3"/>
      <selection pane="bottomRight" activeCell="N15" sqref="N15"/>
    </sheetView>
  </sheetViews>
  <sheetFormatPr baseColWidth="10" defaultColWidth="2.19921875" defaultRowHeight="12" x14ac:dyDescent="0.15"/>
  <cols>
    <col min="1" max="1" width="3.59765625" style="51" customWidth="1"/>
    <col min="2" max="17" width="11.19921875" style="51" customWidth="1"/>
    <col min="18" max="18" width="3.59765625" style="51" customWidth="1"/>
    <col min="19" max="34" width="11.19921875" style="51" customWidth="1"/>
    <col min="35" max="35" width="2.19921875" style="51" customWidth="1"/>
    <col min="36" max="16384" width="2.19921875" style="51"/>
  </cols>
  <sheetData>
    <row r="1" spans="1:34" ht="14" x14ac:dyDescent="0.15">
      <c r="A1" s="74" t="s">
        <v>19</v>
      </c>
      <c r="B1" s="53" t="s">
        <v>59</v>
      </c>
    </row>
    <row r="2" spans="1:34" ht="13" x14ac:dyDescent="0.15">
      <c r="A2" s="293" t="s">
        <v>60</v>
      </c>
      <c r="B2" s="52" t="str">
        <f ca="1">Model_Name</f>
        <v>Venue Planning Project (Alert in Inventory)</v>
      </c>
    </row>
    <row r="4" spans="1:34" ht="15" customHeight="1" x14ac:dyDescent="0.15">
      <c r="B4" s="336" t="str">
        <f>"Financial Statements Summary ("&amp;INDEX(LU_Ts_Denom,DD_Ts_Denom)&amp;") - "&amp;$E$93</f>
        <v>Financial Statements Summary (£) - FY2024</v>
      </c>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row>
    <row r="5" spans="1:34" ht="15" customHeight="1" x14ac:dyDescent="0.15"/>
    <row r="6" spans="1:34" ht="15" customHeight="1" x14ac:dyDescent="0.15">
      <c r="B6" s="332" t="s">
        <v>61</v>
      </c>
      <c r="C6" s="332"/>
      <c r="D6" s="332"/>
      <c r="E6" s="332"/>
      <c r="F6" s="332"/>
      <c r="G6" s="332"/>
      <c r="H6" s="332"/>
      <c r="I6" s="332"/>
      <c r="J6" s="332"/>
      <c r="K6" s="332"/>
      <c r="L6" s="332"/>
      <c r="M6" s="332"/>
      <c r="N6" s="332"/>
      <c r="O6" s="332"/>
      <c r="P6" s="332"/>
      <c r="Q6" s="332"/>
      <c r="S6" s="332" t="s">
        <v>62</v>
      </c>
      <c r="T6" s="332"/>
      <c r="U6" s="332"/>
      <c r="V6" s="332"/>
      <c r="W6" s="332"/>
      <c r="X6" s="332"/>
      <c r="Y6" s="332"/>
      <c r="Z6" s="332"/>
      <c r="AA6" s="332"/>
      <c r="AB6" s="332"/>
      <c r="AC6" s="332"/>
      <c r="AD6" s="332"/>
      <c r="AE6" s="332"/>
      <c r="AF6" s="332"/>
      <c r="AG6" s="332"/>
      <c r="AH6" s="332"/>
    </row>
    <row r="7" spans="1:34" ht="15" customHeight="1" x14ac:dyDescent="0.15"/>
    <row r="8" spans="1:34" ht="15" customHeight="1" x14ac:dyDescent="0.15">
      <c r="B8" s="54" t="str">
        <f>$B$95</f>
        <v>Month Ending</v>
      </c>
      <c r="E8" s="55" t="str">
        <f t="shared" ref="E8:P8" si="0">E$95</f>
        <v>Aug-23</v>
      </c>
      <c r="F8" s="55" t="str">
        <f t="shared" si="0"/>
        <v>Sep-23</v>
      </c>
      <c r="G8" s="55" t="str">
        <f t="shared" si="0"/>
        <v>Oct-23</v>
      </c>
      <c r="H8" s="55" t="str">
        <f t="shared" si="0"/>
        <v>Nov-23</v>
      </c>
      <c r="I8" s="55" t="str">
        <f t="shared" si="0"/>
        <v>Dec-23</v>
      </c>
      <c r="J8" s="55" t="str">
        <f t="shared" si="0"/>
        <v>Jan-24</v>
      </c>
      <c r="K8" s="55" t="str">
        <f t="shared" si="0"/>
        <v>Feb-24</v>
      </c>
      <c r="L8" s="55" t="str">
        <f t="shared" si="0"/>
        <v>Mar-24</v>
      </c>
      <c r="M8" s="55" t="str">
        <f t="shared" si="0"/>
        <v>Apr-24</v>
      </c>
      <c r="N8" s="55" t="str">
        <f t="shared" si="0"/>
        <v>May-24</v>
      </c>
      <c r="O8" s="55" t="str">
        <f t="shared" si="0"/>
        <v>Jun-24</v>
      </c>
      <c r="P8" s="55" t="str">
        <f t="shared" si="0"/>
        <v>Jul-24</v>
      </c>
      <c r="Q8" s="64" t="s">
        <v>63</v>
      </c>
      <c r="S8" s="54" t="str">
        <f>$B$95</f>
        <v>Month Ending</v>
      </c>
      <c r="V8" s="55" t="str">
        <f t="shared" ref="V8:AG8" si="1">E$95</f>
        <v>Aug-23</v>
      </c>
      <c r="W8" s="55" t="str">
        <f t="shared" si="1"/>
        <v>Sep-23</v>
      </c>
      <c r="X8" s="55" t="str">
        <f t="shared" si="1"/>
        <v>Oct-23</v>
      </c>
      <c r="Y8" s="55" t="str">
        <f t="shared" si="1"/>
        <v>Nov-23</v>
      </c>
      <c r="Z8" s="55" t="str">
        <f t="shared" si="1"/>
        <v>Dec-23</v>
      </c>
      <c r="AA8" s="55" t="str">
        <f t="shared" si="1"/>
        <v>Jan-24</v>
      </c>
      <c r="AB8" s="55" t="str">
        <f t="shared" si="1"/>
        <v>Feb-24</v>
      </c>
      <c r="AC8" s="55" t="str">
        <f t="shared" si="1"/>
        <v>Mar-24</v>
      </c>
      <c r="AD8" s="55" t="str">
        <f t="shared" si="1"/>
        <v>Apr-24</v>
      </c>
      <c r="AE8" s="55" t="str">
        <f t="shared" si="1"/>
        <v>May-24</v>
      </c>
      <c r="AF8" s="55" t="str">
        <f t="shared" si="1"/>
        <v>Jun-24</v>
      </c>
      <c r="AG8" s="55" t="str">
        <f t="shared" si="1"/>
        <v>Jul-24</v>
      </c>
      <c r="AH8" s="64" t="s">
        <v>63</v>
      </c>
    </row>
    <row r="9" spans="1:34" ht="15" customHeight="1" x14ac:dyDescent="0.15">
      <c r="B9" s="56" t="s">
        <v>64</v>
      </c>
      <c r="E9" s="260">
        <f ca="1">IF(E$97,OFFSET(Financials!J25,0,$E$92),0)</f>
        <v>3371.0619354838709</v>
      </c>
      <c r="F9" s="260">
        <f ca="1">IF(F$97,OFFSET(Financials!K25,0,$E$92),0)</f>
        <v>5460.4498733333321</v>
      </c>
      <c r="G9" s="260">
        <f ca="1">IF(G$97,OFFSET(Financials!L25,0,$E$92),0)</f>
        <v>5658.2944516129037</v>
      </c>
      <c r="H9" s="260">
        <f ca="1">IF(H$97,OFFSET(Financials!M25,0,$E$92),0)</f>
        <v>6738.0976666666666</v>
      </c>
      <c r="I9" s="260">
        <f ca="1">IF(I$97,OFFSET(Financials!N25,0,$E$92),0)</f>
        <v>2898.1579913978489</v>
      </c>
      <c r="J9" s="260">
        <f ca="1">IF(J$97,OFFSET(Financials!O25,0,$E$92),0)</f>
        <v>5264.5171290322578</v>
      </c>
      <c r="K9" s="260">
        <f ca="1">IF(K$97,OFFSET(Financials!P25,0,$E$92),0)</f>
        <v>6074.5498666666672</v>
      </c>
      <c r="L9" s="260">
        <f ca="1">IF(L$97,OFFSET(Financials!Q25,0,$E$92),0)</f>
        <v>6044.8385397849461</v>
      </c>
      <c r="M9" s="260">
        <f ca="1">IF(M$97,OFFSET(Financials!R25,0,$E$92),0)</f>
        <v>4902.4685600000003</v>
      </c>
      <c r="N9" s="260">
        <f ca="1">IF(N$97,OFFSET(Financials!S25,0,$E$92),0)</f>
        <v>5694.5062731182788</v>
      </c>
      <c r="O9" s="260">
        <f ca="1">IF(O$97,OFFSET(Financials!T25,0,$E$92),0)</f>
        <v>5619.0533333333333</v>
      </c>
      <c r="P9" s="260">
        <f ca="1">IF(P$97,OFFSET(Financials!U25,0,$E$92),0)</f>
        <v>5209.1097290322577</v>
      </c>
      <c r="Q9" s="265">
        <f ca="1">SUM(E9:P9)</f>
        <v>62935.105349462356</v>
      </c>
      <c r="S9" s="56" t="str">
        <f ca="1">B138</f>
        <v>PAYG Fencing</v>
      </c>
      <c r="V9" s="260">
        <f t="shared" ref="V9:AG9" ca="1" si="2">E138</f>
        <v>2481.0619354838709</v>
      </c>
      <c r="W9" s="260">
        <f t="shared" ca="1" si="2"/>
        <v>4567.1165399999991</v>
      </c>
      <c r="X9" s="260">
        <f t="shared" ca="1" si="2"/>
        <v>4753.2944516129037</v>
      </c>
      <c r="Y9" s="260">
        <f t="shared" ca="1" si="2"/>
        <v>5821.4309999999996</v>
      </c>
      <c r="Z9" s="260">
        <f t="shared" ca="1" si="2"/>
        <v>1969.8246580645155</v>
      </c>
      <c r="AA9" s="260">
        <f t="shared" ca="1" si="2"/>
        <v>4324.5171290322578</v>
      </c>
      <c r="AB9" s="260">
        <f t="shared" ca="1" si="2"/>
        <v>4722.8832000000002</v>
      </c>
      <c r="AC9" s="260">
        <f t="shared" ca="1" si="2"/>
        <v>4681.505206451613</v>
      </c>
      <c r="AD9" s="260">
        <f t="shared" ca="1" si="2"/>
        <v>3527.4685600000003</v>
      </c>
      <c r="AE9" s="260">
        <f t="shared" ca="1" si="2"/>
        <v>4307.8396064516119</v>
      </c>
      <c r="AF9" s="260">
        <f t="shared" ca="1" si="2"/>
        <v>4220.72</v>
      </c>
      <c r="AG9" s="260">
        <f t="shared" ca="1" si="2"/>
        <v>3799.1097290322577</v>
      </c>
      <c r="AH9" s="265">
        <f t="shared" ref="AH9:AH14" ca="1" si="3">SUM(V9:AG9)</f>
        <v>49176.772016129034</v>
      </c>
    </row>
    <row r="10" spans="1:34" ht="15" customHeight="1" x14ac:dyDescent="0.15">
      <c r="B10" s="56" t="s">
        <v>65</v>
      </c>
      <c r="E10" s="260">
        <f ca="1">IF(E$97,OFFSET(Financials!J31,0,$E$92),0)</f>
        <v>-854.31486709677404</v>
      </c>
      <c r="F10" s="260">
        <f ca="1">IF(F$97,OFFSET(Financials!K31,0,$E$92),0)</f>
        <v>-818.26629822666655</v>
      </c>
      <c r="G10" s="260">
        <f ca="1">IF(G$97,OFFSET(Financials!L31,0,$E$92),0)</f>
        <v>-855.99945565591406</v>
      </c>
      <c r="H10" s="260">
        <f ca="1">IF(H$97,OFFSET(Financials!M31,0,$E$92),0)</f>
        <v>-872.62003400000003</v>
      </c>
      <c r="I10" s="260">
        <f ca="1">IF(I$97,OFFSET(Financials!N31,0,$E$92),0)</f>
        <v>-786.90421187956986</v>
      </c>
      <c r="J10" s="260">
        <f ca="1">IF(J$97,OFFSET(Financials!O31,0,$E$92),0)</f>
        <v>-888.45657313978484</v>
      </c>
      <c r="K10" s="260">
        <f ca="1">IF(K$97,OFFSET(Financials!P31,0,$E$92),0)</f>
        <v>-828.78036479999992</v>
      </c>
      <c r="L10" s="260">
        <f ca="1">IF(L$97,OFFSET(Financials!Q31,0,$E$92),0)</f>
        <v>-829.86773955698914</v>
      </c>
      <c r="M10" s="260">
        <f ca="1">IF(M$97,OFFSET(Financials!R31,0,$E$92),0)</f>
        <v>-848.83789317333333</v>
      </c>
      <c r="N10" s="260">
        <f ca="1">IF(N$97,OFFSET(Financials!S31,0,$E$92),0)</f>
        <v>-894.88975449032239</v>
      </c>
      <c r="O10" s="260">
        <f ca="1">IF(O$97,OFFSET(Financials!T31,0,$E$92),0)</f>
        <v>-794.95674666666662</v>
      </c>
      <c r="P10" s="260">
        <f ca="1">IF(P$97,OFFSET(Financials!U31,0,$E$92),0)</f>
        <v>-891.10086953978475</v>
      </c>
      <c r="Q10" s="265">
        <f ca="1">SUM(E10:P10)</f>
        <v>-10164.994808225807</v>
      </c>
      <c r="S10" s="56" t="str">
        <f ca="1">B139</f>
        <v>Private Hire</v>
      </c>
      <c r="V10" s="260">
        <f t="shared" ref="V10:AG10" ca="1" si="4">E139</f>
        <v>400</v>
      </c>
      <c r="W10" s="260">
        <f t="shared" ca="1" si="4"/>
        <v>400</v>
      </c>
      <c r="X10" s="260">
        <f t="shared" ca="1" si="4"/>
        <v>400</v>
      </c>
      <c r="Y10" s="260">
        <f t="shared" ca="1" si="4"/>
        <v>400</v>
      </c>
      <c r="Z10" s="260">
        <f t="shared" ca="1" si="4"/>
        <v>400</v>
      </c>
      <c r="AA10" s="260">
        <f t="shared" ca="1" si="4"/>
        <v>400</v>
      </c>
      <c r="AB10" s="260">
        <f t="shared" ca="1" si="4"/>
        <v>800</v>
      </c>
      <c r="AC10" s="260">
        <f t="shared" ca="1" si="4"/>
        <v>800</v>
      </c>
      <c r="AD10" s="260">
        <f t="shared" ca="1" si="4"/>
        <v>800</v>
      </c>
      <c r="AE10" s="260">
        <f t="shared" ca="1" si="4"/>
        <v>800</v>
      </c>
      <c r="AF10" s="260">
        <f t="shared" ca="1" si="4"/>
        <v>800</v>
      </c>
      <c r="AG10" s="260">
        <f t="shared" ca="1" si="4"/>
        <v>800</v>
      </c>
      <c r="AH10" s="265">
        <f t="shared" ca="1" si="3"/>
        <v>7200</v>
      </c>
    </row>
    <row r="11" spans="1:34" ht="15" customHeight="1" x14ac:dyDescent="0.15">
      <c r="B11" s="54" t="s">
        <v>66</v>
      </c>
      <c r="E11" s="261">
        <f t="shared" ref="E11:P11" ca="1" si="5">SUM(E9:E10)</f>
        <v>2516.747068387097</v>
      </c>
      <c r="F11" s="261">
        <f t="shared" ca="1" si="5"/>
        <v>4642.1835751066656</v>
      </c>
      <c r="G11" s="261">
        <f t="shared" ca="1" si="5"/>
        <v>4802.2949959569896</v>
      </c>
      <c r="H11" s="261">
        <f t="shared" ca="1" si="5"/>
        <v>5865.477632666667</v>
      </c>
      <c r="I11" s="261">
        <f t="shared" ca="1" si="5"/>
        <v>2111.2537795182789</v>
      </c>
      <c r="J11" s="261">
        <f t="shared" ca="1" si="5"/>
        <v>4376.0605558924726</v>
      </c>
      <c r="K11" s="261">
        <f t="shared" ca="1" si="5"/>
        <v>5245.7695018666673</v>
      </c>
      <c r="L11" s="261">
        <f t="shared" ca="1" si="5"/>
        <v>5214.9708002279567</v>
      </c>
      <c r="M11" s="261">
        <f t="shared" ca="1" si="5"/>
        <v>4053.630666826667</v>
      </c>
      <c r="N11" s="261">
        <f t="shared" ca="1" si="5"/>
        <v>4799.6165186279568</v>
      </c>
      <c r="O11" s="261">
        <f t="shared" ca="1" si="5"/>
        <v>4824.0965866666666</v>
      </c>
      <c r="P11" s="261">
        <f t="shared" ca="1" si="5"/>
        <v>4318.0088594924728</v>
      </c>
      <c r="Q11" s="266">
        <f ca="1">SUM(E11:P11)</f>
        <v>52770.110541236558</v>
      </c>
      <c r="S11" s="56" t="str">
        <f ca="1">B140</f>
        <v>Membership Fees</v>
      </c>
      <c r="V11" s="260">
        <f t="shared" ref="V11:AG11" ca="1" si="6">E140</f>
        <v>350</v>
      </c>
      <c r="W11" s="260">
        <f t="shared" ca="1" si="6"/>
        <v>350</v>
      </c>
      <c r="X11" s="260">
        <f t="shared" ca="1" si="6"/>
        <v>358.33333333333337</v>
      </c>
      <c r="Y11" s="260">
        <f t="shared" ca="1" si="6"/>
        <v>366.66666666666663</v>
      </c>
      <c r="Z11" s="260">
        <f t="shared" ca="1" si="6"/>
        <v>375</v>
      </c>
      <c r="AA11" s="260">
        <f t="shared" ca="1" si="6"/>
        <v>383.33333333333337</v>
      </c>
      <c r="AB11" s="260">
        <f t="shared" ca="1" si="6"/>
        <v>391.66666666666663</v>
      </c>
      <c r="AC11" s="260">
        <f t="shared" ca="1" si="6"/>
        <v>400</v>
      </c>
      <c r="AD11" s="260">
        <f t="shared" ca="1" si="6"/>
        <v>408.33333333333337</v>
      </c>
      <c r="AE11" s="260">
        <f t="shared" ca="1" si="6"/>
        <v>416.66666666666663</v>
      </c>
      <c r="AF11" s="260">
        <f t="shared" ca="1" si="6"/>
        <v>425</v>
      </c>
      <c r="AG11" s="260">
        <f t="shared" ca="1" si="6"/>
        <v>433.33333333333337</v>
      </c>
      <c r="AH11" s="265">
        <f t="shared" ca="1" si="3"/>
        <v>4658.333333333333</v>
      </c>
    </row>
    <row r="12" spans="1:34" ht="15" customHeight="1" x14ac:dyDescent="0.15">
      <c r="B12" s="57" t="s">
        <v>67</v>
      </c>
      <c r="E12" s="267">
        <f t="shared" ref="E12:P12" ca="1" si="7">IF(E9=0,0,E11/E9)</f>
        <v>0.74657396290936184</v>
      </c>
      <c r="F12" s="267">
        <f t="shared" ca="1" si="7"/>
        <v>0.85014672468238306</v>
      </c>
      <c r="G12" s="267">
        <f t="shared" ca="1" si="7"/>
        <v>0.8487177606298113</v>
      </c>
      <c r="H12" s="267">
        <f t="shared" ca="1" si="7"/>
        <v>0.8704945999348086</v>
      </c>
      <c r="I12" s="267">
        <f t="shared" ca="1" si="7"/>
        <v>0.72848125802140007</v>
      </c>
      <c r="J12" s="267">
        <f t="shared" ca="1" si="7"/>
        <v>0.8312368349529704</v>
      </c>
      <c r="K12" s="267">
        <f t="shared" ca="1" si="7"/>
        <v>0.86356513931216061</v>
      </c>
      <c r="L12" s="267">
        <f t="shared" ca="1" si="7"/>
        <v>0.86271465580178874</v>
      </c>
      <c r="M12" s="267">
        <f t="shared" ca="1" si="7"/>
        <v>0.82685500523162292</v>
      </c>
      <c r="N12" s="267">
        <f t="shared" ca="1" si="7"/>
        <v>0.84285033476654936</v>
      </c>
      <c r="O12" s="267">
        <f t="shared" ca="1" si="7"/>
        <v>0.85852479065275522</v>
      </c>
      <c r="P12" s="267">
        <f t="shared" ca="1" si="7"/>
        <v>0.82893413349053546</v>
      </c>
      <c r="Q12" s="268">
        <f ca="1">IF(Q9=0,0,Q11/Q9)</f>
        <v>0.83848450317541834</v>
      </c>
      <c r="S12" s="56" t="str">
        <f ca="1">B141</f>
        <v>Merch Sales</v>
      </c>
      <c r="V12" s="260">
        <f t="shared" ref="V12:AG12" ca="1" si="8">E141</f>
        <v>100</v>
      </c>
      <c r="W12" s="260">
        <f t="shared" ca="1" si="8"/>
        <v>103.33333333333334</v>
      </c>
      <c r="X12" s="260">
        <f t="shared" ca="1" si="8"/>
        <v>106.66666666666667</v>
      </c>
      <c r="Y12" s="260">
        <f t="shared" ca="1" si="8"/>
        <v>110</v>
      </c>
      <c r="Z12" s="260">
        <f t="shared" ca="1" si="8"/>
        <v>113.33333333333334</v>
      </c>
      <c r="AA12" s="260">
        <f t="shared" ca="1" si="8"/>
        <v>116.66666666666667</v>
      </c>
      <c r="AB12" s="260">
        <f t="shared" ca="1" si="8"/>
        <v>120</v>
      </c>
      <c r="AC12" s="260">
        <f t="shared" ca="1" si="8"/>
        <v>123.33333333333334</v>
      </c>
      <c r="AD12" s="260">
        <f t="shared" ca="1" si="8"/>
        <v>126.66666666666667</v>
      </c>
      <c r="AE12" s="260">
        <f t="shared" ca="1" si="8"/>
        <v>130</v>
      </c>
      <c r="AF12" s="260">
        <f t="shared" ca="1" si="8"/>
        <v>133.33333333333334</v>
      </c>
      <c r="AG12" s="260">
        <f t="shared" ca="1" si="8"/>
        <v>136.66666666666669</v>
      </c>
      <c r="AH12" s="265">
        <f t="shared" ca="1" si="3"/>
        <v>1420</v>
      </c>
    </row>
    <row r="13" spans="1:34" ht="15" customHeight="1" x14ac:dyDescent="0.15">
      <c r="B13" s="56" t="s">
        <v>68</v>
      </c>
      <c r="E13" s="260">
        <f ca="1">IF(E$97,OFFSET(Financials!J48,0,$E$92),0)</f>
        <v>-6676.2466959139792</v>
      </c>
      <c r="F13" s="260">
        <f ca="1">IF(F$97,OFFSET(Financials!K48,0,$E$92),0)</f>
        <v>-6724.7132305466675</v>
      </c>
      <c r="G13" s="260">
        <f ca="1">IF(G$97,OFFSET(Financials!L48,0,$E$92),0)</f>
        <v>-6731.5658112688179</v>
      </c>
      <c r="H13" s="260">
        <f ca="1">IF(H$97,OFFSET(Financials!M48,0,$E$92),0)</f>
        <v>-6757.8214820000003</v>
      </c>
      <c r="I13" s="260">
        <f ca="1">IF(I$97,OFFSET(Financials!N48,0,$E$92),0)</f>
        <v>-6675.8428091440865</v>
      </c>
      <c r="J13" s="260">
        <f ca="1">IF(J$97,OFFSET(Financials!O48,0,$E$92),0)</f>
        <v>-6730.402710172044</v>
      </c>
      <c r="K13" s="260">
        <f ca="1">IF(K$97,OFFSET(Financials!P48,0,$E$92),0)</f>
        <v>-7865.8234304000007</v>
      </c>
      <c r="L13" s="260">
        <f ca="1">IF(L$97,OFFSET(Financials!Q48,0,$E$92),0)</f>
        <v>-7867.6697812086031</v>
      </c>
      <c r="M13" s="260">
        <f ca="1">IF(M$97,OFFSET(Financials!R48,0,$E$92),0)</f>
        <v>-7898.137641653334</v>
      </c>
      <c r="N13" s="260">
        <f ca="1">IF(N$97,OFFSET(Financials!S48,0,$E$92),0)</f>
        <v>-7971.162471341936</v>
      </c>
      <c r="O13" s="260">
        <f ca="1">IF(O$97,OFFSET(Financials!T48,0,$E$92),0)</f>
        <v>-7812.7025066666674</v>
      </c>
      <c r="P13" s="260">
        <f ca="1">IF(P$97,OFFSET(Financials!U48,0,$E$92),0)</f>
        <v>-7965.4837473720436</v>
      </c>
      <c r="Q13" s="265">
        <f ca="1">SUM(E13:P13)</f>
        <v>-87677.572317688173</v>
      </c>
      <c r="S13" s="56" t="str">
        <f ca="1">B142</f>
        <v>Book a Piste</v>
      </c>
      <c r="V13" s="260">
        <f t="shared" ref="V13:AG13" ca="1" si="9">E142</f>
        <v>40</v>
      </c>
      <c r="W13" s="260">
        <f t="shared" ca="1" si="9"/>
        <v>40</v>
      </c>
      <c r="X13" s="260">
        <f t="shared" ca="1" si="9"/>
        <v>40</v>
      </c>
      <c r="Y13" s="260">
        <f t="shared" ca="1" si="9"/>
        <v>40</v>
      </c>
      <c r="Z13" s="260">
        <f t="shared" ca="1" si="9"/>
        <v>40</v>
      </c>
      <c r="AA13" s="260">
        <f t="shared" ca="1" si="9"/>
        <v>40</v>
      </c>
      <c r="AB13" s="260">
        <f t="shared" ca="1" si="9"/>
        <v>40</v>
      </c>
      <c r="AC13" s="260">
        <f t="shared" ca="1" si="9"/>
        <v>40</v>
      </c>
      <c r="AD13" s="260">
        <f t="shared" ca="1" si="9"/>
        <v>40</v>
      </c>
      <c r="AE13" s="260">
        <f t="shared" ca="1" si="9"/>
        <v>40</v>
      </c>
      <c r="AF13" s="260">
        <f t="shared" ca="1" si="9"/>
        <v>40</v>
      </c>
      <c r="AG13" s="260">
        <f t="shared" ca="1" si="9"/>
        <v>40</v>
      </c>
      <c r="AH13" s="265">
        <f t="shared" ca="1" si="3"/>
        <v>480</v>
      </c>
    </row>
    <row r="14" spans="1:34" ht="15" customHeight="1" x14ac:dyDescent="0.15">
      <c r="B14" s="56" t="s">
        <v>69</v>
      </c>
      <c r="E14" s="264">
        <f t="shared" ref="E14:P14" ca="1" si="10">E15-E13</f>
        <v>0</v>
      </c>
      <c r="F14" s="264">
        <f t="shared" ca="1" si="10"/>
        <v>0</v>
      </c>
      <c r="G14" s="264">
        <f t="shared" ca="1" si="10"/>
        <v>0</v>
      </c>
      <c r="H14" s="264">
        <f t="shared" ca="1" si="10"/>
        <v>0</v>
      </c>
      <c r="I14" s="264">
        <f t="shared" ca="1" si="10"/>
        <v>0</v>
      </c>
      <c r="J14" s="264">
        <f t="shared" ca="1" si="10"/>
        <v>0</v>
      </c>
      <c r="K14" s="264">
        <f t="shared" ca="1" si="10"/>
        <v>0</v>
      </c>
      <c r="L14" s="264">
        <f t="shared" ca="1" si="10"/>
        <v>0</v>
      </c>
      <c r="M14" s="264">
        <f t="shared" ca="1" si="10"/>
        <v>0</v>
      </c>
      <c r="N14" s="264">
        <f t="shared" ca="1" si="10"/>
        <v>0</v>
      </c>
      <c r="O14" s="264">
        <f t="shared" ca="1" si="10"/>
        <v>0</v>
      </c>
      <c r="P14" s="264">
        <f t="shared" ca="1" si="10"/>
        <v>0</v>
      </c>
      <c r="Q14" s="265">
        <f ca="1">SUM(E14:P14)</f>
        <v>0</v>
      </c>
      <c r="S14" s="54" t="s">
        <v>70</v>
      </c>
      <c r="V14" s="263">
        <f t="shared" ref="V14:AG14" ca="1" si="11">SUM(V9:V13)</f>
        <v>3371.0619354838709</v>
      </c>
      <c r="W14" s="263">
        <f t="shared" ca="1" si="11"/>
        <v>5460.4498733333321</v>
      </c>
      <c r="X14" s="263">
        <f t="shared" ca="1" si="11"/>
        <v>5658.2944516129037</v>
      </c>
      <c r="Y14" s="263">
        <f t="shared" ca="1" si="11"/>
        <v>6738.0976666666666</v>
      </c>
      <c r="Z14" s="263">
        <f t="shared" ca="1" si="11"/>
        <v>2898.1579913978489</v>
      </c>
      <c r="AA14" s="263">
        <f t="shared" ca="1" si="11"/>
        <v>5264.5171290322578</v>
      </c>
      <c r="AB14" s="263">
        <f t="shared" ca="1" si="11"/>
        <v>6074.5498666666672</v>
      </c>
      <c r="AC14" s="263">
        <f t="shared" ca="1" si="11"/>
        <v>6044.8385397849461</v>
      </c>
      <c r="AD14" s="263">
        <f t="shared" ca="1" si="11"/>
        <v>4902.4685600000003</v>
      </c>
      <c r="AE14" s="263">
        <f t="shared" ca="1" si="11"/>
        <v>5694.5062731182788</v>
      </c>
      <c r="AF14" s="263">
        <f t="shared" ca="1" si="11"/>
        <v>5619.0533333333333</v>
      </c>
      <c r="AG14" s="263">
        <f t="shared" ca="1" si="11"/>
        <v>5209.1097290322577</v>
      </c>
      <c r="AH14" s="269">
        <f t="shared" ca="1" si="3"/>
        <v>62935.105349462356</v>
      </c>
    </row>
    <row r="15" spans="1:34" ht="15" customHeight="1" x14ac:dyDescent="0.15">
      <c r="B15" s="56" t="s">
        <v>71</v>
      </c>
      <c r="E15" s="262">
        <f ca="1">IF(E$97,OFFSET(Financials!J53,0,$E$92),0)</f>
        <v>-6676.2466959139792</v>
      </c>
      <c r="F15" s="262">
        <f ca="1">IF(F$97,OFFSET(Financials!K53,0,$E$92),0)</f>
        <v>-6724.7132305466675</v>
      </c>
      <c r="G15" s="262">
        <f ca="1">IF(G$97,OFFSET(Financials!L53,0,$E$92),0)</f>
        <v>-6731.5658112688179</v>
      </c>
      <c r="H15" s="262">
        <f ca="1">IF(H$97,OFFSET(Financials!M53,0,$E$92),0)</f>
        <v>-6757.8214820000003</v>
      </c>
      <c r="I15" s="262">
        <f ca="1">IF(I$97,OFFSET(Financials!N53,0,$E$92),0)</f>
        <v>-6675.8428091440865</v>
      </c>
      <c r="J15" s="262">
        <f ca="1">IF(J$97,OFFSET(Financials!O53,0,$E$92),0)</f>
        <v>-6730.402710172044</v>
      </c>
      <c r="K15" s="262">
        <f ca="1">IF(K$97,OFFSET(Financials!P53,0,$E$92),0)</f>
        <v>-7865.8234304000007</v>
      </c>
      <c r="L15" s="262">
        <f ca="1">IF(L$97,OFFSET(Financials!Q53,0,$E$92),0)</f>
        <v>-7867.6697812086031</v>
      </c>
      <c r="M15" s="262">
        <f ca="1">IF(M$97,OFFSET(Financials!R53,0,$E$92),0)</f>
        <v>-7898.137641653334</v>
      </c>
      <c r="N15" s="262">
        <f ca="1">IF(N$97,OFFSET(Financials!S53,0,$E$92),0)</f>
        <v>-7971.162471341936</v>
      </c>
      <c r="O15" s="262">
        <f ca="1">IF(O$97,OFFSET(Financials!T53,0,$E$92),0)</f>
        <v>-7812.7025066666674</v>
      </c>
      <c r="P15" s="262">
        <f ca="1">IF(P$97,OFFSET(Financials!U53,0,$E$92),0)</f>
        <v>-7965.4837473720436</v>
      </c>
      <c r="Q15" s="270">
        <f ca="1">SUM(E15:P15)</f>
        <v>-87677.572317688173</v>
      </c>
    </row>
    <row r="16" spans="1:34" ht="15" customHeight="1" x14ac:dyDescent="0.15">
      <c r="B16" s="54" t="s">
        <v>72</v>
      </c>
      <c r="E16" s="263">
        <f t="shared" ref="E16:P16" ca="1" si="12">E11+E15</f>
        <v>-4159.4996275268823</v>
      </c>
      <c r="F16" s="263">
        <f t="shared" ca="1" si="12"/>
        <v>-2082.529655440002</v>
      </c>
      <c r="G16" s="263">
        <f t="shared" ca="1" si="12"/>
        <v>-1929.2708153118283</v>
      </c>
      <c r="H16" s="263">
        <f t="shared" ca="1" si="12"/>
        <v>-892.34384933333331</v>
      </c>
      <c r="I16" s="263">
        <f t="shared" ca="1" si="12"/>
        <v>-4564.5890296258076</v>
      </c>
      <c r="J16" s="263">
        <f t="shared" ca="1" si="12"/>
        <v>-2354.3421542795713</v>
      </c>
      <c r="K16" s="263">
        <f t="shared" ca="1" si="12"/>
        <v>-2620.0539285333334</v>
      </c>
      <c r="L16" s="263">
        <f t="shared" ca="1" si="12"/>
        <v>-2652.6989809806464</v>
      </c>
      <c r="M16" s="263">
        <f t="shared" ca="1" si="12"/>
        <v>-3844.5069748266669</v>
      </c>
      <c r="N16" s="263">
        <f t="shared" ca="1" si="12"/>
        <v>-3171.5459527139792</v>
      </c>
      <c r="O16" s="263">
        <f t="shared" ca="1" si="12"/>
        <v>-2988.6059200000009</v>
      </c>
      <c r="P16" s="263">
        <f t="shared" ca="1" si="12"/>
        <v>-3647.4748878795708</v>
      </c>
      <c r="Q16" s="269">
        <f ca="1">SUM(E16:P16)</f>
        <v>-34907.461776451622</v>
      </c>
      <c r="S16" s="332" t="s">
        <v>73</v>
      </c>
      <c r="T16" s="332"/>
      <c r="U16" s="332"/>
      <c r="V16" s="332"/>
      <c r="W16" s="332"/>
      <c r="X16" s="332"/>
      <c r="Y16" s="332"/>
      <c r="Z16" s="332"/>
      <c r="AA16" s="332"/>
      <c r="AB16" s="332"/>
      <c r="AC16" s="332"/>
      <c r="AD16" s="332"/>
      <c r="AE16" s="332"/>
      <c r="AF16" s="332"/>
      <c r="AG16" s="332"/>
      <c r="AH16" s="332"/>
    </row>
    <row r="17" spans="2:34" ht="15" customHeight="1" x14ac:dyDescent="0.15">
      <c r="B17" s="57" t="s">
        <v>74</v>
      </c>
      <c r="E17" s="267">
        <f t="shared" ref="E17:P17" ca="1" si="13">IF(E9=0,0,E16/E9)</f>
        <v>-1.2338840718836694</v>
      </c>
      <c r="F17" s="267">
        <f t="shared" ca="1" si="13"/>
        <v>-0.38138426388826485</v>
      </c>
      <c r="G17" s="267">
        <f t="shared" ca="1" si="13"/>
        <v>-0.34096331179122136</v>
      </c>
      <c r="H17" s="267">
        <f t="shared" ca="1" si="13"/>
        <v>-0.13243260835291149</v>
      </c>
      <c r="I17" s="267">
        <f t="shared" ca="1" si="13"/>
        <v>-1.5749966161866145</v>
      </c>
      <c r="J17" s="267">
        <f t="shared" ca="1" si="13"/>
        <v>-0.44720951543610132</v>
      </c>
      <c r="K17" s="267">
        <f t="shared" ca="1" si="13"/>
        <v>-0.43131655613044706</v>
      </c>
      <c r="L17" s="267">
        <f t="shared" ca="1" si="13"/>
        <v>-0.43883702823847798</v>
      </c>
      <c r="M17" s="267">
        <f t="shared" ca="1" si="13"/>
        <v>-0.78419819072264829</v>
      </c>
      <c r="N17" s="267">
        <f t="shared" ca="1" si="13"/>
        <v>-0.5569483640198466</v>
      </c>
      <c r="O17" s="267">
        <f t="shared" ca="1" si="13"/>
        <v>-0.53187000419999586</v>
      </c>
      <c r="P17" s="267">
        <f t="shared" ca="1" si="13"/>
        <v>-0.70021079946749254</v>
      </c>
      <c r="Q17" s="268">
        <f ca="1">IF(Q9=0,0,Q16/Q9)</f>
        <v>-0.5546580335826804</v>
      </c>
    </row>
    <row r="18" spans="2:34" ht="15" customHeight="1" x14ac:dyDescent="0.15">
      <c r="B18" s="56" t="s">
        <v>75</v>
      </c>
      <c r="E18" s="264">
        <f ca="1">IF(E$97,OFFSET(Financials!J62,0,$E$92),0)</f>
        <v>-2952.9722222222222</v>
      </c>
      <c r="F18" s="264">
        <f ca="1">IF(F$97,OFFSET(Financials!K62,0,$E$92),0)</f>
        <v>-5800.1944444444443</v>
      </c>
      <c r="G18" s="264">
        <f ca="1">IF(G$97,OFFSET(Financials!L62,0,$E$92),0)</f>
        <v>-5800.1944444444443</v>
      </c>
      <c r="H18" s="264">
        <f ca="1">IF(H$97,OFFSET(Financials!M62,0,$E$92),0)</f>
        <v>-5800.1944444444443</v>
      </c>
      <c r="I18" s="264">
        <f ca="1">IF(I$97,OFFSET(Financials!N62,0,$E$92),0)</f>
        <v>-5800.1944444444443</v>
      </c>
      <c r="J18" s="264">
        <f ca="1">IF(J$97,OFFSET(Financials!O62,0,$E$92),0)</f>
        <v>-5800.1944444444443</v>
      </c>
      <c r="K18" s="264">
        <f ca="1">IF(K$97,OFFSET(Financials!P62,0,$E$92),0)</f>
        <v>-5800.1944444444443</v>
      </c>
      <c r="L18" s="264">
        <f ca="1">IF(L$97,OFFSET(Financials!Q62,0,$E$92),0)</f>
        <v>-5800.1944444444443</v>
      </c>
      <c r="M18" s="264">
        <f ca="1">IF(M$97,OFFSET(Financials!R62,0,$E$92),0)</f>
        <v>-5800.1944444444443</v>
      </c>
      <c r="N18" s="264">
        <f ca="1">IF(N$97,OFFSET(Financials!S62,0,$E$92),0)</f>
        <v>-5800.1944444444443</v>
      </c>
      <c r="O18" s="264">
        <f ca="1">IF(O$97,OFFSET(Financials!T62,0,$E$92),0)</f>
        <v>-5800.1944444444443</v>
      </c>
      <c r="P18" s="264">
        <f ca="1">IF(P$97,OFFSET(Financials!U62,0,$E$92),0)</f>
        <v>-5800.1944444444443</v>
      </c>
      <c r="Q18" s="265">
        <f ca="1">SUM(E18:P18)</f>
        <v>-66755.111111111109</v>
      </c>
      <c r="S18" s="54" t="str">
        <f>$B$95</f>
        <v>Month Ending</v>
      </c>
      <c r="V18" s="55" t="str">
        <f t="shared" ref="V18:AG18" si="14">E$95</f>
        <v>Aug-23</v>
      </c>
      <c r="W18" s="55" t="str">
        <f t="shared" si="14"/>
        <v>Sep-23</v>
      </c>
      <c r="X18" s="55" t="str">
        <f t="shared" si="14"/>
        <v>Oct-23</v>
      </c>
      <c r="Y18" s="55" t="str">
        <f t="shared" si="14"/>
        <v>Nov-23</v>
      </c>
      <c r="Z18" s="55" t="str">
        <f t="shared" si="14"/>
        <v>Dec-23</v>
      </c>
      <c r="AA18" s="55" t="str">
        <f t="shared" si="14"/>
        <v>Jan-24</v>
      </c>
      <c r="AB18" s="55" t="str">
        <f t="shared" si="14"/>
        <v>Feb-24</v>
      </c>
      <c r="AC18" s="55" t="str">
        <f t="shared" si="14"/>
        <v>Mar-24</v>
      </c>
      <c r="AD18" s="55" t="str">
        <f t="shared" si="14"/>
        <v>Apr-24</v>
      </c>
      <c r="AE18" s="55" t="str">
        <f t="shared" si="14"/>
        <v>May-24</v>
      </c>
      <c r="AF18" s="55" t="str">
        <f t="shared" si="14"/>
        <v>Jun-24</v>
      </c>
      <c r="AG18" s="55" t="str">
        <f t="shared" si="14"/>
        <v>Jul-24</v>
      </c>
      <c r="AH18" s="64" t="s">
        <v>63</v>
      </c>
    </row>
    <row r="19" spans="2:34" ht="15" customHeight="1" x14ac:dyDescent="0.15">
      <c r="B19" s="54" t="s">
        <v>76</v>
      </c>
      <c r="E19" s="263">
        <f t="shared" ref="E19:P19" ca="1" si="15">E16+E18</f>
        <v>-7112.4718497491049</v>
      </c>
      <c r="F19" s="263">
        <f t="shared" ca="1" si="15"/>
        <v>-7882.7240998844463</v>
      </c>
      <c r="G19" s="263">
        <f t="shared" ca="1" si="15"/>
        <v>-7729.4652597562726</v>
      </c>
      <c r="H19" s="263">
        <f t="shared" ca="1" si="15"/>
        <v>-6692.5382937777777</v>
      </c>
      <c r="I19" s="263">
        <f t="shared" ca="1" si="15"/>
        <v>-10364.783474070253</v>
      </c>
      <c r="J19" s="263">
        <f t="shared" ca="1" si="15"/>
        <v>-8154.5365987240157</v>
      </c>
      <c r="K19" s="263">
        <f t="shared" ca="1" si="15"/>
        <v>-8420.2483729777778</v>
      </c>
      <c r="L19" s="263">
        <f t="shared" ca="1" si="15"/>
        <v>-8452.8934254250908</v>
      </c>
      <c r="M19" s="263">
        <f t="shared" ca="1" si="15"/>
        <v>-9644.7014192711104</v>
      </c>
      <c r="N19" s="263">
        <f t="shared" ca="1" si="15"/>
        <v>-8971.7403971584245</v>
      </c>
      <c r="O19" s="263">
        <f t="shared" ca="1" si="15"/>
        <v>-8788.8003644444452</v>
      </c>
      <c r="P19" s="263">
        <f t="shared" ca="1" si="15"/>
        <v>-9447.6693323240142</v>
      </c>
      <c r="Q19" s="269">
        <f ca="1">SUM(E19:P19)</f>
        <v>-101662.57288756272</v>
      </c>
      <c r="S19" s="56" t="str">
        <f ca="1">B159</f>
        <v>Rent</v>
      </c>
      <c r="V19" s="260">
        <f t="shared" ref="V19:AG19" ca="1" si="16">E159</f>
        <v>5833.3333333333339</v>
      </c>
      <c r="W19" s="260">
        <f t="shared" ca="1" si="16"/>
        <v>5833.3333333333339</v>
      </c>
      <c r="X19" s="260">
        <f t="shared" ca="1" si="16"/>
        <v>5833.3333333333339</v>
      </c>
      <c r="Y19" s="260">
        <f t="shared" ca="1" si="16"/>
        <v>5833.3333333333339</v>
      </c>
      <c r="Z19" s="260">
        <f t="shared" ca="1" si="16"/>
        <v>5833.3333333333339</v>
      </c>
      <c r="AA19" s="260">
        <f t="shared" ca="1" si="16"/>
        <v>5833.3333333333339</v>
      </c>
      <c r="AB19" s="260">
        <f t="shared" ca="1" si="16"/>
        <v>5833.3333333333339</v>
      </c>
      <c r="AC19" s="260">
        <f t="shared" ca="1" si="16"/>
        <v>5833.3333333333339</v>
      </c>
      <c r="AD19" s="260">
        <f t="shared" ca="1" si="16"/>
        <v>5833.3333333333339</v>
      </c>
      <c r="AE19" s="260">
        <f t="shared" ca="1" si="16"/>
        <v>5833.3333333333339</v>
      </c>
      <c r="AF19" s="260">
        <f t="shared" ca="1" si="16"/>
        <v>5833.3333333333339</v>
      </c>
      <c r="AG19" s="260">
        <f t="shared" ca="1" si="16"/>
        <v>5833.3333333333339</v>
      </c>
      <c r="AH19" s="265">
        <f t="shared" ref="AH19:AH24" ca="1" si="17">SUM(V19:AG19)</f>
        <v>70000.000000000015</v>
      </c>
    </row>
    <row r="20" spans="2:34" ht="15" customHeight="1" x14ac:dyDescent="0.15">
      <c r="B20" s="57" t="s">
        <v>77</v>
      </c>
      <c r="E20" s="267">
        <f t="shared" ref="E20:P20" ca="1" si="18">IF(E9=0,0,E19/E9)</f>
        <v>-2.1098609239074109</v>
      </c>
      <c r="F20" s="267">
        <f t="shared" ca="1" si="18"/>
        <v>-1.4436034178027235</v>
      </c>
      <c r="G20" s="267">
        <f t="shared" ca="1" si="18"/>
        <v>-1.3660415388161673</v>
      </c>
      <c r="H20" s="267">
        <f t="shared" ca="1" si="18"/>
        <v>-0.99323854073616791</v>
      </c>
      <c r="I20" s="267">
        <f t="shared" ca="1" si="18"/>
        <v>-3.5763348667789767</v>
      </c>
      <c r="J20" s="267">
        <f t="shared" ca="1" si="18"/>
        <v>-1.5489619273445143</v>
      </c>
      <c r="K20" s="267">
        <f t="shared" ca="1" si="18"/>
        <v>-1.3861518232293784</v>
      </c>
      <c r="L20" s="267">
        <f t="shared" ca="1" si="18"/>
        <v>-1.3983654600186914</v>
      </c>
      <c r="M20" s="267">
        <f t="shared" ca="1" si="18"/>
        <v>-1.9673153027362016</v>
      </c>
      <c r="N20" s="267">
        <f t="shared" ca="1" si="18"/>
        <v>-1.575508036493136</v>
      </c>
      <c r="O20" s="267">
        <f t="shared" ca="1" si="18"/>
        <v>-1.5641069488177923</v>
      </c>
      <c r="P20" s="267">
        <f t="shared" ca="1" si="18"/>
        <v>-1.8136821498822968</v>
      </c>
      <c r="Q20" s="268">
        <f ca="1">IF(Q9=0,0,Q19/Q9)</f>
        <v>-1.6153555686139995</v>
      </c>
      <c r="S20" s="56" t="str">
        <f ca="1">B160</f>
        <v>Staff Cost</v>
      </c>
      <c r="V20" s="260">
        <f t="shared" ref="V20:AG20" ca="1" si="19">E160</f>
        <v>0</v>
      </c>
      <c r="W20" s="260">
        <f t="shared" ca="1" si="19"/>
        <v>0</v>
      </c>
      <c r="X20" s="260">
        <f t="shared" ca="1" si="19"/>
        <v>0</v>
      </c>
      <c r="Y20" s="260">
        <f t="shared" ca="1" si="19"/>
        <v>0</v>
      </c>
      <c r="Z20" s="260">
        <f t="shared" ca="1" si="19"/>
        <v>0</v>
      </c>
      <c r="AA20" s="260">
        <f t="shared" ca="1" si="19"/>
        <v>0</v>
      </c>
      <c r="AB20" s="260">
        <f t="shared" ca="1" si="19"/>
        <v>1115.1000000000001</v>
      </c>
      <c r="AC20" s="260">
        <f t="shared" ca="1" si="19"/>
        <v>1115.1000000000001</v>
      </c>
      <c r="AD20" s="260">
        <f t="shared" ca="1" si="19"/>
        <v>1168.2</v>
      </c>
      <c r="AE20" s="260">
        <f t="shared" ca="1" si="19"/>
        <v>1221.3</v>
      </c>
      <c r="AF20" s="260">
        <f t="shared" ca="1" si="19"/>
        <v>1062</v>
      </c>
      <c r="AG20" s="260">
        <f t="shared" ca="1" si="19"/>
        <v>1221.3</v>
      </c>
      <c r="AH20" s="265">
        <f t="shared" ca="1" si="17"/>
        <v>6903.0000000000009</v>
      </c>
    </row>
    <row r="21" spans="2:34" ht="15" customHeight="1" x14ac:dyDescent="0.15">
      <c r="B21" s="56" t="s">
        <v>78</v>
      </c>
      <c r="E21" s="264">
        <f ca="1">IF(E$97,OFFSET(Financials!J72,0,$E$92),0)</f>
        <v>0</v>
      </c>
      <c r="F21" s="264">
        <f ca="1">IF(F$97,OFFSET(Financials!K72,0,$E$92),0)</f>
        <v>0</v>
      </c>
      <c r="G21" s="264">
        <f ca="1">IF(G$97,OFFSET(Financials!L72,0,$E$92),0)</f>
        <v>0</v>
      </c>
      <c r="H21" s="264">
        <f ca="1">IF(H$97,OFFSET(Financials!M72,0,$E$92),0)</f>
        <v>0</v>
      </c>
      <c r="I21" s="264">
        <f ca="1">IF(I$97,OFFSET(Financials!N72,0,$E$92),0)</f>
        <v>0</v>
      </c>
      <c r="J21" s="264">
        <f ca="1">IF(J$97,OFFSET(Financials!O72,0,$E$92),0)</f>
        <v>0</v>
      </c>
      <c r="K21" s="264">
        <f ca="1">IF(K$97,OFFSET(Financials!P72,0,$E$92),0)</f>
        <v>0</v>
      </c>
      <c r="L21" s="264">
        <f ca="1">IF(L$97,OFFSET(Financials!Q72,0,$E$92),0)</f>
        <v>0</v>
      </c>
      <c r="M21" s="264">
        <f ca="1">IF(M$97,OFFSET(Financials!R72,0,$E$92),0)</f>
        <v>0</v>
      </c>
      <c r="N21" s="264">
        <f ca="1">IF(N$97,OFFSET(Financials!S72,0,$E$92),0)</f>
        <v>0</v>
      </c>
      <c r="O21" s="264">
        <f ca="1">IF(O$97,OFFSET(Financials!T72,0,$E$92),0)</f>
        <v>0</v>
      </c>
      <c r="P21" s="264">
        <f ca="1">IF(P$97,OFFSET(Financials!U72,0,$E$92),0)</f>
        <v>0</v>
      </c>
      <c r="Q21" s="265">
        <f ca="1">SUM(E21:P21)</f>
        <v>0</v>
      </c>
      <c r="S21" s="56" t="str">
        <f ca="1">B161</f>
        <v>Rates</v>
      </c>
      <c r="V21" s="260">
        <f t="shared" ref="V21:AG21" ca="1" si="20">E161</f>
        <v>227.08333333333337</v>
      </c>
      <c r="W21" s="260">
        <f t="shared" ca="1" si="20"/>
        <v>227.08333333333337</v>
      </c>
      <c r="X21" s="260">
        <f t="shared" ca="1" si="20"/>
        <v>227.08333333333337</v>
      </c>
      <c r="Y21" s="260">
        <f t="shared" ca="1" si="20"/>
        <v>227.08333333333337</v>
      </c>
      <c r="Z21" s="260">
        <f t="shared" ca="1" si="20"/>
        <v>227.08333333333337</v>
      </c>
      <c r="AA21" s="260">
        <f t="shared" ca="1" si="20"/>
        <v>227.08333333333337</v>
      </c>
      <c r="AB21" s="260">
        <f t="shared" ca="1" si="20"/>
        <v>227.08333333333337</v>
      </c>
      <c r="AC21" s="260">
        <f t="shared" ca="1" si="20"/>
        <v>227.08333333333337</v>
      </c>
      <c r="AD21" s="260">
        <f t="shared" ca="1" si="20"/>
        <v>227.08333333333337</v>
      </c>
      <c r="AE21" s="260">
        <f t="shared" ca="1" si="20"/>
        <v>227.08333333333337</v>
      </c>
      <c r="AF21" s="260">
        <f t="shared" ca="1" si="20"/>
        <v>227.08333333333337</v>
      </c>
      <c r="AG21" s="260">
        <f t="shared" ca="1" si="20"/>
        <v>227.08333333333337</v>
      </c>
      <c r="AH21" s="265">
        <f t="shared" ca="1" si="17"/>
        <v>2725.0000000000014</v>
      </c>
    </row>
    <row r="22" spans="2:34" ht="15" customHeight="1" x14ac:dyDescent="0.15">
      <c r="B22" s="54" t="s">
        <v>79</v>
      </c>
      <c r="E22" s="263">
        <f t="shared" ref="E22:P22" ca="1" si="21">E19+E21</f>
        <v>-7112.4718497491049</v>
      </c>
      <c r="F22" s="263">
        <f t="shared" ca="1" si="21"/>
        <v>-7882.7240998844463</v>
      </c>
      <c r="G22" s="263">
        <f t="shared" ca="1" si="21"/>
        <v>-7729.4652597562726</v>
      </c>
      <c r="H22" s="263">
        <f t="shared" ca="1" si="21"/>
        <v>-6692.5382937777777</v>
      </c>
      <c r="I22" s="263">
        <f t="shared" ca="1" si="21"/>
        <v>-10364.783474070253</v>
      </c>
      <c r="J22" s="263">
        <f t="shared" ca="1" si="21"/>
        <v>-8154.5365987240157</v>
      </c>
      <c r="K22" s="263">
        <f t="shared" ca="1" si="21"/>
        <v>-8420.2483729777778</v>
      </c>
      <c r="L22" s="263">
        <f t="shared" ca="1" si="21"/>
        <v>-8452.8934254250908</v>
      </c>
      <c r="M22" s="263">
        <f t="shared" ca="1" si="21"/>
        <v>-9644.7014192711104</v>
      </c>
      <c r="N22" s="263">
        <f t="shared" ca="1" si="21"/>
        <v>-8971.7403971584245</v>
      </c>
      <c r="O22" s="263">
        <f t="shared" ca="1" si="21"/>
        <v>-8788.8003644444452</v>
      </c>
      <c r="P22" s="263">
        <f t="shared" ca="1" si="21"/>
        <v>-9447.6693323240142</v>
      </c>
      <c r="Q22" s="269">
        <f ca="1">SUM(E22:P22)</f>
        <v>-101662.57288756272</v>
      </c>
      <c r="S22" s="56" t="str">
        <f ca="1">B162</f>
        <v>Cleaning &amp; Other</v>
      </c>
      <c r="V22" s="260">
        <f t="shared" ref="V22:AG22" ca="1" si="22">E162</f>
        <v>200</v>
      </c>
      <c r="W22" s="260">
        <f t="shared" ca="1" si="22"/>
        <v>200</v>
      </c>
      <c r="X22" s="260">
        <f t="shared" ca="1" si="22"/>
        <v>200</v>
      </c>
      <c r="Y22" s="260">
        <f t="shared" ca="1" si="22"/>
        <v>200</v>
      </c>
      <c r="Z22" s="260">
        <f t="shared" ca="1" si="22"/>
        <v>200</v>
      </c>
      <c r="AA22" s="260">
        <f t="shared" ca="1" si="22"/>
        <v>200</v>
      </c>
      <c r="AB22" s="260">
        <f t="shared" ca="1" si="22"/>
        <v>200</v>
      </c>
      <c r="AC22" s="260">
        <f t="shared" ca="1" si="22"/>
        <v>200</v>
      </c>
      <c r="AD22" s="260">
        <f t="shared" ca="1" si="22"/>
        <v>200</v>
      </c>
      <c r="AE22" s="260">
        <f t="shared" ca="1" si="22"/>
        <v>200</v>
      </c>
      <c r="AF22" s="260">
        <f t="shared" ca="1" si="22"/>
        <v>200</v>
      </c>
      <c r="AG22" s="260">
        <f t="shared" ca="1" si="22"/>
        <v>200</v>
      </c>
      <c r="AH22" s="265">
        <f t="shared" ca="1" si="17"/>
        <v>2400</v>
      </c>
    </row>
    <row r="23" spans="2:34" ht="15" customHeight="1" x14ac:dyDescent="0.15">
      <c r="B23" s="57" t="s">
        <v>80</v>
      </c>
      <c r="E23" s="267">
        <f t="shared" ref="E23:P23" ca="1" si="23">IF(E9=0,0,E22/E9)</f>
        <v>-2.1098609239074109</v>
      </c>
      <c r="F23" s="267">
        <f t="shared" ca="1" si="23"/>
        <v>-1.4436034178027235</v>
      </c>
      <c r="G23" s="267">
        <f t="shared" ca="1" si="23"/>
        <v>-1.3660415388161673</v>
      </c>
      <c r="H23" s="267">
        <f t="shared" ca="1" si="23"/>
        <v>-0.99323854073616791</v>
      </c>
      <c r="I23" s="267">
        <f t="shared" ca="1" si="23"/>
        <v>-3.5763348667789767</v>
      </c>
      <c r="J23" s="267">
        <f t="shared" ca="1" si="23"/>
        <v>-1.5489619273445143</v>
      </c>
      <c r="K23" s="267">
        <f t="shared" ca="1" si="23"/>
        <v>-1.3861518232293784</v>
      </c>
      <c r="L23" s="267">
        <f t="shared" ca="1" si="23"/>
        <v>-1.3983654600186914</v>
      </c>
      <c r="M23" s="267">
        <f t="shared" ca="1" si="23"/>
        <v>-1.9673153027362016</v>
      </c>
      <c r="N23" s="267">
        <f t="shared" ca="1" si="23"/>
        <v>-1.575508036493136</v>
      </c>
      <c r="O23" s="267">
        <f t="shared" ca="1" si="23"/>
        <v>-1.5641069488177923</v>
      </c>
      <c r="P23" s="267">
        <f t="shared" ca="1" si="23"/>
        <v>-1.8136821498822968</v>
      </c>
      <c r="Q23" s="268">
        <f ca="1">IF(Q9=0,0,Q22/Q9)</f>
        <v>-1.6153555686139995</v>
      </c>
      <c r="S23" s="56" t="str">
        <f>B163</f>
        <v>Other</v>
      </c>
      <c r="V23" s="260">
        <f t="shared" ref="V23:AG23" ca="1" si="24">E163</f>
        <v>415.83002924731181</v>
      </c>
      <c r="W23" s="260">
        <f t="shared" ca="1" si="24"/>
        <v>464.29656387999989</v>
      </c>
      <c r="X23" s="260">
        <f t="shared" ca="1" si="24"/>
        <v>471.1491446021505</v>
      </c>
      <c r="Y23" s="260">
        <f t="shared" ca="1" si="24"/>
        <v>497.40481533333332</v>
      </c>
      <c r="Z23" s="260">
        <f t="shared" ca="1" si="24"/>
        <v>415.42614247741932</v>
      </c>
      <c r="AA23" s="260">
        <f t="shared" ca="1" si="24"/>
        <v>469.9860435053763</v>
      </c>
      <c r="AB23" s="260">
        <f t="shared" ca="1" si="24"/>
        <v>490.3067637333333</v>
      </c>
      <c r="AC23" s="260">
        <f t="shared" ca="1" si="24"/>
        <v>492.15311454193545</v>
      </c>
      <c r="AD23" s="260">
        <f t="shared" ca="1" si="24"/>
        <v>469.5209749866666</v>
      </c>
      <c r="AE23" s="260">
        <f t="shared" ca="1" si="24"/>
        <v>489.44580467526873</v>
      </c>
      <c r="AF23" s="260">
        <f t="shared" ca="1" si="24"/>
        <v>490.28583999999995</v>
      </c>
      <c r="AG23" s="260">
        <f t="shared" ca="1" si="24"/>
        <v>483.76708070537632</v>
      </c>
      <c r="AH23" s="265">
        <f t="shared" ca="1" si="17"/>
        <v>5649.5723176881711</v>
      </c>
    </row>
    <row r="24" spans="2:34" ht="15" customHeight="1" x14ac:dyDescent="0.15">
      <c r="B24" s="56" t="s">
        <v>81</v>
      </c>
      <c r="E24" s="260">
        <f ca="1">IF(E$97,OFFSET(Financials!J76,0,$E$92),0)</f>
        <v>0</v>
      </c>
      <c r="F24" s="260">
        <f ca="1">IF(F$97,OFFSET(Financials!K76,0,$E$92),0)</f>
        <v>0</v>
      </c>
      <c r="G24" s="260">
        <f ca="1">IF(G$97,OFFSET(Financials!L76,0,$E$92),0)</f>
        <v>0</v>
      </c>
      <c r="H24" s="260">
        <f ca="1">IF(H$97,OFFSET(Financials!M76,0,$E$92),0)</f>
        <v>0</v>
      </c>
      <c r="I24" s="260">
        <f ca="1">IF(I$97,OFFSET(Financials!N76,0,$E$92),0)</f>
        <v>0</v>
      </c>
      <c r="J24" s="260">
        <f ca="1">IF(J$97,OFFSET(Financials!O76,0,$E$92),0)</f>
        <v>0</v>
      </c>
      <c r="K24" s="260">
        <f ca="1">IF(K$97,OFFSET(Financials!P76,0,$E$92),0)</f>
        <v>0</v>
      </c>
      <c r="L24" s="260">
        <f ca="1">IF(L$97,OFFSET(Financials!Q76,0,$E$92),0)</f>
        <v>0</v>
      </c>
      <c r="M24" s="260">
        <f ca="1">IF(M$97,OFFSET(Financials!R76,0,$E$92),0)</f>
        <v>0</v>
      </c>
      <c r="N24" s="260">
        <f ca="1">IF(N$97,OFFSET(Financials!S76,0,$E$92),0)</f>
        <v>0</v>
      </c>
      <c r="O24" s="260">
        <f ca="1">IF(O$97,OFFSET(Financials!T76,0,$E$92),0)</f>
        <v>0</v>
      </c>
      <c r="P24" s="260">
        <f ca="1">IF(P$97,OFFSET(Financials!U76,0,$E$92),0)</f>
        <v>0</v>
      </c>
      <c r="Q24" s="265">
        <f ca="1">SUM(E24:P24)</f>
        <v>0</v>
      </c>
      <c r="S24" s="54" t="s">
        <v>82</v>
      </c>
      <c r="V24" s="263">
        <f t="shared" ref="V24:AG24" ca="1" si="25">SUM(V19:V23)</f>
        <v>6676.2466959139783</v>
      </c>
      <c r="W24" s="263">
        <f t="shared" ca="1" si="25"/>
        <v>6724.7132305466666</v>
      </c>
      <c r="X24" s="263">
        <f t="shared" ca="1" si="25"/>
        <v>6731.5658112688179</v>
      </c>
      <c r="Y24" s="263">
        <f t="shared" ca="1" si="25"/>
        <v>6757.8214820000003</v>
      </c>
      <c r="Z24" s="263">
        <f t="shared" ca="1" si="25"/>
        <v>6675.8428091440865</v>
      </c>
      <c r="AA24" s="263">
        <f t="shared" ca="1" si="25"/>
        <v>6730.402710172043</v>
      </c>
      <c r="AB24" s="263">
        <f t="shared" ca="1" si="25"/>
        <v>7865.8234304000007</v>
      </c>
      <c r="AC24" s="263">
        <f t="shared" ca="1" si="25"/>
        <v>7867.6697812086031</v>
      </c>
      <c r="AD24" s="263">
        <f t="shared" ca="1" si="25"/>
        <v>7898.137641653333</v>
      </c>
      <c r="AE24" s="263">
        <f t="shared" ca="1" si="25"/>
        <v>7971.162471341936</v>
      </c>
      <c r="AF24" s="263">
        <f t="shared" ca="1" si="25"/>
        <v>7812.7025066666665</v>
      </c>
      <c r="AG24" s="263">
        <f t="shared" ca="1" si="25"/>
        <v>7965.4837473720436</v>
      </c>
      <c r="AH24" s="269">
        <f t="shared" ca="1" si="17"/>
        <v>87677.572317688173</v>
      </c>
    </row>
    <row r="25" spans="2:34" ht="15" customHeight="1" thickBot="1" x14ac:dyDescent="0.2">
      <c r="B25" s="54" t="s">
        <v>83</v>
      </c>
      <c r="E25" s="271">
        <f t="shared" ref="E25:P25" ca="1" si="26">E22+E24</f>
        <v>-7112.4718497491049</v>
      </c>
      <c r="F25" s="271">
        <f t="shared" ca="1" si="26"/>
        <v>-7882.7240998844463</v>
      </c>
      <c r="G25" s="271">
        <f t="shared" ca="1" si="26"/>
        <v>-7729.4652597562726</v>
      </c>
      <c r="H25" s="271">
        <f t="shared" ca="1" si="26"/>
        <v>-6692.5382937777777</v>
      </c>
      <c r="I25" s="271">
        <f t="shared" ca="1" si="26"/>
        <v>-10364.783474070253</v>
      </c>
      <c r="J25" s="271">
        <f t="shared" ca="1" si="26"/>
        <v>-8154.5365987240157</v>
      </c>
      <c r="K25" s="271">
        <f t="shared" ca="1" si="26"/>
        <v>-8420.2483729777778</v>
      </c>
      <c r="L25" s="271">
        <f t="shared" ca="1" si="26"/>
        <v>-8452.8934254250908</v>
      </c>
      <c r="M25" s="271">
        <f t="shared" ca="1" si="26"/>
        <v>-9644.7014192711104</v>
      </c>
      <c r="N25" s="271">
        <f t="shared" ca="1" si="26"/>
        <v>-8971.7403971584245</v>
      </c>
      <c r="O25" s="271">
        <f t="shared" ca="1" si="26"/>
        <v>-8788.8003644444452</v>
      </c>
      <c r="P25" s="271">
        <f t="shared" ca="1" si="26"/>
        <v>-9447.6693323240142</v>
      </c>
      <c r="Q25" s="272">
        <f ca="1">SUM(E25:P25)</f>
        <v>-101662.57288756272</v>
      </c>
    </row>
    <row r="26" spans="2:34" ht="15" customHeight="1" thickTop="1" x14ac:dyDescent="0.15">
      <c r="B26" s="57" t="s">
        <v>84</v>
      </c>
      <c r="E26" s="267">
        <f t="shared" ref="E26:P26" ca="1" si="27">IF(E9=0,0,E25/E9)</f>
        <v>-2.1098609239074109</v>
      </c>
      <c r="F26" s="267">
        <f t="shared" ca="1" si="27"/>
        <v>-1.4436034178027235</v>
      </c>
      <c r="G26" s="267">
        <f t="shared" ca="1" si="27"/>
        <v>-1.3660415388161673</v>
      </c>
      <c r="H26" s="267">
        <f t="shared" ca="1" si="27"/>
        <v>-0.99323854073616791</v>
      </c>
      <c r="I26" s="267">
        <f t="shared" ca="1" si="27"/>
        <v>-3.5763348667789767</v>
      </c>
      <c r="J26" s="267">
        <f t="shared" ca="1" si="27"/>
        <v>-1.5489619273445143</v>
      </c>
      <c r="K26" s="267">
        <f t="shared" ca="1" si="27"/>
        <v>-1.3861518232293784</v>
      </c>
      <c r="L26" s="267">
        <f t="shared" ca="1" si="27"/>
        <v>-1.3983654600186914</v>
      </c>
      <c r="M26" s="267">
        <f t="shared" ca="1" si="27"/>
        <v>-1.9673153027362016</v>
      </c>
      <c r="N26" s="267">
        <f t="shared" ca="1" si="27"/>
        <v>-1.575508036493136</v>
      </c>
      <c r="O26" s="267">
        <f t="shared" ca="1" si="27"/>
        <v>-1.5641069488177923</v>
      </c>
      <c r="P26" s="267">
        <f t="shared" ca="1" si="27"/>
        <v>-1.8136821498822968</v>
      </c>
      <c r="Q26" s="268">
        <f ca="1">IF(Q9=0,0,Q25/Q9)</f>
        <v>-1.6153555686139995</v>
      </c>
      <c r="S26" s="332" t="s">
        <v>85</v>
      </c>
      <c r="T26" s="332"/>
      <c r="U26" s="332"/>
      <c r="V26" s="332"/>
      <c r="W26" s="332"/>
      <c r="X26" s="332"/>
      <c r="Y26" s="332" t="s">
        <v>86</v>
      </c>
      <c r="Z26" s="332"/>
      <c r="AA26" s="332"/>
      <c r="AB26" s="332"/>
      <c r="AC26" s="332"/>
      <c r="AD26" s="332" t="s">
        <v>87</v>
      </c>
      <c r="AE26" s="332"/>
      <c r="AF26" s="332"/>
      <c r="AG26" s="332"/>
      <c r="AH26" s="332"/>
    </row>
    <row r="27" spans="2:34" ht="15" customHeight="1" x14ac:dyDescent="0.15"/>
    <row r="28" spans="2:34" ht="15" customHeight="1" x14ac:dyDescent="0.15">
      <c r="B28" s="332" t="s">
        <v>88</v>
      </c>
      <c r="C28" s="332"/>
      <c r="D28" s="332"/>
      <c r="E28" s="332"/>
      <c r="F28" s="332"/>
      <c r="G28" s="332"/>
      <c r="H28" s="332"/>
      <c r="I28" s="332"/>
      <c r="J28" s="332"/>
      <c r="K28" s="332"/>
      <c r="L28" s="332"/>
      <c r="M28" s="332"/>
      <c r="N28" s="332"/>
      <c r="O28" s="332"/>
      <c r="P28" s="332"/>
      <c r="Q28" s="332"/>
    </row>
    <row r="29" spans="2:34" ht="15" customHeight="1" x14ac:dyDescent="0.15"/>
    <row r="30" spans="2:34" ht="15" customHeight="1" x14ac:dyDescent="0.15">
      <c r="B30" s="54" t="str">
        <f>B$95</f>
        <v>Month Ending</v>
      </c>
      <c r="E30" s="55" t="str">
        <f t="shared" ref="E30:P30" si="28">E$95</f>
        <v>Aug-23</v>
      </c>
      <c r="F30" s="55" t="str">
        <f t="shared" si="28"/>
        <v>Sep-23</v>
      </c>
      <c r="G30" s="55" t="str">
        <f t="shared" si="28"/>
        <v>Oct-23</v>
      </c>
      <c r="H30" s="55" t="str">
        <f t="shared" si="28"/>
        <v>Nov-23</v>
      </c>
      <c r="I30" s="55" t="str">
        <f t="shared" si="28"/>
        <v>Dec-23</v>
      </c>
      <c r="J30" s="55" t="str">
        <f t="shared" si="28"/>
        <v>Jan-24</v>
      </c>
      <c r="K30" s="55" t="str">
        <f t="shared" si="28"/>
        <v>Feb-24</v>
      </c>
      <c r="L30" s="55" t="str">
        <f t="shared" si="28"/>
        <v>Mar-24</v>
      </c>
      <c r="M30" s="55" t="str">
        <f t="shared" si="28"/>
        <v>Apr-24</v>
      </c>
      <c r="N30" s="55" t="str">
        <f t="shared" si="28"/>
        <v>May-24</v>
      </c>
      <c r="O30" s="55" t="str">
        <f t="shared" si="28"/>
        <v>Jun-24</v>
      </c>
      <c r="P30" s="55" t="str">
        <f t="shared" si="28"/>
        <v>Jul-24</v>
      </c>
      <c r="Q30" s="64" t="str">
        <f t="shared" ref="Q30:Q55" si="29">P30</f>
        <v>Jul-24</v>
      </c>
    </row>
    <row r="31" spans="2:34" ht="15" customHeight="1" x14ac:dyDescent="0.15">
      <c r="B31" s="56" t="s">
        <v>89</v>
      </c>
      <c r="E31" s="260">
        <f ca="1">IF(E$97,OFFSET(Financials!J86,0,$E$92),0)</f>
        <v>56366.869850494637</v>
      </c>
      <c r="F31" s="260">
        <f ca="1">IF(F$97,OFFSET(Financials!K86,0,$E$92),0)</f>
        <v>44565.745398407664</v>
      </c>
      <c r="G31" s="260">
        <f ca="1">IF(G$97,OFFSET(Financials!L86,0,$E$92),0)</f>
        <v>93791.017492155705</v>
      </c>
      <c r="H31" s="260">
        <f ca="1">IF(H$97,OFFSET(Financials!M86,0,$E$92),0)</f>
        <v>99434.209346422373</v>
      </c>
      <c r="I31" s="260">
        <f ca="1">IF(I$97,OFFSET(Financials!N86,0,$E$92),0)</f>
        <v>77892.898421634411</v>
      </c>
      <c r="J31" s="260">
        <f ca="1">IF(J$97,OFFSET(Financials!O86,0,$E$92),0)</f>
        <v>86016.935079136339</v>
      </c>
      <c r="K31" s="260">
        <f ca="1">IF(K$97,OFFSET(Financials!P86,0,$E$92),0)</f>
        <v>90029.52162581333</v>
      </c>
      <c r="L31" s="260">
        <f ca="1">IF(L$97,OFFSET(Financials!Q86,0,$E$92),0)</f>
        <v>69976.570193967302</v>
      </c>
      <c r="M31" s="260">
        <f ca="1">IF(M$97,OFFSET(Financials!R86,0,$E$92),0)</f>
        <v>76726.490789144591</v>
      </c>
      <c r="N31" s="260">
        <f ca="1">IF(N$97,OFFSET(Financials!S86,0,$E$92),0)</f>
        <v>79679.59382603319</v>
      </c>
      <c r="O31" s="260">
        <f ca="1">IF(O$97,OFFSET(Financials!T86,0,$E$92),0)</f>
        <v>59829.112587495554</v>
      </c>
      <c r="P31" s="260">
        <f ca="1">IF(P$97,OFFSET(Financials!U86,0,$E$92),0)</f>
        <v>66932.032226762138</v>
      </c>
      <c r="Q31" s="265">
        <f t="shared" ca="1" si="29"/>
        <v>66932.032226762138</v>
      </c>
    </row>
    <row r="32" spans="2:34" ht="15" customHeight="1" x14ac:dyDescent="0.15">
      <c r="B32" s="56" t="s">
        <v>90</v>
      </c>
      <c r="E32" s="260">
        <f ca="1">IF(E$97,OFFSET(Financials!J89,0,$E$92),0)</f>
        <v>0</v>
      </c>
      <c r="F32" s="260">
        <f ca="1">IF(F$97,OFFSET(Financials!K89,0,$E$92),0)</f>
        <v>0</v>
      </c>
      <c r="G32" s="260">
        <f ca="1">IF(G$97,OFFSET(Financials!L89,0,$E$92),0)</f>
        <v>0</v>
      </c>
      <c r="H32" s="260">
        <f ca="1">IF(H$97,OFFSET(Financials!M89,0,$E$92),0)</f>
        <v>0</v>
      </c>
      <c r="I32" s="260">
        <f ca="1">IF(I$97,OFFSET(Financials!N89,0,$E$92),0)</f>
        <v>0</v>
      </c>
      <c r="J32" s="260">
        <f ca="1">IF(J$97,OFFSET(Financials!O89,0,$E$92),0)</f>
        <v>0</v>
      </c>
      <c r="K32" s="260">
        <f ca="1">IF(K$97,OFFSET(Financials!P89,0,$E$92),0)</f>
        <v>0</v>
      </c>
      <c r="L32" s="260">
        <f ca="1">IF(L$97,OFFSET(Financials!Q89,0,$E$92),0)</f>
        <v>0</v>
      </c>
      <c r="M32" s="260">
        <f ca="1">IF(M$97,OFFSET(Financials!R89,0,$E$92),0)</f>
        <v>0</v>
      </c>
      <c r="N32" s="260">
        <f ca="1">IF(N$97,OFFSET(Financials!S89,0,$E$92),0)</f>
        <v>0</v>
      </c>
      <c r="O32" s="260">
        <f ca="1">IF(O$97,OFFSET(Financials!T89,0,$E$92),0)</f>
        <v>0</v>
      </c>
      <c r="P32" s="260">
        <f ca="1">IF(P$97,OFFSET(Financials!U89,0,$E$92),0)</f>
        <v>0</v>
      </c>
      <c r="Q32" s="265">
        <f t="shared" ca="1" si="29"/>
        <v>0</v>
      </c>
    </row>
    <row r="33" spans="2:34" ht="15" customHeight="1" x14ac:dyDescent="0.15">
      <c r="B33" s="56" t="s">
        <v>91</v>
      </c>
      <c r="E33" s="260">
        <f ca="1">IF(E$97,OFFSET(Financials!J92,0,$E$92),0)</f>
        <v>0</v>
      </c>
      <c r="F33" s="260">
        <f ca="1">IF(F$97,OFFSET(Financials!K92,0,$E$92),0)</f>
        <v>0</v>
      </c>
      <c r="G33" s="260">
        <f ca="1">IF(G$97,OFFSET(Financials!L92,0,$E$92),0)</f>
        <v>0</v>
      </c>
      <c r="H33" s="260">
        <f ca="1">IF(H$97,OFFSET(Financials!M92,0,$E$92),0)</f>
        <v>0</v>
      </c>
      <c r="I33" s="260">
        <f ca="1">IF(I$97,OFFSET(Financials!N92,0,$E$92),0)</f>
        <v>0</v>
      </c>
      <c r="J33" s="260">
        <f ca="1">IF(J$97,OFFSET(Financials!O92,0,$E$92),0)</f>
        <v>0</v>
      </c>
      <c r="K33" s="260">
        <f ca="1">IF(K$97,OFFSET(Financials!P92,0,$E$92),0)</f>
        <v>0</v>
      </c>
      <c r="L33" s="260">
        <f ca="1">IF(L$97,OFFSET(Financials!Q92,0,$E$92),0)</f>
        <v>0</v>
      </c>
      <c r="M33" s="260">
        <f ca="1">IF(M$97,OFFSET(Financials!R92,0,$E$92),0)</f>
        <v>0</v>
      </c>
      <c r="N33" s="260">
        <f ca="1">IF(N$97,OFFSET(Financials!S92,0,$E$92),0)</f>
        <v>0</v>
      </c>
      <c r="O33" s="260">
        <f ca="1">IF(O$97,OFFSET(Financials!T92,0,$E$92),0)</f>
        <v>0</v>
      </c>
      <c r="P33" s="260">
        <f ca="1">IF(P$97,OFFSET(Financials!U92,0,$E$92),0)</f>
        <v>0</v>
      </c>
      <c r="Q33" s="265">
        <f t="shared" ca="1" si="29"/>
        <v>0</v>
      </c>
    </row>
    <row r="34" spans="2:34" ht="15" customHeight="1" x14ac:dyDescent="0.15">
      <c r="B34" s="56" t="s">
        <v>92</v>
      </c>
      <c r="E34" s="264">
        <f t="shared" ref="E34:P34" ca="1" si="30">E35-SUM(E31:E33)</f>
        <v>0</v>
      </c>
      <c r="F34" s="264">
        <f t="shared" ca="1" si="30"/>
        <v>0</v>
      </c>
      <c r="G34" s="264">
        <f t="shared" ca="1" si="30"/>
        <v>0</v>
      </c>
      <c r="H34" s="264">
        <f t="shared" ca="1" si="30"/>
        <v>0</v>
      </c>
      <c r="I34" s="264">
        <f t="shared" ca="1" si="30"/>
        <v>0</v>
      </c>
      <c r="J34" s="264">
        <f t="shared" ca="1" si="30"/>
        <v>0</v>
      </c>
      <c r="K34" s="264">
        <f t="shared" ca="1" si="30"/>
        <v>0</v>
      </c>
      <c r="L34" s="264">
        <f t="shared" ca="1" si="30"/>
        <v>0</v>
      </c>
      <c r="M34" s="264">
        <f t="shared" ca="1" si="30"/>
        <v>0</v>
      </c>
      <c r="N34" s="264">
        <f t="shared" ca="1" si="30"/>
        <v>0</v>
      </c>
      <c r="O34" s="264">
        <f t="shared" ca="1" si="30"/>
        <v>0</v>
      </c>
      <c r="P34" s="264">
        <f t="shared" ca="1" si="30"/>
        <v>0</v>
      </c>
      <c r="Q34" s="265">
        <f t="shared" ca="1" si="29"/>
        <v>0</v>
      </c>
    </row>
    <row r="35" spans="2:34" ht="15" customHeight="1" x14ac:dyDescent="0.15">
      <c r="B35" s="58" t="s">
        <v>93</v>
      </c>
      <c r="E35" s="263">
        <f ca="1">IF(E$97,OFFSET(Financials!J97,0,$E$92),0)</f>
        <v>56366.869850494637</v>
      </c>
      <c r="F35" s="263">
        <f ca="1">IF(F$97,OFFSET(Financials!K97,0,$E$92),0)</f>
        <v>44565.745398407664</v>
      </c>
      <c r="G35" s="263">
        <f ca="1">IF(G$97,OFFSET(Financials!L97,0,$E$92),0)</f>
        <v>93791.017492155705</v>
      </c>
      <c r="H35" s="263">
        <f ca="1">IF(H$97,OFFSET(Financials!M97,0,$E$92),0)</f>
        <v>99434.209346422373</v>
      </c>
      <c r="I35" s="263">
        <f ca="1">IF(I$97,OFFSET(Financials!N97,0,$E$92),0)</f>
        <v>77892.898421634411</v>
      </c>
      <c r="J35" s="263">
        <f ca="1">IF(J$97,OFFSET(Financials!O97,0,$E$92),0)</f>
        <v>86016.935079136339</v>
      </c>
      <c r="K35" s="263">
        <f ca="1">IF(K$97,OFFSET(Financials!P97,0,$E$92),0)</f>
        <v>90029.52162581333</v>
      </c>
      <c r="L35" s="263">
        <f ca="1">IF(L$97,OFFSET(Financials!Q97,0,$E$92),0)</f>
        <v>69976.570193967302</v>
      </c>
      <c r="M35" s="263">
        <f ca="1">IF(M$97,OFFSET(Financials!R97,0,$E$92),0)</f>
        <v>76726.490789144591</v>
      </c>
      <c r="N35" s="263">
        <f ca="1">IF(N$97,OFFSET(Financials!S97,0,$E$92),0)</f>
        <v>79679.59382603319</v>
      </c>
      <c r="O35" s="263">
        <f ca="1">IF(O$97,OFFSET(Financials!T97,0,$E$92),0)</f>
        <v>59829.112587495554</v>
      </c>
      <c r="P35" s="263">
        <f ca="1">IF(P$97,OFFSET(Financials!U97,0,$E$92),0)</f>
        <v>66932.032226762138</v>
      </c>
      <c r="Q35" s="269">
        <f t="shared" ca="1" si="29"/>
        <v>66932.032226762138</v>
      </c>
    </row>
    <row r="36" spans="2:34" ht="15" customHeight="1" x14ac:dyDescent="0.15">
      <c r="B36" s="56" t="s">
        <v>94</v>
      </c>
      <c r="E36" s="260">
        <f ca="1">IF(E$97,OFFSET(Financials!J101,0,$E$92),0)</f>
        <v>209585.02777777778</v>
      </c>
      <c r="F36" s="260">
        <f ca="1">IF(F$97,OFFSET(Financials!K101,0,$E$92),0)</f>
        <v>203784.83333333331</v>
      </c>
      <c r="G36" s="260">
        <f ca="1">IF(G$97,OFFSET(Financials!L101,0,$E$92),0)</f>
        <v>197984.63888888888</v>
      </c>
      <c r="H36" s="260">
        <f ca="1">IF(H$97,OFFSET(Financials!M101,0,$E$92),0)</f>
        <v>192184.44444444441</v>
      </c>
      <c r="I36" s="260">
        <f ca="1">IF(I$97,OFFSET(Financials!N101,0,$E$92),0)</f>
        <v>186384.24999999997</v>
      </c>
      <c r="J36" s="260">
        <f ca="1">IF(J$97,OFFSET(Financials!O101,0,$E$92),0)</f>
        <v>180584.05555555553</v>
      </c>
      <c r="K36" s="260">
        <f ca="1">IF(K$97,OFFSET(Financials!P101,0,$E$92),0)</f>
        <v>174783.86111111107</v>
      </c>
      <c r="L36" s="260">
        <f ca="1">IF(L$97,OFFSET(Financials!Q101,0,$E$92),0)</f>
        <v>168983.66666666663</v>
      </c>
      <c r="M36" s="260">
        <f ca="1">IF(M$97,OFFSET(Financials!R101,0,$E$92),0)</f>
        <v>163183.47222222216</v>
      </c>
      <c r="N36" s="260">
        <f ca="1">IF(N$97,OFFSET(Financials!S101,0,$E$92),0)</f>
        <v>157383.27777777772</v>
      </c>
      <c r="O36" s="260">
        <f ca="1">IF(O$97,OFFSET(Financials!T101,0,$E$92),0)</f>
        <v>151583.08333333326</v>
      </c>
      <c r="P36" s="260">
        <f ca="1">IF(P$97,OFFSET(Financials!U101,0,$E$92),0)</f>
        <v>145782.88888888882</v>
      </c>
      <c r="Q36" s="265">
        <f t="shared" ca="1" si="29"/>
        <v>145782.88888888882</v>
      </c>
    </row>
    <row r="37" spans="2:34" ht="15" customHeight="1" x14ac:dyDescent="0.15">
      <c r="B37" s="56" t="s">
        <v>95</v>
      </c>
      <c r="E37" s="264">
        <f t="shared" ref="E37:P37" ca="1" si="31">E38-E36</f>
        <v>0</v>
      </c>
      <c r="F37" s="264">
        <f t="shared" ca="1" si="31"/>
        <v>0</v>
      </c>
      <c r="G37" s="264">
        <f t="shared" ca="1" si="31"/>
        <v>0</v>
      </c>
      <c r="H37" s="264">
        <f t="shared" ca="1" si="31"/>
        <v>0</v>
      </c>
      <c r="I37" s="264">
        <f t="shared" ca="1" si="31"/>
        <v>0</v>
      </c>
      <c r="J37" s="264">
        <f t="shared" ca="1" si="31"/>
        <v>0</v>
      </c>
      <c r="K37" s="264">
        <f t="shared" ca="1" si="31"/>
        <v>0</v>
      </c>
      <c r="L37" s="264">
        <f t="shared" ca="1" si="31"/>
        <v>0</v>
      </c>
      <c r="M37" s="264">
        <f t="shared" ca="1" si="31"/>
        <v>0</v>
      </c>
      <c r="N37" s="264">
        <f t="shared" ca="1" si="31"/>
        <v>0</v>
      </c>
      <c r="O37" s="264">
        <f t="shared" ca="1" si="31"/>
        <v>0</v>
      </c>
      <c r="P37" s="264">
        <f t="shared" ca="1" si="31"/>
        <v>0</v>
      </c>
      <c r="Q37" s="265">
        <f t="shared" ca="1" si="29"/>
        <v>0</v>
      </c>
    </row>
    <row r="38" spans="2:34" ht="15" customHeight="1" x14ac:dyDescent="0.15">
      <c r="B38" s="54" t="s">
        <v>96</v>
      </c>
      <c r="E38" s="263">
        <f ca="1">IF(E$97,OFFSET(Financials!J106,0,$E$92),0)</f>
        <v>209585.02777777778</v>
      </c>
      <c r="F38" s="263">
        <f ca="1">IF(F$97,OFFSET(Financials!K106,0,$E$92),0)</f>
        <v>203784.83333333331</v>
      </c>
      <c r="G38" s="263">
        <f ca="1">IF(G$97,OFFSET(Financials!L106,0,$E$92),0)</f>
        <v>197984.63888888888</v>
      </c>
      <c r="H38" s="263">
        <f ca="1">IF(H$97,OFFSET(Financials!M106,0,$E$92),0)</f>
        <v>192184.44444444441</v>
      </c>
      <c r="I38" s="263">
        <f ca="1">IF(I$97,OFFSET(Financials!N106,0,$E$92),0)</f>
        <v>186384.24999999997</v>
      </c>
      <c r="J38" s="263">
        <f ca="1">IF(J$97,OFFSET(Financials!O106,0,$E$92),0)</f>
        <v>180584.05555555553</v>
      </c>
      <c r="K38" s="263">
        <f ca="1">IF(K$97,OFFSET(Financials!P106,0,$E$92),0)</f>
        <v>174783.86111111107</v>
      </c>
      <c r="L38" s="263">
        <f ca="1">IF(L$97,OFFSET(Financials!Q106,0,$E$92),0)</f>
        <v>168983.66666666663</v>
      </c>
      <c r="M38" s="263">
        <f ca="1">IF(M$97,OFFSET(Financials!R106,0,$E$92),0)</f>
        <v>163183.47222222216</v>
      </c>
      <c r="N38" s="263">
        <f ca="1">IF(N$97,OFFSET(Financials!S106,0,$E$92),0)</f>
        <v>157383.27777777772</v>
      </c>
      <c r="O38" s="263">
        <f ca="1">IF(O$97,OFFSET(Financials!T106,0,$E$92),0)</f>
        <v>151583.08333333326</v>
      </c>
      <c r="P38" s="263">
        <f ca="1">IF(P$97,OFFSET(Financials!U106,0,$E$92),0)</f>
        <v>145782.88888888882</v>
      </c>
      <c r="Q38" s="269">
        <f t="shared" ca="1" si="29"/>
        <v>145782.88888888882</v>
      </c>
    </row>
    <row r="39" spans="2:34" ht="15" customHeight="1" thickBot="1" x14ac:dyDescent="0.2">
      <c r="B39" s="54" t="s">
        <v>97</v>
      </c>
      <c r="E39" s="271">
        <f t="shared" ref="E39:P39" ca="1" si="32">E35+E38</f>
        <v>265951.89762827242</v>
      </c>
      <c r="F39" s="271">
        <f t="shared" ca="1" si="32"/>
        <v>248350.57873174097</v>
      </c>
      <c r="G39" s="271">
        <f t="shared" ca="1" si="32"/>
        <v>291775.6563810446</v>
      </c>
      <c r="H39" s="271">
        <f t="shared" ca="1" si="32"/>
        <v>291618.65379086678</v>
      </c>
      <c r="I39" s="271">
        <f t="shared" ca="1" si="32"/>
        <v>264277.1484216344</v>
      </c>
      <c r="J39" s="271">
        <f t="shared" ca="1" si="32"/>
        <v>266600.9906346919</v>
      </c>
      <c r="K39" s="271">
        <f t="shared" ca="1" si="32"/>
        <v>264813.3827369244</v>
      </c>
      <c r="L39" s="271">
        <f t="shared" ca="1" si="32"/>
        <v>238960.23686063394</v>
      </c>
      <c r="M39" s="271">
        <f t="shared" ca="1" si="32"/>
        <v>239909.96301136675</v>
      </c>
      <c r="N39" s="271">
        <f t="shared" ca="1" si="32"/>
        <v>237062.87160381093</v>
      </c>
      <c r="O39" s="271">
        <f t="shared" ca="1" si="32"/>
        <v>211412.19592082882</v>
      </c>
      <c r="P39" s="271">
        <f t="shared" ca="1" si="32"/>
        <v>212714.92111565097</v>
      </c>
      <c r="Q39" s="272">
        <f t="shared" ca="1" si="29"/>
        <v>212714.92111565097</v>
      </c>
    </row>
    <row r="40" spans="2:34" ht="15" customHeight="1" thickTop="1" x14ac:dyDescent="0.15">
      <c r="B40" s="56" t="s">
        <v>98</v>
      </c>
      <c r="E40" s="260">
        <f ca="1">IF(E$97,OFFSET(Financials!J117,0,$E$92),0)</f>
        <v>8817.8188172043028</v>
      </c>
      <c r="F40" s="260">
        <f ca="1">IF(F$97,OFFSET(Financials!K117,0,$E$92),0)</f>
        <v>320.00000000000028</v>
      </c>
      <c r="G40" s="260">
        <f ca="1">IF(G$97,OFFSET(Financials!L117,0,$E$92),0)</f>
        <v>8318.2974193548398</v>
      </c>
      <c r="H40" s="260">
        <f ca="1">IF(H$97,OFFSET(Financials!M117,0,$E$92),0)</f>
        <v>16078.89741935484</v>
      </c>
      <c r="I40" s="260">
        <f ca="1">IF(I$97,OFFSET(Financials!N117,0,$E$92),0)</f>
        <v>309.677419354839</v>
      </c>
      <c r="J40" s="260">
        <f ca="1">IF(J$97,OFFSET(Financials!O117,0,$E$92),0)</f>
        <v>8351.7574193548389</v>
      </c>
      <c r="K40" s="260">
        <f ca="1">IF(K$97,OFFSET(Financials!P117,0,$E$92),0)</f>
        <v>16347.562580645163</v>
      </c>
      <c r="L40" s="260">
        <f ca="1">IF(L$97,OFFSET(Financials!Q117,0,$E$92),0)</f>
        <v>309.677419354839</v>
      </c>
      <c r="M40" s="260">
        <f ca="1">IF(M$97,OFFSET(Financials!R117,0,$E$92),0)</f>
        <v>8328.6200000000008</v>
      </c>
      <c r="N40" s="260">
        <f ca="1">IF(N$97,OFFSET(Financials!S117,0,$E$92),0)</f>
        <v>15834.00148387097</v>
      </c>
      <c r="O40" s="260">
        <f ca="1">IF(O$97,OFFSET(Financials!T117,0,$E$92),0)</f>
        <v>320.00000000000028</v>
      </c>
      <c r="P40" s="260">
        <f ca="1">IF(P$97,OFFSET(Financials!U117,0,$E$92),0)</f>
        <v>8351.7574193548389</v>
      </c>
      <c r="Q40" s="265">
        <f t="shared" ca="1" si="29"/>
        <v>8351.7574193548389</v>
      </c>
    </row>
    <row r="41" spans="2:34" ht="15" customHeight="1" x14ac:dyDescent="0.15">
      <c r="B41" s="56" t="s">
        <v>99</v>
      </c>
      <c r="E41" s="260">
        <f ca="1">IF(E$97,OFFSET(Financials!J119,0,$E$92),0)</f>
        <v>-43156.449339182793</v>
      </c>
      <c r="F41" s="260">
        <f ca="1">IF(F$97,OFFSET(Financials!K119,0,$E$92),0)</f>
        <v>-44377.22531862546</v>
      </c>
      <c r="G41" s="260">
        <f ca="1">IF(G$97,OFFSET(Financials!L119,0,$E$92),0)</f>
        <v>-1220.9798289204336</v>
      </c>
      <c r="H41" s="260">
        <f ca="1">IF(H$97,OFFSET(Financials!M119,0,$E$92),0)</f>
        <v>-2446.0441253204344</v>
      </c>
      <c r="I41" s="260">
        <f ca="1">IF(I$97,OFFSET(Financials!N119,0,$E$92),0)</f>
        <v>-3653.5460204825854</v>
      </c>
      <c r="J41" s="260">
        <f ca="1">IF(J$97,OFFSET(Financials!O119,0,$E$92),0)</f>
        <v>-1217.2472087010779</v>
      </c>
      <c r="K41" s="260">
        <f ca="1">IF(K$97,OFFSET(Financials!P119,0,$E$92),0)</f>
        <v>-2580.411894781078</v>
      </c>
      <c r="L41" s="260">
        <f ca="1">IF(L$97,OFFSET(Financials!Q119,0,$E$92),0)</f>
        <v>-3942.7791843561313</v>
      </c>
      <c r="M41" s="260">
        <f ca="1">IF(M$97,OFFSET(Financials!R119,0,$E$92),0)</f>
        <v>-1367.2941949973365</v>
      </c>
      <c r="N41" s="260">
        <f ca="1">IF(N$97,OFFSET(Financials!S119,0,$E$92),0)</f>
        <v>-2748.0266892657237</v>
      </c>
      <c r="O41" s="260">
        <f ca="1">IF(O$97,OFFSET(Financials!T119,0,$E$92),0)</f>
        <v>-4095.9005239323906</v>
      </c>
      <c r="P41" s="260">
        <f ca="1">IF(P$97,OFFSET(Financials!U119,0,$E$92),0)</f>
        <v>-1377.2634161410788</v>
      </c>
      <c r="Q41" s="265">
        <f t="shared" ca="1" si="29"/>
        <v>-1377.2634161410788</v>
      </c>
    </row>
    <row r="42" spans="2:34" ht="15" customHeight="1" x14ac:dyDescent="0.15">
      <c r="B42" s="56" t="s">
        <v>100</v>
      </c>
      <c r="E42" s="260">
        <f ca="1">IF(E$97,OFFSET(Financials!J121,0,$E$92),0)</f>
        <v>0</v>
      </c>
      <c r="F42" s="260">
        <f ca="1">IF(F$97,OFFSET(Financials!K121,0,$E$92),0)</f>
        <v>0</v>
      </c>
      <c r="G42" s="260">
        <f ca="1">IF(G$97,OFFSET(Financials!L121,0,$E$92),0)</f>
        <v>0</v>
      </c>
      <c r="H42" s="260">
        <f ca="1">IF(H$97,OFFSET(Financials!M121,0,$E$92),0)</f>
        <v>0</v>
      </c>
      <c r="I42" s="260">
        <f ca="1">IF(I$97,OFFSET(Financials!N121,0,$E$92),0)</f>
        <v>0</v>
      </c>
      <c r="J42" s="260">
        <f ca="1">IF(J$97,OFFSET(Financials!O121,0,$E$92),0)</f>
        <v>0</v>
      </c>
      <c r="K42" s="260">
        <f ca="1">IF(K$97,OFFSET(Financials!P121,0,$E$92),0)</f>
        <v>0</v>
      </c>
      <c r="L42" s="260">
        <f ca="1">IF(L$97,OFFSET(Financials!Q121,0,$E$92),0)</f>
        <v>0</v>
      </c>
      <c r="M42" s="260">
        <f ca="1">IF(M$97,OFFSET(Financials!R121,0,$E$92),0)</f>
        <v>0</v>
      </c>
      <c r="N42" s="260">
        <f ca="1">IF(N$97,OFFSET(Financials!S121,0,$E$92),0)</f>
        <v>0</v>
      </c>
      <c r="O42" s="260">
        <f ca="1">IF(O$97,OFFSET(Financials!T121,0,$E$92),0)</f>
        <v>0</v>
      </c>
      <c r="P42" s="260">
        <f ca="1">IF(P$97,OFFSET(Financials!U121,0,$E$92),0)</f>
        <v>0</v>
      </c>
      <c r="Q42" s="265">
        <f t="shared" ca="1" si="29"/>
        <v>0</v>
      </c>
    </row>
    <row r="43" spans="2:34" ht="15" customHeight="1" x14ac:dyDescent="0.15">
      <c r="B43" s="56" t="s">
        <v>101</v>
      </c>
      <c r="E43" s="260">
        <f ca="1">IF(E$97,OFFSET(Financials!J130,0,$E$92),0)</f>
        <v>0</v>
      </c>
      <c r="F43" s="260">
        <f ca="1">IF(F$97,OFFSET(Financials!K130,0,$E$92),0)</f>
        <v>0</v>
      </c>
      <c r="G43" s="260">
        <f ca="1">IF(G$97,OFFSET(Financials!L130,0,$E$92),0)</f>
        <v>0</v>
      </c>
      <c r="H43" s="260">
        <f ca="1">IF(H$97,OFFSET(Financials!M130,0,$E$92),0)</f>
        <v>0</v>
      </c>
      <c r="I43" s="260">
        <f ca="1">IF(I$97,OFFSET(Financials!N130,0,$E$92),0)</f>
        <v>0</v>
      </c>
      <c r="J43" s="260">
        <f ca="1">IF(J$97,OFFSET(Financials!O130,0,$E$92),0)</f>
        <v>0</v>
      </c>
      <c r="K43" s="260">
        <f ca="1">IF(K$97,OFFSET(Financials!P130,0,$E$92),0)</f>
        <v>0</v>
      </c>
      <c r="L43" s="260">
        <f ca="1">IF(L$97,OFFSET(Financials!Q130,0,$E$92),0)</f>
        <v>0</v>
      </c>
      <c r="M43" s="260">
        <f ca="1">IF(M$97,OFFSET(Financials!R130,0,$E$92),0)</f>
        <v>0</v>
      </c>
      <c r="N43" s="260">
        <f ca="1">IF(N$97,OFFSET(Financials!S130,0,$E$92),0)</f>
        <v>0</v>
      </c>
      <c r="O43" s="260">
        <f ca="1">IF(O$97,OFFSET(Financials!T130,0,$E$92),0)</f>
        <v>0</v>
      </c>
      <c r="P43" s="260">
        <f ca="1">IF(P$97,OFFSET(Financials!U130,0,$E$92),0)</f>
        <v>0</v>
      </c>
      <c r="Q43" s="265">
        <f t="shared" ca="1" si="29"/>
        <v>0</v>
      </c>
    </row>
    <row r="44" spans="2:34" ht="15" customHeight="1" x14ac:dyDescent="0.15">
      <c r="B44" s="56" t="s">
        <v>102</v>
      </c>
      <c r="E44" s="260">
        <f ca="1">IF(E$97,OFFSET(Financials!J132,0,$E$92),0)</f>
        <v>0</v>
      </c>
      <c r="F44" s="260">
        <f ca="1">IF(F$97,OFFSET(Financials!K132,0,$E$92),0)</f>
        <v>0</v>
      </c>
      <c r="G44" s="260">
        <f ca="1">IF(G$97,OFFSET(Financials!L132,0,$E$92),0)</f>
        <v>0</v>
      </c>
      <c r="H44" s="260">
        <f ca="1">IF(H$97,OFFSET(Financials!M132,0,$E$92),0)</f>
        <v>0</v>
      </c>
      <c r="I44" s="260">
        <f ca="1">IF(I$97,OFFSET(Financials!N132,0,$E$92),0)</f>
        <v>0</v>
      </c>
      <c r="J44" s="260">
        <f ca="1">IF(J$97,OFFSET(Financials!O132,0,$E$92),0)</f>
        <v>0</v>
      </c>
      <c r="K44" s="260">
        <f ca="1">IF(K$97,OFFSET(Financials!P132,0,$E$92),0)</f>
        <v>0</v>
      </c>
      <c r="L44" s="260">
        <f ca="1">IF(L$97,OFFSET(Financials!Q132,0,$E$92),0)</f>
        <v>0</v>
      </c>
      <c r="M44" s="260">
        <f ca="1">IF(M$97,OFFSET(Financials!R132,0,$E$92),0)</f>
        <v>0</v>
      </c>
      <c r="N44" s="260">
        <f ca="1">IF(N$97,OFFSET(Financials!S132,0,$E$92),0)</f>
        <v>0</v>
      </c>
      <c r="O44" s="260">
        <f ca="1">IF(O$97,OFFSET(Financials!T132,0,$E$92),0)</f>
        <v>0</v>
      </c>
      <c r="P44" s="260">
        <f ca="1">IF(P$97,OFFSET(Financials!U132,0,$E$92),0)</f>
        <v>0</v>
      </c>
      <c r="Q44" s="265">
        <f t="shared" ca="1" si="29"/>
        <v>0</v>
      </c>
      <c r="S44" s="332" t="s">
        <v>103</v>
      </c>
      <c r="T44" s="332"/>
      <c r="U44" s="332"/>
      <c r="V44" s="332"/>
      <c r="W44" s="332"/>
      <c r="X44" s="332"/>
      <c r="Y44" s="332" t="str">
        <f>"       Net Assets Reconciliation - "&amp;Q30</f>
        <v xml:space="preserve">       Net Assets Reconciliation - Jul-24</v>
      </c>
      <c r="Z44" s="332"/>
      <c r="AA44" s="332"/>
      <c r="AB44" s="332"/>
      <c r="AC44" s="332"/>
      <c r="AD44" s="332" t="s">
        <v>104</v>
      </c>
      <c r="AE44" s="332"/>
      <c r="AF44" s="332"/>
      <c r="AG44" s="332"/>
      <c r="AH44" s="332"/>
    </row>
    <row r="45" spans="2:34" ht="15" customHeight="1" x14ac:dyDescent="0.15">
      <c r="B45" s="56" t="s">
        <v>105</v>
      </c>
      <c r="E45" s="264">
        <f t="shared" ref="E45:P45" ca="1" si="33">E46-SUM(E40:E44)</f>
        <v>0</v>
      </c>
      <c r="F45" s="264">
        <f t="shared" ca="1" si="33"/>
        <v>0</v>
      </c>
      <c r="G45" s="264">
        <f t="shared" ca="1" si="33"/>
        <v>0</v>
      </c>
      <c r="H45" s="264">
        <f t="shared" ca="1" si="33"/>
        <v>0</v>
      </c>
      <c r="I45" s="264">
        <f t="shared" ca="1" si="33"/>
        <v>0</v>
      </c>
      <c r="J45" s="264">
        <f t="shared" ca="1" si="33"/>
        <v>0</v>
      </c>
      <c r="K45" s="264">
        <f t="shared" ca="1" si="33"/>
        <v>0</v>
      </c>
      <c r="L45" s="264">
        <f t="shared" ca="1" si="33"/>
        <v>0</v>
      </c>
      <c r="M45" s="264">
        <f t="shared" ca="1" si="33"/>
        <v>0</v>
      </c>
      <c r="N45" s="264">
        <f t="shared" ca="1" si="33"/>
        <v>0</v>
      </c>
      <c r="O45" s="264">
        <f t="shared" ca="1" si="33"/>
        <v>0</v>
      </c>
      <c r="P45" s="264">
        <f t="shared" ca="1" si="33"/>
        <v>0</v>
      </c>
      <c r="Q45" s="265">
        <f t="shared" ca="1" si="29"/>
        <v>0</v>
      </c>
    </row>
    <row r="46" spans="2:34" ht="15" customHeight="1" x14ac:dyDescent="0.15">
      <c r="B46" s="58" t="s">
        <v>106</v>
      </c>
      <c r="E46" s="263">
        <f ca="1">IF(E$97,OFFSET(Financials!J137,0,$E$92),0)</f>
        <v>-34338.630521978492</v>
      </c>
      <c r="F46" s="263">
        <f ca="1">IF(F$97,OFFSET(Financials!K137,0,$E$92),0)</f>
        <v>-44057.22531862546</v>
      </c>
      <c r="G46" s="263">
        <f ca="1">IF(G$97,OFFSET(Financials!L137,0,$E$92),0)</f>
        <v>7097.3175904344062</v>
      </c>
      <c r="H46" s="263">
        <f ca="1">IF(H$97,OFFSET(Financials!M137,0,$E$92),0)</f>
        <v>13632.853294034405</v>
      </c>
      <c r="I46" s="263">
        <f ca="1">IF(I$97,OFFSET(Financials!N137,0,$E$92),0)</f>
        <v>-3343.8686011277464</v>
      </c>
      <c r="J46" s="263">
        <f ca="1">IF(J$97,OFFSET(Financials!O137,0,$E$92),0)</f>
        <v>7134.5102106537615</v>
      </c>
      <c r="K46" s="263">
        <f ca="1">IF(K$97,OFFSET(Financials!P137,0,$E$92),0)</f>
        <v>13767.150685864084</v>
      </c>
      <c r="L46" s="263">
        <f ca="1">IF(L$97,OFFSET(Financials!Q137,0,$E$92),0)</f>
        <v>-3633.1017650012923</v>
      </c>
      <c r="M46" s="263">
        <f ca="1">IF(M$97,OFFSET(Financials!R137,0,$E$92),0)</f>
        <v>6961.3258050026643</v>
      </c>
      <c r="N46" s="263">
        <f ca="1">IF(N$97,OFFSET(Financials!S137,0,$E$92),0)</f>
        <v>13085.974794605247</v>
      </c>
      <c r="O46" s="263">
        <f ca="1">IF(O$97,OFFSET(Financials!T137,0,$E$92),0)</f>
        <v>-3775.9005239323901</v>
      </c>
      <c r="P46" s="263">
        <f ca="1">IF(P$97,OFFSET(Financials!U137,0,$E$92),0)</f>
        <v>6974.4940032137602</v>
      </c>
      <c r="Q46" s="269">
        <f t="shared" ca="1" si="29"/>
        <v>6974.4940032137602</v>
      </c>
    </row>
    <row r="47" spans="2:34" ht="15" customHeight="1" x14ac:dyDescent="0.15">
      <c r="B47" s="56" t="s">
        <v>107</v>
      </c>
      <c r="E47" s="260">
        <f ca="1">IF(E$97,OFFSET(Financials!J141,0,$E$92),0)</f>
        <v>300000</v>
      </c>
      <c r="F47" s="260">
        <f ca="1">IF(F$97,OFFSET(Financials!K141,0,$E$92),0)</f>
        <v>300000</v>
      </c>
      <c r="G47" s="260">
        <f ca="1">IF(G$97,OFFSET(Financials!L141,0,$E$92),0)</f>
        <v>300000</v>
      </c>
      <c r="H47" s="260">
        <f ca="1">IF(H$97,OFFSET(Financials!M141,0,$E$92),0)</f>
        <v>300000</v>
      </c>
      <c r="I47" s="260">
        <f ca="1">IF(I$97,OFFSET(Financials!N141,0,$E$92),0)</f>
        <v>300000</v>
      </c>
      <c r="J47" s="260">
        <f ca="1">IF(J$97,OFFSET(Financials!O141,0,$E$92),0)</f>
        <v>300000</v>
      </c>
      <c r="K47" s="260">
        <f ca="1">IF(K$97,OFFSET(Financials!P141,0,$E$92),0)</f>
        <v>300000</v>
      </c>
      <c r="L47" s="260">
        <f ca="1">IF(L$97,OFFSET(Financials!Q141,0,$E$92),0)</f>
        <v>300000</v>
      </c>
      <c r="M47" s="260">
        <f ca="1">IF(M$97,OFFSET(Financials!R141,0,$E$92),0)</f>
        <v>300000</v>
      </c>
      <c r="N47" s="260">
        <f ca="1">IF(N$97,OFFSET(Financials!S141,0,$E$92),0)</f>
        <v>300000</v>
      </c>
      <c r="O47" s="260">
        <f ca="1">IF(O$97,OFFSET(Financials!T141,0,$E$92),0)</f>
        <v>300000</v>
      </c>
      <c r="P47" s="260">
        <f ca="1">IF(P$97,OFFSET(Financials!U141,0,$E$92),0)</f>
        <v>300000</v>
      </c>
      <c r="Q47" s="265">
        <f t="shared" ca="1" si="29"/>
        <v>300000</v>
      </c>
    </row>
    <row r="48" spans="2:34" ht="15" customHeight="1" x14ac:dyDescent="0.15">
      <c r="B48" s="56" t="s">
        <v>108</v>
      </c>
      <c r="E48" s="264">
        <f t="shared" ref="E48:P48" ca="1" si="34">E49-E47</f>
        <v>0</v>
      </c>
      <c r="F48" s="264">
        <f t="shared" ca="1" si="34"/>
        <v>0</v>
      </c>
      <c r="G48" s="264">
        <f t="shared" ca="1" si="34"/>
        <v>0</v>
      </c>
      <c r="H48" s="264">
        <f t="shared" ca="1" si="34"/>
        <v>0</v>
      </c>
      <c r="I48" s="264">
        <f t="shared" ca="1" si="34"/>
        <v>0</v>
      </c>
      <c r="J48" s="264">
        <f t="shared" ca="1" si="34"/>
        <v>0</v>
      </c>
      <c r="K48" s="264">
        <f t="shared" ca="1" si="34"/>
        <v>0</v>
      </c>
      <c r="L48" s="264">
        <f t="shared" ca="1" si="34"/>
        <v>0</v>
      </c>
      <c r="M48" s="264">
        <f t="shared" ca="1" si="34"/>
        <v>0</v>
      </c>
      <c r="N48" s="264">
        <f t="shared" ca="1" si="34"/>
        <v>0</v>
      </c>
      <c r="O48" s="264">
        <f t="shared" ca="1" si="34"/>
        <v>0</v>
      </c>
      <c r="P48" s="264">
        <f t="shared" ca="1" si="34"/>
        <v>0</v>
      </c>
      <c r="Q48" s="265">
        <f t="shared" ca="1" si="29"/>
        <v>0</v>
      </c>
    </row>
    <row r="49" spans="2:34" ht="15" customHeight="1" x14ac:dyDescent="0.15">
      <c r="B49" s="54" t="s">
        <v>109</v>
      </c>
      <c r="E49" s="263">
        <f ca="1">IF(E$97,OFFSET(Financials!J146,0,$E$92),0)</f>
        <v>300000</v>
      </c>
      <c r="F49" s="263">
        <f ca="1">IF(F$97,OFFSET(Financials!K146,0,$E$92),0)</f>
        <v>300000</v>
      </c>
      <c r="G49" s="263">
        <f ca="1">IF(G$97,OFFSET(Financials!L146,0,$E$92),0)</f>
        <v>300000</v>
      </c>
      <c r="H49" s="263">
        <f ca="1">IF(H$97,OFFSET(Financials!M146,0,$E$92),0)</f>
        <v>300000</v>
      </c>
      <c r="I49" s="263">
        <f ca="1">IF(I$97,OFFSET(Financials!N146,0,$E$92),0)</f>
        <v>300000</v>
      </c>
      <c r="J49" s="263">
        <f ca="1">IF(J$97,OFFSET(Financials!O146,0,$E$92),0)</f>
        <v>300000</v>
      </c>
      <c r="K49" s="263">
        <f ca="1">IF(K$97,OFFSET(Financials!P146,0,$E$92),0)</f>
        <v>300000</v>
      </c>
      <c r="L49" s="263">
        <f ca="1">IF(L$97,OFFSET(Financials!Q146,0,$E$92),0)</f>
        <v>300000</v>
      </c>
      <c r="M49" s="263">
        <f ca="1">IF(M$97,OFFSET(Financials!R146,0,$E$92),0)</f>
        <v>300000</v>
      </c>
      <c r="N49" s="263">
        <f ca="1">IF(N$97,OFFSET(Financials!S146,0,$E$92),0)</f>
        <v>300000</v>
      </c>
      <c r="O49" s="263">
        <f ca="1">IF(O$97,OFFSET(Financials!T146,0,$E$92),0)</f>
        <v>300000</v>
      </c>
      <c r="P49" s="263">
        <f ca="1">IF(P$97,OFFSET(Financials!U146,0,$E$92),0)</f>
        <v>300000</v>
      </c>
      <c r="Q49" s="269">
        <f t="shared" ca="1" si="29"/>
        <v>300000</v>
      </c>
    </row>
    <row r="50" spans="2:34" ht="15" customHeight="1" x14ac:dyDescent="0.15">
      <c r="B50" s="54" t="s">
        <v>110</v>
      </c>
      <c r="E50" s="263">
        <f t="shared" ref="E50:P50" ca="1" si="35">E46+E49</f>
        <v>265661.36947802152</v>
      </c>
      <c r="F50" s="263">
        <f t="shared" ca="1" si="35"/>
        <v>255942.77468137455</v>
      </c>
      <c r="G50" s="263">
        <f t="shared" ca="1" si="35"/>
        <v>307097.3175904344</v>
      </c>
      <c r="H50" s="263">
        <f t="shared" ca="1" si="35"/>
        <v>313632.85329403443</v>
      </c>
      <c r="I50" s="263">
        <f t="shared" ca="1" si="35"/>
        <v>296656.13139887224</v>
      </c>
      <c r="J50" s="263">
        <f t="shared" ca="1" si="35"/>
        <v>307134.51021065377</v>
      </c>
      <c r="K50" s="263">
        <f t="shared" ca="1" si="35"/>
        <v>313767.15068586409</v>
      </c>
      <c r="L50" s="263">
        <f t="shared" ca="1" si="35"/>
        <v>296366.89823499869</v>
      </c>
      <c r="M50" s="263">
        <f t="shared" ca="1" si="35"/>
        <v>306961.32580500265</v>
      </c>
      <c r="N50" s="263">
        <f t="shared" ca="1" si="35"/>
        <v>313085.97479460522</v>
      </c>
      <c r="O50" s="263">
        <f t="shared" ca="1" si="35"/>
        <v>296224.09947606758</v>
      </c>
      <c r="P50" s="263">
        <f t="shared" ca="1" si="35"/>
        <v>306974.49400321377</v>
      </c>
      <c r="Q50" s="269">
        <f t="shared" ca="1" si="29"/>
        <v>306974.49400321377</v>
      </c>
    </row>
    <row r="51" spans="2:34" ht="15" customHeight="1" thickBot="1" x14ac:dyDescent="0.2">
      <c r="B51" s="54" t="s">
        <v>103</v>
      </c>
      <c r="E51" s="271">
        <f t="shared" ref="E51:P51" ca="1" si="36">E39-E50</f>
        <v>290.5281502509024</v>
      </c>
      <c r="F51" s="271">
        <f t="shared" ca="1" si="36"/>
        <v>-7592.1959496335767</v>
      </c>
      <c r="G51" s="271">
        <f t="shared" ca="1" si="36"/>
        <v>-15321.6612093898</v>
      </c>
      <c r="H51" s="271">
        <f t="shared" ca="1" si="36"/>
        <v>-22014.199503167649</v>
      </c>
      <c r="I51" s="271">
        <f t="shared" ca="1" si="36"/>
        <v>-32378.982977237843</v>
      </c>
      <c r="J51" s="271">
        <f t="shared" ca="1" si="36"/>
        <v>-40533.519575961865</v>
      </c>
      <c r="K51" s="271">
        <f t="shared" ca="1" si="36"/>
        <v>-48953.767948939698</v>
      </c>
      <c r="L51" s="271">
        <f t="shared" ca="1" si="36"/>
        <v>-57406.661374364747</v>
      </c>
      <c r="M51" s="271">
        <f t="shared" ca="1" si="36"/>
        <v>-67051.362793635897</v>
      </c>
      <c r="N51" s="271">
        <f t="shared" ca="1" si="36"/>
        <v>-76023.103190794296</v>
      </c>
      <c r="O51" s="271">
        <f t="shared" ca="1" si="36"/>
        <v>-84811.903555238765</v>
      </c>
      <c r="P51" s="271">
        <f t="shared" ca="1" si="36"/>
        <v>-94259.572887562797</v>
      </c>
      <c r="Q51" s="272">
        <f t="shared" ca="1" si="29"/>
        <v>-94259.572887562797</v>
      </c>
    </row>
    <row r="52" spans="2:34" ht="15" customHeight="1" thickTop="1" x14ac:dyDescent="0.15">
      <c r="B52" s="56" t="s">
        <v>111</v>
      </c>
      <c r="E52" s="260">
        <f ca="1">IF(E$97,OFFSET(Financials!J152,0,$E$92),0)</f>
        <v>0</v>
      </c>
      <c r="F52" s="260">
        <f ca="1">IF(F$97,OFFSET(Financials!K152,0,$E$92),0)</f>
        <v>0</v>
      </c>
      <c r="G52" s="260">
        <f ca="1">IF(G$97,OFFSET(Financials!L152,0,$E$92),0)</f>
        <v>0</v>
      </c>
      <c r="H52" s="260">
        <f ca="1">IF(H$97,OFFSET(Financials!M152,0,$E$92),0)</f>
        <v>0</v>
      </c>
      <c r="I52" s="260">
        <f ca="1">IF(I$97,OFFSET(Financials!N152,0,$E$92),0)</f>
        <v>0</v>
      </c>
      <c r="J52" s="260">
        <f ca="1">IF(J$97,OFFSET(Financials!O152,0,$E$92),0)</f>
        <v>0</v>
      </c>
      <c r="K52" s="260">
        <f ca="1">IF(K$97,OFFSET(Financials!P152,0,$E$92),0)</f>
        <v>0</v>
      </c>
      <c r="L52" s="260">
        <f ca="1">IF(L$97,OFFSET(Financials!Q152,0,$E$92),0)</f>
        <v>0</v>
      </c>
      <c r="M52" s="260">
        <f ca="1">IF(M$97,OFFSET(Financials!R152,0,$E$92),0)</f>
        <v>0</v>
      </c>
      <c r="N52" s="260">
        <f ca="1">IF(N$97,OFFSET(Financials!S152,0,$E$92),0)</f>
        <v>0</v>
      </c>
      <c r="O52" s="260">
        <f ca="1">IF(O$97,OFFSET(Financials!T152,0,$E$92),0)</f>
        <v>0</v>
      </c>
      <c r="P52" s="260">
        <f ca="1">IF(P$97,OFFSET(Financials!U152,0,$E$92),0)</f>
        <v>0</v>
      </c>
      <c r="Q52" s="265">
        <f t="shared" ca="1" si="29"/>
        <v>0</v>
      </c>
    </row>
    <row r="53" spans="2:34" ht="15" customHeight="1" x14ac:dyDescent="0.15">
      <c r="B53" s="56" t="s">
        <v>112</v>
      </c>
      <c r="E53" s="260">
        <f ca="1">IF(E$97,OFFSET(Financials!J155,0,$E$92),0)</f>
        <v>0</v>
      </c>
      <c r="F53" s="260">
        <f ca="1">IF(F$97,OFFSET(Financials!K155,0,$E$92),0)</f>
        <v>0</v>
      </c>
      <c r="G53" s="260">
        <f ca="1">IF(G$97,OFFSET(Financials!L155,0,$E$92),0)</f>
        <v>0</v>
      </c>
      <c r="H53" s="260">
        <f ca="1">IF(H$97,OFFSET(Financials!M155,0,$E$92),0)</f>
        <v>0</v>
      </c>
      <c r="I53" s="260">
        <f ca="1">IF(I$97,OFFSET(Financials!N155,0,$E$92),0)</f>
        <v>0</v>
      </c>
      <c r="J53" s="260">
        <f ca="1">IF(J$97,OFFSET(Financials!O155,0,$E$92),0)</f>
        <v>0</v>
      </c>
      <c r="K53" s="260">
        <f ca="1">IF(K$97,OFFSET(Financials!P155,0,$E$92),0)</f>
        <v>0</v>
      </c>
      <c r="L53" s="260">
        <f ca="1">IF(L$97,OFFSET(Financials!Q155,0,$E$92),0)</f>
        <v>0</v>
      </c>
      <c r="M53" s="260">
        <f ca="1">IF(M$97,OFFSET(Financials!R155,0,$E$92),0)</f>
        <v>0</v>
      </c>
      <c r="N53" s="260">
        <f ca="1">IF(N$97,OFFSET(Financials!S155,0,$E$92),0)</f>
        <v>0</v>
      </c>
      <c r="O53" s="260">
        <f ca="1">IF(O$97,OFFSET(Financials!T155,0,$E$92),0)</f>
        <v>0</v>
      </c>
      <c r="P53" s="260">
        <f ca="1">IF(P$97,OFFSET(Financials!U155,0,$E$92),0)</f>
        <v>0</v>
      </c>
      <c r="Q53" s="265">
        <f t="shared" ca="1" si="29"/>
        <v>0</v>
      </c>
    </row>
    <row r="54" spans="2:34" ht="15" customHeight="1" x14ac:dyDescent="0.15">
      <c r="B54" s="56" t="s">
        <v>113</v>
      </c>
      <c r="E54" s="260">
        <f ca="1">IF(E$97,OFFSET(Financials!J160,0,$E$92),0)</f>
        <v>290.52815025089512</v>
      </c>
      <c r="F54" s="260">
        <f ca="1">IF(F$97,OFFSET(Financials!K160,0,$E$92),0)</f>
        <v>-7592.1959496335512</v>
      </c>
      <c r="G54" s="260">
        <f ca="1">IF(G$97,OFFSET(Financials!L160,0,$E$92),0)</f>
        <v>-15321.661209389824</v>
      </c>
      <c r="H54" s="260">
        <f ca="1">IF(H$97,OFFSET(Financials!M160,0,$E$92),0)</f>
        <v>-22014.199503167602</v>
      </c>
      <c r="I54" s="260">
        <f ca="1">IF(I$97,OFFSET(Financials!N160,0,$E$92),0)</f>
        <v>-32378.982977237854</v>
      </c>
      <c r="J54" s="260">
        <f ca="1">IF(J$97,OFFSET(Financials!O160,0,$E$92),0)</f>
        <v>-40533.519575961873</v>
      </c>
      <c r="K54" s="260">
        <f ca="1">IF(K$97,OFFSET(Financials!P160,0,$E$92),0)</f>
        <v>-48953.767948939654</v>
      </c>
      <c r="L54" s="260">
        <f ca="1">IF(L$97,OFFSET(Financials!Q160,0,$E$92),0)</f>
        <v>-57406.661374364747</v>
      </c>
      <c r="M54" s="260">
        <f ca="1">IF(M$97,OFFSET(Financials!R160,0,$E$92),0)</f>
        <v>-67051.362793635853</v>
      </c>
      <c r="N54" s="260">
        <f ca="1">IF(N$97,OFFSET(Financials!S160,0,$E$92),0)</f>
        <v>-76023.103190794282</v>
      </c>
      <c r="O54" s="260">
        <f ca="1">IF(O$97,OFFSET(Financials!T160,0,$E$92),0)</f>
        <v>-84811.903555238721</v>
      </c>
      <c r="P54" s="260">
        <f ca="1">IF(P$97,OFFSET(Financials!U160,0,$E$92),0)</f>
        <v>-94259.572887562739</v>
      </c>
      <c r="Q54" s="265">
        <f t="shared" ca="1" si="29"/>
        <v>-94259.572887562739</v>
      </c>
    </row>
    <row r="55" spans="2:34" ht="15" customHeight="1" thickBot="1" x14ac:dyDescent="0.2">
      <c r="B55" s="54" t="s">
        <v>114</v>
      </c>
      <c r="E55" s="271">
        <f t="shared" ref="E55:P55" ca="1" si="37">SUM(E52:E54)</f>
        <v>290.52815025089512</v>
      </c>
      <c r="F55" s="271">
        <f t="shared" ca="1" si="37"/>
        <v>-7592.1959496335512</v>
      </c>
      <c r="G55" s="271">
        <f t="shared" ca="1" si="37"/>
        <v>-15321.661209389824</v>
      </c>
      <c r="H55" s="271">
        <f t="shared" ca="1" si="37"/>
        <v>-22014.199503167602</v>
      </c>
      <c r="I55" s="271">
        <f t="shared" ca="1" si="37"/>
        <v>-32378.982977237854</v>
      </c>
      <c r="J55" s="271">
        <f t="shared" ca="1" si="37"/>
        <v>-40533.519575961873</v>
      </c>
      <c r="K55" s="271">
        <f t="shared" ca="1" si="37"/>
        <v>-48953.767948939654</v>
      </c>
      <c r="L55" s="271">
        <f t="shared" ca="1" si="37"/>
        <v>-57406.661374364747</v>
      </c>
      <c r="M55" s="271">
        <f t="shared" ca="1" si="37"/>
        <v>-67051.362793635853</v>
      </c>
      <c r="N55" s="271">
        <f t="shared" ca="1" si="37"/>
        <v>-76023.103190794282</v>
      </c>
      <c r="O55" s="271">
        <f t="shared" ca="1" si="37"/>
        <v>-84811.903555238721</v>
      </c>
      <c r="P55" s="271">
        <f t="shared" ca="1" si="37"/>
        <v>-94259.572887562739</v>
      </c>
      <c r="Q55" s="272">
        <f t="shared" ca="1" si="29"/>
        <v>-94259.572887562739</v>
      </c>
    </row>
    <row r="56" spans="2:34" ht="15" customHeight="1" thickTop="1" x14ac:dyDescent="0.15">
      <c r="AD56" s="332" t="s">
        <v>115</v>
      </c>
      <c r="AE56" s="332"/>
      <c r="AF56" s="332"/>
      <c r="AG56" s="332"/>
      <c r="AH56" s="332"/>
    </row>
    <row r="57" spans="2:34" ht="15" customHeight="1" x14ac:dyDescent="0.15">
      <c r="B57" s="332" t="s">
        <v>116</v>
      </c>
      <c r="C57" s="332"/>
      <c r="D57" s="332"/>
      <c r="E57" s="332"/>
      <c r="F57" s="332"/>
      <c r="G57" s="332"/>
      <c r="H57" s="332"/>
      <c r="I57" s="332"/>
      <c r="J57" s="332"/>
      <c r="K57" s="332"/>
      <c r="L57" s="332"/>
      <c r="M57" s="332"/>
      <c r="N57" s="332"/>
      <c r="O57" s="332"/>
      <c r="P57" s="332"/>
      <c r="Q57" s="332"/>
    </row>
    <row r="58" spans="2:34" ht="15" customHeight="1" x14ac:dyDescent="0.15"/>
    <row r="59" spans="2:34" ht="15" customHeight="1" x14ac:dyDescent="0.15">
      <c r="B59" s="54" t="str">
        <f>B$95</f>
        <v>Month Ending</v>
      </c>
      <c r="E59" s="55" t="str">
        <f t="shared" ref="E59:P59" si="38">E$95</f>
        <v>Aug-23</v>
      </c>
      <c r="F59" s="55" t="str">
        <f t="shared" si="38"/>
        <v>Sep-23</v>
      </c>
      <c r="G59" s="55" t="str">
        <f t="shared" si="38"/>
        <v>Oct-23</v>
      </c>
      <c r="H59" s="55" t="str">
        <f t="shared" si="38"/>
        <v>Nov-23</v>
      </c>
      <c r="I59" s="55" t="str">
        <f t="shared" si="38"/>
        <v>Dec-23</v>
      </c>
      <c r="J59" s="55" t="str">
        <f t="shared" si="38"/>
        <v>Jan-24</v>
      </c>
      <c r="K59" s="55" t="str">
        <f t="shared" si="38"/>
        <v>Feb-24</v>
      </c>
      <c r="L59" s="55" t="str">
        <f t="shared" si="38"/>
        <v>Mar-24</v>
      </c>
      <c r="M59" s="55" t="str">
        <f t="shared" si="38"/>
        <v>Apr-24</v>
      </c>
      <c r="N59" s="55" t="str">
        <f t="shared" si="38"/>
        <v>May-24</v>
      </c>
      <c r="O59" s="55" t="str">
        <f t="shared" si="38"/>
        <v>Jun-24</v>
      </c>
      <c r="P59" s="55" t="str">
        <f t="shared" si="38"/>
        <v>Jul-24</v>
      </c>
      <c r="Q59" s="64" t="s">
        <v>63</v>
      </c>
    </row>
    <row r="60" spans="2:34" ht="15" customHeight="1" x14ac:dyDescent="0.15">
      <c r="B60" s="56" t="s">
        <v>64</v>
      </c>
      <c r="E60" s="260">
        <f ca="1">IF(E$97,OFFSET(Financials!J179,0,$E$92),0)</f>
        <v>3371.0619354838709</v>
      </c>
      <c r="F60" s="260">
        <f ca="1">IF(F$97,OFFSET(Financials!K179,0,$E$92),0)</f>
        <v>5460.4498733333321</v>
      </c>
      <c r="G60" s="260">
        <f ca="1">IF(G$97,OFFSET(Financials!L179,0,$E$92),0)</f>
        <v>5658.2944516129037</v>
      </c>
      <c r="H60" s="260">
        <f ca="1">IF(H$97,OFFSET(Financials!M179,0,$E$92),0)</f>
        <v>6738.0976666666666</v>
      </c>
      <c r="I60" s="260">
        <f ca="1">IF(I$97,OFFSET(Financials!N179,0,$E$92),0)</f>
        <v>2898.1579913978489</v>
      </c>
      <c r="J60" s="260">
        <f ca="1">IF(J$97,OFFSET(Financials!O179,0,$E$92),0)</f>
        <v>5264.5171290322578</v>
      </c>
      <c r="K60" s="260">
        <f ca="1">IF(K$97,OFFSET(Financials!P179,0,$E$92),0)</f>
        <v>6074.5498666666672</v>
      </c>
      <c r="L60" s="260">
        <f ca="1">IF(L$97,OFFSET(Financials!Q179,0,$E$92),0)</f>
        <v>6044.8385397849461</v>
      </c>
      <c r="M60" s="260">
        <f ca="1">IF(M$97,OFFSET(Financials!R179,0,$E$92),0)</f>
        <v>4902.4685600000003</v>
      </c>
      <c r="N60" s="260">
        <f ca="1">IF(N$97,OFFSET(Financials!S179,0,$E$92),0)</f>
        <v>5694.5062731182788</v>
      </c>
      <c r="O60" s="260">
        <f ca="1">IF(O$97,OFFSET(Financials!T179,0,$E$92),0)</f>
        <v>5619.0533333333333</v>
      </c>
      <c r="P60" s="260">
        <f ca="1">IF(P$97,OFFSET(Financials!U179,0,$E$92),0)</f>
        <v>5209.1097290322577</v>
      </c>
      <c r="Q60" s="265">
        <f t="shared" ref="Q60:Q87" ca="1" si="39">SUM(E60:P60)</f>
        <v>62935.105349462356</v>
      </c>
    </row>
    <row r="61" spans="2:34" ht="15" customHeight="1" x14ac:dyDescent="0.15">
      <c r="B61" s="56" t="s">
        <v>117</v>
      </c>
      <c r="E61" s="260">
        <f ca="1">IF(E$97,OFFSET(Financials!J182,0,$E$92),0)</f>
        <v>35</v>
      </c>
      <c r="F61" s="260">
        <f ca="1">IF(F$97,OFFSET(Financials!K182,0,$E$92),0)</f>
        <v>0</v>
      </c>
      <c r="G61" s="260">
        <f ca="1">IF(G$97,OFFSET(Financials!L182,0,$E$92),0)</f>
        <v>0</v>
      </c>
      <c r="H61" s="260">
        <f ca="1">IF(H$97,OFFSET(Financials!M182,0,$E$92),0)</f>
        <v>0</v>
      </c>
      <c r="I61" s="260">
        <f ca="1">IF(I$97,OFFSET(Financials!N182,0,$E$92),0)</f>
        <v>0</v>
      </c>
      <c r="J61" s="260">
        <f ca="1">IF(J$97,OFFSET(Financials!O182,0,$E$92),0)</f>
        <v>0</v>
      </c>
      <c r="K61" s="260">
        <f ca="1">IF(K$97,OFFSET(Financials!P182,0,$E$92),0)</f>
        <v>0</v>
      </c>
      <c r="L61" s="260">
        <f ca="1">IF(L$97,OFFSET(Financials!Q182,0,$E$92),0)</f>
        <v>0</v>
      </c>
      <c r="M61" s="260">
        <f ca="1">IF(M$97,OFFSET(Financials!R182,0,$E$92),0)</f>
        <v>0</v>
      </c>
      <c r="N61" s="260">
        <f ca="1">IF(N$97,OFFSET(Financials!S182,0,$E$92),0)</f>
        <v>0</v>
      </c>
      <c r="O61" s="260">
        <f ca="1">IF(O$97,OFFSET(Financials!T182,0,$E$92),0)</f>
        <v>0</v>
      </c>
      <c r="P61" s="260">
        <f ca="1">IF(P$97,OFFSET(Financials!U182,0,$E$92),0)</f>
        <v>0</v>
      </c>
      <c r="Q61" s="265">
        <f t="shared" ca="1" si="39"/>
        <v>35</v>
      </c>
      <c r="S61" s="332" t="s">
        <v>118</v>
      </c>
      <c r="T61" s="332"/>
      <c r="U61" s="332"/>
      <c r="V61" s="332"/>
      <c r="W61" s="332"/>
      <c r="X61" s="332"/>
      <c r="Y61" s="332"/>
      <c r="Z61" s="332"/>
      <c r="AA61" s="332"/>
      <c r="AB61" s="332"/>
      <c r="AC61" s="332"/>
    </row>
    <row r="62" spans="2:34" ht="15" customHeight="1" x14ac:dyDescent="0.15">
      <c r="B62" s="56" t="s">
        <v>119</v>
      </c>
      <c r="E62" s="273">
        <f t="shared" ref="E62:P62" ca="1" si="40">E63-SUM(E60:E61)</f>
        <v>0</v>
      </c>
      <c r="F62" s="273">
        <f t="shared" ca="1" si="40"/>
        <v>0</v>
      </c>
      <c r="G62" s="273">
        <f t="shared" ca="1" si="40"/>
        <v>0</v>
      </c>
      <c r="H62" s="273">
        <f t="shared" ca="1" si="40"/>
        <v>0</v>
      </c>
      <c r="I62" s="273">
        <f t="shared" ca="1" si="40"/>
        <v>0</v>
      </c>
      <c r="J62" s="273">
        <f t="shared" ca="1" si="40"/>
        <v>0</v>
      </c>
      <c r="K62" s="273">
        <f t="shared" ca="1" si="40"/>
        <v>0</v>
      </c>
      <c r="L62" s="273">
        <f t="shared" ca="1" si="40"/>
        <v>0</v>
      </c>
      <c r="M62" s="273">
        <f t="shared" ca="1" si="40"/>
        <v>0</v>
      </c>
      <c r="N62" s="273">
        <f t="shared" ca="1" si="40"/>
        <v>0</v>
      </c>
      <c r="O62" s="273">
        <f t="shared" ca="1" si="40"/>
        <v>0</v>
      </c>
      <c r="P62" s="273">
        <f t="shared" ca="1" si="40"/>
        <v>0</v>
      </c>
      <c r="Q62" s="274">
        <f t="shared" ca="1" si="39"/>
        <v>0</v>
      </c>
    </row>
    <row r="63" spans="2:34" ht="15" customHeight="1" x14ac:dyDescent="0.15">
      <c r="B63" s="56" t="s">
        <v>120</v>
      </c>
      <c r="E63" s="260">
        <f ca="1">IF(E$97,OFFSET(Financials!J187,0,$E$92),0)</f>
        <v>3406.0619354838709</v>
      </c>
      <c r="F63" s="260">
        <f ca="1">IF(F$97,OFFSET(Financials!K187,0,$E$92),0)</f>
        <v>5460.4498733333321</v>
      </c>
      <c r="G63" s="260">
        <f ca="1">IF(G$97,OFFSET(Financials!L187,0,$E$92),0)</f>
        <v>5658.2944516129037</v>
      </c>
      <c r="H63" s="260">
        <f ca="1">IF(H$97,OFFSET(Financials!M187,0,$E$92),0)</f>
        <v>6738.0976666666666</v>
      </c>
      <c r="I63" s="260">
        <f ca="1">IF(I$97,OFFSET(Financials!N187,0,$E$92),0)</f>
        <v>2898.1579913978489</v>
      </c>
      <c r="J63" s="260">
        <f ca="1">IF(J$97,OFFSET(Financials!O187,0,$E$92),0)</f>
        <v>5264.5171290322578</v>
      </c>
      <c r="K63" s="260">
        <f ca="1">IF(K$97,OFFSET(Financials!P187,0,$E$92),0)</f>
        <v>6074.5498666666672</v>
      </c>
      <c r="L63" s="260">
        <f ca="1">IF(L$97,OFFSET(Financials!Q187,0,$E$92),0)</f>
        <v>6044.8385397849461</v>
      </c>
      <c r="M63" s="260">
        <f ca="1">IF(M$97,OFFSET(Financials!R187,0,$E$92),0)</f>
        <v>4902.4685600000003</v>
      </c>
      <c r="N63" s="260">
        <f ca="1">IF(N$97,OFFSET(Financials!S187,0,$E$92),0)</f>
        <v>5694.5062731182788</v>
      </c>
      <c r="O63" s="260">
        <f ca="1">IF(O$97,OFFSET(Financials!T187,0,$E$92),0)</f>
        <v>5619.0533333333333</v>
      </c>
      <c r="P63" s="260">
        <f ca="1">IF(P$97,OFFSET(Financials!U187,0,$E$92),0)</f>
        <v>5209.1097290322577</v>
      </c>
      <c r="Q63" s="265">
        <f t="shared" ca="1" si="39"/>
        <v>62970.105349462356</v>
      </c>
    </row>
    <row r="64" spans="2:34" ht="15" customHeight="1" x14ac:dyDescent="0.15">
      <c r="B64" s="56" t="s">
        <v>65</v>
      </c>
      <c r="E64" s="260">
        <f ca="1">IF(E$97,OFFSET(Financials!J192,0,$E$92),0)</f>
        <v>-854.31486709677404</v>
      </c>
      <c r="F64" s="260">
        <f ca="1">IF(F$97,OFFSET(Financials!K192,0,$E$92),0)</f>
        <v>-818.26629822666655</v>
      </c>
      <c r="G64" s="260">
        <f ca="1">IF(G$97,OFFSET(Financials!L192,0,$E$92),0)</f>
        <v>-855.99945565591406</v>
      </c>
      <c r="H64" s="260">
        <f ca="1">IF(H$97,OFFSET(Financials!M192,0,$E$92),0)</f>
        <v>-872.62003400000003</v>
      </c>
      <c r="I64" s="260">
        <f ca="1">IF(I$97,OFFSET(Financials!N192,0,$E$92),0)</f>
        <v>-786.90421187956986</v>
      </c>
      <c r="J64" s="260">
        <f ca="1">IF(J$97,OFFSET(Financials!O192,0,$E$92),0)</f>
        <v>-888.45657313978484</v>
      </c>
      <c r="K64" s="260">
        <f ca="1">IF(K$97,OFFSET(Financials!P192,0,$E$92),0)</f>
        <v>-828.78036479999992</v>
      </c>
      <c r="L64" s="260">
        <f ca="1">IF(L$97,OFFSET(Financials!Q192,0,$E$92),0)</f>
        <v>-829.86773955698914</v>
      </c>
      <c r="M64" s="260">
        <f ca="1">IF(M$97,OFFSET(Financials!R192,0,$E$92),0)</f>
        <v>-848.83789317333333</v>
      </c>
      <c r="N64" s="260">
        <f ca="1">IF(N$97,OFFSET(Financials!S192,0,$E$92),0)</f>
        <v>-894.88975449032239</v>
      </c>
      <c r="O64" s="260">
        <f ca="1">IF(O$97,OFFSET(Financials!T192,0,$E$92),0)</f>
        <v>-794.95674666666662</v>
      </c>
      <c r="P64" s="260">
        <f ca="1">IF(P$97,OFFSET(Financials!U192,0,$E$92),0)</f>
        <v>-891.10086953978475</v>
      </c>
      <c r="Q64" s="265">
        <f t="shared" ca="1" si="39"/>
        <v>-10164.994808225807</v>
      </c>
      <c r="S64" s="335" t="str">
        <f>IF(B195,"Cash at Start","N/A")</f>
        <v>Cash at Start</v>
      </c>
      <c r="T64" s="335"/>
      <c r="U64" s="335"/>
      <c r="V64" s="335"/>
      <c r="W64" s="275">
        <f ca="1">IF($B$195,E191,0)</f>
        <v>11206</v>
      </c>
    </row>
    <row r="65" spans="2:34" ht="15" customHeight="1" x14ac:dyDescent="0.15">
      <c r="B65" s="56" t="s">
        <v>68</v>
      </c>
      <c r="E65" s="260">
        <f ca="1">IF(E$97,OFFSET(Financials!J202,0,$E$92),0)</f>
        <v>-6676.2466959139792</v>
      </c>
      <c r="F65" s="260">
        <f ca="1">IF(F$97,OFFSET(Financials!K202,0,$E$92),0)</f>
        <v>-6724.7132305466675</v>
      </c>
      <c r="G65" s="260">
        <f ca="1">IF(G$97,OFFSET(Financials!L202,0,$E$92),0)</f>
        <v>-6731.5658112688179</v>
      </c>
      <c r="H65" s="260">
        <f ca="1">IF(H$97,OFFSET(Financials!M202,0,$E$92),0)</f>
        <v>-6757.8214820000003</v>
      </c>
      <c r="I65" s="260">
        <f ca="1">IF(I$97,OFFSET(Financials!N202,0,$E$92),0)</f>
        <v>-6675.8428091440865</v>
      </c>
      <c r="J65" s="260">
        <f ca="1">IF(J$97,OFFSET(Financials!O202,0,$E$92),0)</f>
        <v>-6730.402710172044</v>
      </c>
      <c r="K65" s="260">
        <f ca="1">IF(K$97,OFFSET(Financials!P202,0,$E$92),0)</f>
        <v>-7865.8234304000007</v>
      </c>
      <c r="L65" s="260">
        <f ca="1">IF(L$97,OFFSET(Financials!Q202,0,$E$92),0)</f>
        <v>-7867.6697812086031</v>
      </c>
      <c r="M65" s="260">
        <f ca="1">IF(M$97,OFFSET(Financials!R202,0,$E$92),0)</f>
        <v>-7898.137641653334</v>
      </c>
      <c r="N65" s="260">
        <f ca="1">IF(N$97,OFFSET(Financials!S202,0,$E$92),0)</f>
        <v>-7971.162471341936</v>
      </c>
      <c r="O65" s="260">
        <f ca="1">IF(O$97,OFFSET(Financials!T202,0,$E$92),0)</f>
        <v>-7812.7025066666674</v>
      </c>
      <c r="P65" s="260">
        <f ca="1">IF(P$97,OFFSET(Financials!U202,0,$E$92),0)</f>
        <v>-7965.4837473720436</v>
      </c>
      <c r="Q65" s="265">
        <f t="shared" ca="1" si="39"/>
        <v>-87677.572317688173</v>
      </c>
      <c r="S65" s="331" t="str">
        <f t="shared" ref="S65:S86" si="41">B199</f>
        <v>Revenue</v>
      </c>
      <c r="T65" s="331"/>
      <c r="U65" s="331"/>
      <c r="V65" s="331"/>
      <c r="W65" s="276">
        <f t="shared" ref="W65:W86" ca="1" si="42">E199</f>
        <v>62935.105349462356</v>
      </c>
      <c r="X65" s="98"/>
      <c r="Y65" s="98"/>
      <c r="Z65" s="98"/>
      <c r="AA65" s="98"/>
      <c r="AB65" s="98"/>
      <c r="AC65" s="98"/>
    </row>
    <row r="66" spans="2:34" ht="15" customHeight="1" x14ac:dyDescent="0.15">
      <c r="B66" s="56" t="s">
        <v>121</v>
      </c>
      <c r="E66" s="260">
        <f ca="1">IF(E$97,OFFSET(Financials!J205,0,$E$92),0)</f>
        <v>279</v>
      </c>
      <c r="F66" s="260">
        <f ca="1">IF(F$97,OFFSET(Financials!K205,0,$E$92),0)</f>
        <v>0</v>
      </c>
      <c r="G66" s="260">
        <f ca="1">IF(G$97,OFFSET(Financials!L205,0,$E$92),0)</f>
        <v>0</v>
      </c>
      <c r="H66" s="260">
        <f ca="1">IF(H$97,OFFSET(Financials!M205,0,$E$92),0)</f>
        <v>0</v>
      </c>
      <c r="I66" s="260">
        <f ca="1">IF(I$97,OFFSET(Financials!N205,0,$E$92),0)</f>
        <v>0</v>
      </c>
      <c r="J66" s="260">
        <f ca="1">IF(J$97,OFFSET(Financials!O205,0,$E$92),0)</f>
        <v>0</v>
      </c>
      <c r="K66" s="260">
        <f ca="1">IF(K$97,OFFSET(Financials!P205,0,$E$92),0)</f>
        <v>0</v>
      </c>
      <c r="L66" s="260">
        <f ca="1">IF(L$97,OFFSET(Financials!Q205,0,$E$92),0)</f>
        <v>0</v>
      </c>
      <c r="M66" s="260">
        <f ca="1">IF(M$97,OFFSET(Financials!R205,0,$E$92),0)</f>
        <v>0</v>
      </c>
      <c r="N66" s="260">
        <f ca="1">IF(N$97,OFFSET(Financials!S205,0,$E$92),0)</f>
        <v>0</v>
      </c>
      <c r="O66" s="260">
        <f ca="1">IF(O$97,OFFSET(Financials!T205,0,$E$92),0)</f>
        <v>0</v>
      </c>
      <c r="P66" s="260">
        <f ca="1">IF(P$97,OFFSET(Financials!U205,0,$E$92),0)</f>
        <v>0</v>
      </c>
      <c r="Q66" s="265">
        <f t="shared" ca="1" si="39"/>
        <v>279</v>
      </c>
      <c r="S66" s="333" t="str">
        <f t="shared" si="41"/>
        <v>Decrease in Debtors</v>
      </c>
      <c r="T66" s="333"/>
      <c r="U66" s="333"/>
      <c r="V66" s="333"/>
      <c r="W66" s="260">
        <f t="shared" ca="1" si="42"/>
        <v>35</v>
      </c>
    </row>
    <row r="67" spans="2:34" ht="15" customHeight="1" x14ac:dyDescent="0.15">
      <c r="B67" s="56" t="s">
        <v>122</v>
      </c>
      <c r="E67" s="260">
        <f ca="1">IF(E$97,OFFSET(Financials!J209,0,$E$92),0)</f>
        <v>2162.8188172043019</v>
      </c>
      <c r="F67" s="260">
        <f ca="1">IF(F$97,OFFSET(Financials!K209,0,$E$92),0)</f>
        <v>-8497.8188172043028</v>
      </c>
      <c r="G67" s="260">
        <f ca="1">IF(G$97,OFFSET(Financials!L209,0,$E$92),0)</f>
        <v>7998.2974193548398</v>
      </c>
      <c r="H67" s="260">
        <f ca="1">IF(H$97,OFFSET(Financials!M209,0,$E$92),0)</f>
        <v>7760.6</v>
      </c>
      <c r="I67" s="260">
        <f ca="1">IF(I$97,OFFSET(Financials!N209,0,$E$92),0)</f>
        <v>-15769.220000000003</v>
      </c>
      <c r="J67" s="260">
        <f ca="1">IF(J$97,OFFSET(Financials!O209,0,$E$92),0)</f>
        <v>8042.0800000000008</v>
      </c>
      <c r="K67" s="260">
        <f ca="1">IF(K$97,OFFSET(Financials!P209,0,$E$92),0)</f>
        <v>7995.8051612903237</v>
      </c>
      <c r="L67" s="260">
        <f ca="1">IF(L$97,OFFSET(Financials!Q209,0,$E$92),0)</f>
        <v>-16037.885161290324</v>
      </c>
      <c r="M67" s="260">
        <f ca="1">IF(M$97,OFFSET(Financials!R209,0,$E$92),0)</f>
        <v>8018.9425806451618</v>
      </c>
      <c r="N67" s="260">
        <f ca="1">IF(N$97,OFFSET(Financials!S209,0,$E$92),0)</f>
        <v>7505.3814838709686</v>
      </c>
      <c r="O67" s="260">
        <f ca="1">IF(O$97,OFFSET(Financials!T209,0,$E$92),0)</f>
        <v>-15514.00148387097</v>
      </c>
      <c r="P67" s="260">
        <f ca="1">IF(P$97,OFFSET(Financials!U209,0,$E$92),0)</f>
        <v>8031.7574193548398</v>
      </c>
      <c r="Q67" s="265">
        <f t="shared" ca="1" si="39"/>
        <v>1696.757419354838</v>
      </c>
      <c r="S67" s="333" t="str">
        <f t="shared" si="41"/>
        <v>Other Cash Receipts</v>
      </c>
      <c r="T67" s="333"/>
      <c r="U67" s="333"/>
      <c r="V67" s="333"/>
      <c r="W67" s="260">
        <f t="shared" ca="1" si="42"/>
        <v>0</v>
      </c>
    </row>
    <row r="68" spans="2:34" ht="15" customHeight="1" x14ac:dyDescent="0.15">
      <c r="B68" s="56" t="s">
        <v>123</v>
      </c>
      <c r="E68" s="260">
        <f ca="1">IF(E$97,OFFSET(Financials!J212,0,$E$92),0)</f>
        <v>0</v>
      </c>
      <c r="F68" s="260">
        <f ca="1">IF(F$97,OFFSET(Financials!K212,0,$E$92),0)</f>
        <v>0</v>
      </c>
      <c r="G68" s="260">
        <f ca="1">IF(G$97,OFFSET(Financials!L212,0,$E$92),0)</f>
        <v>0</v>
      </c>
      <c r="H68" s="260">
        <f ca="1">IF(H$97,OFFSET(Financials!M212,0,$E$92),0)</f>
        <v>0</v>
      </c>
      <c r="I68" s="260">
        <f ca="1">IF(I$97,OFFSET(Financials!N212,0,$E$92),0)</f>
        <v>0</v>
      </c>
      <c r="J68" s="260">
        <f ca="1">IF(J$97,OFFSET(Financials!O212,0,$E$92),0)</f>
        <v>0</v>
      </c>
      <c r="K68" s="260">
        <f ca="1">IF(K$97,OFFSET(Financials!P212,0,$E$92),0)</f>
        <v>0</v>
      </c>
      <c r="L68" s="260">
        <f ca="1">IF(L$97,OFFSET(Financials!Q212,0,$E$92),0)</f>
        <v>0</v>
      </c>
      <c r="M68" s="260">
        <f ca="1">IF(M$97,OFFSET(Financials!R212,0,$E$92),0)</f>
        <v>0</v>
      </c>
      <c r="N68" s="260">
        <f ca="1">IF(N$97,OFFSET(Financials!S212,0,$E$92),0)</f>
        <v>0</v>
      </c>
      <c r="O68" s="260">
        <f ca="1">IF(O$97,OFFSET(Financials!T212,0,$E$92),0)</f>
        <v>0</v>
      </c>
      <c r="P68" s="260">
        <f ca="1">IF(P$97,OFFSET(Financials!U212,0,$E$92),0)</f>
        <v>0</v>
      </c>
      <c r="Q68" s="265">
        <f t="shared" ca="1" si="39"/>
        <v>0</v>
      </c>
      <c r="S68" s="333" t="str">
        <f t="shared" si="41"/>
        <v>Cost of Goods Sold</v>
      </c>
      <c r="T68" s="333"/>
      <c r="U68" s="333"/>
      <c r="V68" s="333"/>
      <c r="W68" s="260">
        <f t="shared" ca="1" si="42"/>
        <v>-10164.994808225807</v>
      </c>
    </row>
    <row r="69" spans="2:34" ht="15" customHeight="1" x14ac:dyDescent="0.15">
      <c r="B69" s="56" t="s">
        <v>124</v>
      </c>
      <c r="E69" s="273">
        <f t="shared" ref="E69:P69" ca="1" si="43">E70-SUM(E64:E68)</f>
        <v>0</v>
      </c>
      <c r="F69" s="273">
        <f t="shared" ca="1" si="43"/>
        <v>0</v>
      </c>
      <c r="G69" s="273">
        <f t="shared" ca="1" si="43"/>
        <v>0</v>
      </c>
      <c r="H69" s="273">
        <f t="shared" ca="1" si="43"/>
        <v>0</v>
      </c>
      <c r="I69" s="273">
        <f t="shared" ca="1" si="43"/>
        <v>0</v>
      </c>
      <c r="J69" s="273">
        <f t="shared" ca="1" si="43"/>
        <v>0</v>
      </c>
      <c r="K69" s="273">
        <f t="shared" ca="1" si="43"/>
        <v>0</v>
      </c>
      <c r="L69" s="273">
        <f t="shared" ca="1" si="43"/>
        <v>0</v>
      </c>
      <c r="M69" s="273">
        <f t="shared" ca="1" si="43"/>
        <v>0</v>
      </c>
      <c r="N69" s="273">
        <f t="shared" ca="1" si="43"/>
        <v>0</v>
      </c>
      <c r="O69" s="273">
        <f t="shared" ca="1" si="43"/>
        <v>0</v>
      </c>
      <c r="P69" s="273">
        <f t="shared" ca="1" si="43"/>
        <v>0</v>
      </c>
      <c r="Q69" s="274">
        <f t="shared" ca="1" si="39"/>
        <v>0</v>
      </c>
      <c r="S69" s="333" t="str">
        <f t="shared" si="41"/>
        <v>Operating Expenditure</v>
      </c>
      <c r="T69" s="333"/>
      <c r="U69" s="333"/>
      <c r="V69" s="333"/>
      <c r="W69" s="260">
        <f t="shared" ca="1" si="42"/>
        <v>-87677.572317688173</v>
      </c>
      <c r="AD69" s="332" t="s">
        <v>125</v>
      </c>
      <c r="AE69" s="332"/>
      <c r="AF69" s="332"/>
      <c r="AG69" s="332"/>
      <c r="AH69" s="332"/>
    </row>
    <row r="70" spans="2:34" ht="15" customHeight="1" x14ac:dyDescent="0.15">
      <c r="B70" s="56" t="s">
        <v>126</v>
      </c>
      <c r="E70" s="260">
        <f ca="1">IF(E$97,OFFSET(Financials!J218,0,$E$92),0)</f>
        <v>-5088.7427458064512</v>
      </c>
      <c r="F70" s="260">
        <f ca="1">IF(F$97,OFFSET(Financials!K218,0,$E$92),0)</f>
        <v>-16040.798345977637</v>
      </c>
      <c r="G70" s="260">
        <f ca="1">IF(G$97,OFFSET(Financials!L218,0,$E$92),0)</f>
        <v>410.73215243010782</v>
      </c>
      <c r="H70" s="260">
        <f ca="1">IF(H$97,OFFSET(Financials!M218,0,$E$92),0)</f>
        <v>130.15848399999959</v>
      </c>
      <c r="I70" s="260">
        <f ca="1">IF(I$97,OFFSET(Financials!N218,0,$E$92),0)</f>
        <v>-23231.967021023658</v>
      </c>
      <c r="J70" s="260">
        <f ca="1">IF(J$97,OFFSET(Financials!O218,0,$E$92),0)</f>
        <v>423.22071668817171</v>
      </c>
      <c r="K70" s="260">
        <f ca="1">IF(K$97,OFFSET(Financials!P218,0,$E$92),0)</f>
        <v>-698.79863390967694</v>
      </c>
      <c r="L70" s="260">
        <f ca="1">IF(L$97,OFFSET(Financials!Q218,0,$E$92),0)</f>
        <v>-24735.422682055916</v>
      </c>
      <c r="M70" s="260">
        <f ca="1">IF(M$97,OFFSET(Financials!R218,0,$E$92),0)</f>
        <v>-728.03295418150628</v>
      </c>
      <c r="N70" s="260">
        <f ca="1">IF(N$97,OFFSET(Financials!S218,0,$E$92),0)</f>
        <v>-1360.6707419612894</v>
      </c>
      <c r="O70" s="260">
        <f ca="1">IF(O$97,OFFSET(Financials!T218,0,$E$92),0)</f>
        <v>-24121.660737204304</v>
      </c>
      <c r="P70" s="260">
        <f ca="1">IF(P$97,OFFSET(Financials!U218,0,$E$92),0)</f>
        <v>-824.82719755698872</v>
      </c>
      <c r="Q70" s="265">
        <f t="shared" ca="1" si="39"/>
        <v>-95866.809706559157</v>
      </c>
      <c r="S70" s="333" t="str">
        <f t="shared" si="41"/>
        <v>Decrease in Inventory</v>
      </c>
      <c r="T70" s="333"/>
      <c r="U70" s="333"/>
      <c r="V70" s="333"/>
      <c r="W70" s="260">
        <f t="shared" ca="1" si="42"/>
        <v>279</v>
      </c>
    </row>
    <row r="71" spans="2:34" ht="15" customHeight="1" x14ac:dyDescent="0.15">
      <c r="B71" s="56" t="s">
        <v>127</v>
      </c>
      <c r="E71" s="260">
        <f ca="1">IF(E$97,OFFSET(Financials!J220,0,$E$92),0)</f>
        <v>0</v>
      </c>
      <c r="F71" s="260">
        <f ca="1">IF(F$97,OFFSET(Financials!K220,0,$E$92),0)</f>
        <v>0</v>
      </c>
      <c r="G71" s="260">
        <f ca="1">IF(G$97,OFFSET(Financials!L220,0,$E$92),0)</f>
        <v>0</v>
      </c>
      <c r="H71" s="260">
        <f ca="1">IF(H$97,OFFSET(Financials!M220,0,$E$92),0)</f>
        <v>0</v>
      </c>
      <c r="I71" s="260">
        <f ca="1">IF(I$97,OFFSET(Financials!N220,0,$E$92),0)</f>
        <v>0</v>
      </c>
      <c r="J71" s="260">
        <f ca="1">IF(J$97,OFFSET(Financials!O220,0,$E$92),0)</f>
        <v>0</v>
      </c>
      <c r="K71" s="260">
        <f ca="1">IF(K$97,OFFSET(Financials!P220,0,$E$92),0)</f>
        <v>0</v>
      </c>
      <c r="L71" s="260">
        <f ca="1">IF(L$97,OFFSET(Financials!Q220,0,$E$92),0)</f>
        <v>0</v>
      </c>
      <c r="M71" s="260">
        <f ca="1">IF(M$97,OFFSET(Financials!R220,0,$E$92),0)</f>
        <v>0</v>
      </c>
      <c r="N71" s="260">
        <f ca="1">IF(N$97,OFFSET(Financials!S220,0,$E$92),0)</f>
        <v>0</v>
      </c>
      <c r="O71" s="260">
        <f ca="1">IF(O$97,OFFSET(Financials!T220,0,$E$92),0)</f>
        <v>0</v>
      </c>
      <c r="P71" s="260">
        <f ca="1">IF(P$97,OFFSET(Financials!U220,0,$E$92),0)</f>
        <v>0</v>
      </c>
      <c r="Q71" s="265">
        <f t="shared" ca="1" si="39"/>
        <v>0</v>
      </c>
      <c r="S71" s="333" t="str">
        <f t="shared" si="41"/>
        <v>Increase in Creditors</v>
      </c>
      <c r="T71" s="333"/>
      <c r="U71" s="333"/>
      <c r="V71" s="333"/>
      <c r="W71" s="260">
        <f t="shared" ca="1" si="42"/>
        <v>1696.757419354838</v>
      </c>
    </row>
    <row r="72" spans="2:34" ht="15" customHeight="1" x14ac:dyDescent="0.15">
      <c r="B72" s="56" t="s">
        <v>128</v>
      </c>
      <c r="E72" s="260">
        <f ca="1">IF(E$97,OFFSET(Financials!J224,0,$E$92),0)</f>
        <v>-43156.449339182793</v>
      </c>
      <c r="F72" s="260">
        <f ca="1">IF(F$97,OFFSET(Financials!K224,0,$E$92),0)</f>
        <v>-1220.7759794426665</v>
      </c>
      <c r="G72" s="260">
        <f ca="1">IF(G$97,OFFSET(Financials!L224,0,$E$92),0)</f>
        <v>43156.245489705027</v>
      </c>
      <c r="H72" s="260">
        <f ca="1">IF(H$97,OFFSET(Financials!M224,0,$E$92),0)</f>
        <v>-1225.0642964000008</v>
      </c>
      <c r="I72" s="260">
        <f ca="1">IF(I$97,OFFSET(Financials!N224,0,$E$92),0)</f>
        <v>-1207.501895162151</v>
      </c>
      <c r="J72" s="260">
        <f ca="1">IF(J$97,OFFSET(Financials!O224,0,$E$92),0)</f>
        <v>2436.2988117815071</v>
      </c>
      <c r="K72" s="260">
        <f ca="1">IF(K$97,OFFSET(Financials!P224,0,$E$92),0)</f>
        <v>-1363.1646860800001</v>
      </c>
      <c r="L72" s="260">
        <f ca="1">IF(L$97,OFFSET(Financials!Q224,0,$E$92),0)</f>
        <v>-1362.3672895750533</v>
      </c>
      <c r="M72" s="260">
        <f ca="1">IF(M$97,OFFSET(Financials!R224,0,$E$92),0)</f>
        <v>2575.4849893587952</v>
      </c>
      <c r="N72" s="260">
        <f ca="1">IF(N$97,OFFSET(Financials!S224,0,$E$92),0)</f>
        <v>-1380.7324942683872</v>
      </c>
      <c r="O72" s="260">
        <f ca="1">IF(O$97,OFFSET(Financials!T224,0,$E$92),0)</f>
        <v>-1347.8738346666669</v>
      </c>
      <c r="P72" s="260">
        <f ca="1">IF(P$97,OFFSET(Financials!U224,0,$E$92),0)</f>
        <v>2718.6371077913118</v>
      </c>
      <c r="Q72" s="265">
        <f t="shared" ca="1" si="39"/>
        <v>-1377.2634161410788</v>
      </c>
      <c r="S72" s="333" t="str">
        <f t="shared" si="41"/>
        <v>Increase in Inventory Payables</v>
      </c>
      <c r="T72" s="333"/>
      <c r="U72" s="333"/>
      <c r="V72" s="333"/>
      <c r="W72" s="260">
        <f t="shared" ca="1" si="42"/>
        <v>0</v>
      </c>
    </row>
    <row r="73" spans="2:34" ht="15" customHeight="1" x14ac:dyDescent="0.15">
      <c r="B73" s="56" t="s">
        <v>129</v>
      </c>
      <c r="E73" s="260">
        <f ca="1">IF(E$97,OFFSET(Financials!J233,0,$E$92),0)</f>
        <v>0</v>
      </c>
      <c r="F73" s="260">
        <f ca="1">IF(F$97,OFFSET(Financials!K233,0,$E$92),0)</f>
        <v>0</v>
      </c>
      <c r="G73" s="260">
        <f ca="1">IF(G$97,OFFSET(Financials!L233,0,$E$92),0)</f>
        <v>0</v>
      </c>
      <c r="H73" s="260">
        <f ca="1">IF(H$97,OFFSET(Financials!M233,0,$E$92),0)</f>
        <v>0</v>
      </c>
      <c r="I73" s="260">
        <f ca="1">IF(I$97,OFFSET(Financials!N233,0,$E$92),0)</f>
        <v>0</v>
      </c>
      <c r="J73" s="260">
        <f ca="1">IF(J$97,OFFSET(Financials!O233,0,$E$92),0)</f>
        <v>0</v>
      </c>
      <c r="K73" s="260">
        <f ca="1">IF(K$97,OFFSET(Financials!P233,0,$E$92),0)</f>
        <v>0</v>
      </c>
      <c r="L73" s="260">
        <f ca="1">IF(L$97,OFFSET(Financials!Q233,0,$E$92),0)</f>
        <v>0</v>
      </c>
      <c r="M73" s="260">
        <f ca="1">IF(M$97,OFFSET(Financials!R233,0,$E$92),0)</f>
        <v>0</v>
      </c>
      <c r="N73" s="260">
        <f ca="1">IF(N$97,OFFSET(Financials!S233,0,$E$92),0)</f>
        <v>0</v>
      </c>
      <c r="O73" s="260">
        <f ca="1">IF(O$97,OFFSET(Financials!T233,0,$E$92),0)</f>
        <v>0</v>
      </c>
      <c r="P73" s="260">
        <f ca="1">IF(P$97,OFFSET(Financials!U233,0,$E$92),0)</f>
        <v>0</v>
      </c>
      <c r="Q73" s="265">
        <f t="shared" ca="1" si="39"/>
        <v>0</v>
      </c>
      <c r="S73" s="333" t="str">
        <f t="shared" si="41"/>
        <v>Other Cash Payments</v>
      </c>
      <c r="T73" s="333"/>
      <c r="U73" s="333"/>
      <c r="V73" s="333"/>
      <c r="W73" s="260">
        <f t="shared" ca="1" si="42"/>
        <v>0</v>
      </c>
    </row>
    <row r="74" spans="2:34" ht="15" customHeight="1" x14ac:dyDescent="0.15">
      <c r="B74" s="56" t="s">
        <v>130</v>
      </c>
      <c r="E74" s="260">
        <f ca="1">IF(E$97,OFFSET(Financials!J235,0,$E$92),0)</f>
        <v>0</v>
      </c>
      <c r="F74" s="260">
        <f ca="1">IF(F$97,OFFSET(Financials!K235,0,$E$92),0)</f>
        <v>0</v>
      </c>
      <c r="G74" s="260">
        <f ca="1">IF(G$97,OFFSET(Financials!L235,0,$E$92),0)</f>
        <v>0</v>
      </c>
      <c r="H74" s="260">
        <f ca="1">IF(H$97,OFFSET(Financials!M235,0,$E$92),0)</f>
        <v>0</v>
      </c>
      <c r="I74" s="260">
        <f ca="1">IF(I$97,OFFSET(Financials!N235,0,$E$92),0)</f>
        <v>0</v>
      </c>
      <c r="J74" s="260">
        <f ca="1">IF(J$97,OFFSET(Financials!O235,0,$E$92),0)</f>
        <v>0</v>
      </c>
      <c r="K74" s="260">
        <f ca="1">IF(K$97,OFFSET(Financials!P235,0,$E$92),0)</f>
        <v>0</v>
      </c>
      <c r="L74" s="260">
        <f ca="1">IF(L$97,OFFSET(Financials!Q235,0,$E$92),0)</f>
        <v>0</v>
      </c>
      <c r="M74" s="260">
        <f ca="1">IF(M$97,OFFSET(Financials!R235,0,$E$92),0)</f>
        <v>0</v>
      </c>
      <c r="N74" s="260">
        <f ca="1">IF(N$97,OFFSET(Financials!S235,0,$E$92),0)</f>
        <v>0</v>
      </c>
      <c r="O74" s="260">
        <f ca="1">IF(O$97,OFFSET(Financials!T235,0,$E$92),0)</f>
        <v>0</v>
      </c>
      <c r="P74" s="260">
        <f ca="1">IF(P$97,OFFSET(Financials!U235,0,$E$92),0)</f>
        <v>0</v>
      </c>
      <c r="Q74" s="265">
        <f t="shared" ca="1" si="39"/>
        <v>0</v>
      </c>
      <c r="S74" s="333" t="str">
        <f t="shared" si="41"/>
        <v>Interest on Cash</v>
      </c>
      <c r="T74" s="333"/>
      <c r="U74" s="333"/>
      <c r="V74" s="333"/>
      <c r="W74" s="260">
        <f t="shared" ca="1" si="42"/>
        <v>0</v>
      </c>
    </row>
    <row r="75" spans="2:34" ht="15" customHeight="1" x14ac:dyDescent="0.15">
      <c r="B75" s="56" t="s">
        <v>131</v>
      </c>
      <c r="E75" s="264">
        <f t="shared" ref="E75:P75" ca="1" si="44">E76-E63-E70-SUM(E71:E74)</f>
        <v>0</v>
      </c>
      <c r="F75" s="264">
        <f t="shared" ca="1" si="44"/>
        <v>0</v>
      </c>
      <c r="G75" s="264">
        <f t="shared" ca="1" si="44"/>
        <v>0</v>
      </c>
      <c r="H75" s="264">
        <f t="shared" ca="1" si="44"/>
        <v>0</v>
      </c>
      <c r="I75" s="264">
        <f t="shared" ca="1" si="44"/>
        <v>0</v>
      </c>
      <c r="J75" s="264">
        <f t="shared" ca="1" si="44"/>
        <v>0</v>
      </c>
      <c r="K75" s="264">
        <f t="shared" ca="1" si="44"/>
        <v>0</v>
      </c>
      <c r="L75" s="264">
        <f t="shared" ca="1" si="44"/>
        <v>0</v>
      </c>
      <c r="M75" s="264">
        <f t="shared" ca="1" si="44"/>
        <v>0</v>
      </c>
      <c r="N75" s="264">
        <f t="shared" ca="1" si="44"/>
        <v>0</v>
      </c>
      <c r="O75" s="264">
        <f t="shared" ca="1" si="44"/>
        <v>1.8189894035458565E-12</v>
      </c>
      <c r="P75" s="264">
        <f t="shared" ca="1" si="44"/>
        <v>0</v>
      </c>
      <c r="Q75" s="265">
        <f t="shared" ca="1" si="39"/>
        <v>1.8189894035458565E-12</v>
      </c>
      <c r="S75" s="333" t="str">
        <f t="shared" si="41"/>
        <v>Increase in VAT Payable</v>
      </c>
      <c r="T75" s="333"/>
      <c r="U75" s="333"/>
      <c r="V75" s="333"/>
      <c r="W75" s="260">
        <f t="shared" ca="1" si="42"/>
        <v>-1377.2634161410788</v>
      </c>
    </row>
    <row r="76" spans="2:34" ht="15" customHeight="1" x14ac:dyDescent="0.15">
      <c r="B76" s="54" t="s">
        <v>132</v>
      </c>
      <c r="E76" s="263">
        <f ca="1">IF(E$97,OFFSET(Financials!J240,0,$E$92),0)</f>
        <v>-44839.13014950537</v>
      </c>
      <c r="F76" s="263">
        <f ca="1">IF(F$97,OFFSET(Financials!K240,0,$E$92),0)</f>
        <v>-11801.124452086973</v>
      </c>
      <c r="G76" s="263">
        <f ca="1">IF(G$97,OFFSET(Financials!L240,0,$E$92),0)</f>
        <v>49225.272093748041</v>
      </c>
      <c r="H76" s="263">
        <f ca="1">IF(H$97,OFFSET(Financials!M240,0,$E$92),0)</f>
        <v>5643.1918542666654</v>
      </c>
      <c r="I76" s="263">
        <f ca="1">IF(I$97,OFFSET(Financials!N240,0,$E$92),0)</f>
        <v>-21541.310924787958</v>
      </c>
      <c r="J76" s="263">
        <f ca="1">IF(J$97,OFFSET(Financials!O240,0,$E$92),0)</f>
        <v>8124.0366575019361</v>
      </c>
      <c r="K76" s="263">
        <f ca="1">IF(K$97,OFFSET(Financials!P240,0,$E$92),0)</f>
        <v>4012.5865466769901</v>
      </c>
      <c r="L76" s="263">
        <f ca="1">IF(L$97,OFFSET(Financials!Q240,0,$E$92),0)</f>
        <v>-20052.951431846024</v>
      </c>
      <c r="M76" s="263">
        <f ca="1">IF(M$97,OFFSET(Financials!R240,0,$E$92),0)</f>
        <v>6749.9205951772892</v>
      </c>
      <c r="N76" s="263">
        <f ca="1">IF(N$97,OFFSET(Financials!S240,0,$E$92),0)</f>
        <v>2953.1030368886022</v>
      </c>
      <c r="O76" s="263">
        <f ca="1">IF(O$97,OFFSET(Financials!T240,0,$E$92),0)</f>
        <v>-19850.481238537635</v>
      </c>
      <c r="P76" s="263">
        <f ca="1">IF(P$97,OFFSET(Financials!U240,0,$E$92),0)</f>
        <v>7102.9196392665808</v>
      </c>
      <c r="Q76" s="269">
        <f t="shared" ca="1" si="39"/>
        <v>-34273.967773237855</v>
      </c>
      <c r="S76" s="333" t="str">
        <f t="shared" si="41"/>
        <v>Interest Paid</v>
      </c>
      <c r="T76" s="333"/>
      <c r="U76" s="333"/>
      <c r="V76" s="333"/>
      <c r="W76" s="260">
        <f t="shared" ca="1" si="42"/>
        <v>0</v>
      </c>
    </row>
    <row r="77" spans="2:34" ht="15" customHeight="1" x14ac:dyDescent="0.15">
      <c r="B77" s="56" t="s">
        <v>133</v>
      </c>
      <c r="E77" s="260">
        <f ca="1">IF(E$97,OFFSET(Financials!J244,0,$E$92),0)</f>
        <v>-210000</v>
      </c>
      <c r="F77" s="260">
        <f ca="1">IF(F$97,OFFSET(Financials!K244,0,$E$92),0)</f>
        <v>0</v>
      </c>
      <c r="G77" s="260">
        <f ca="1">IF(G$97,OFFSET(Financials!L244,0,$E$92),0)</f>
        <v>0</v>
      </c>
      <c r="H77" s="260">
        <f ca="1">IF(H$97,OFFSET(Financials!M244,0,$E$92),0)</f>
        <v>0</v>
      </c>
      <c r="I77" s="260">
        <f ca="1">IF(I$97,OFFSET(Financials!N244,0,$E$92),0)</f>
        <v>0</v>
      </c>
      <c r="J77" s="260">
        <f ca="1">IF(J$97,OFFSET(Financials!O244,0,$E$92),0)</f>
        <v>0</v>
      </c>
      <c r="K77" s="260">
        <f ca="1">IF(K$97,OFFSET(Financials!P244,0,$E$92),0)</f>
        <v>0</v>
      </c>
      <c r="L77" s="260">
        <f ca="1">IF(L$97,OFFSET(Financials!Q244,0,$E$92),0)</f>
        <v>0</v>
      </c>
      <c r="M77" s="260">
        <f ca="1">IF(M$97,OFFSET(Financials!R244,0,$E$92),0)</f>
        <v>0</v>
      </c>
      <c r="N77" s="260">
        <f ca="1">IF(N$97,OFFSET(Financials!S244,0,$E$92),0)</f>
        <v>0</v>
      </c>
      <c r="O77" s="260">
        <f ca="1">IF(O$97,OFFSET(Financials!T244,0,$E$92),0)</f>
        <v>0</v>
      </c>
      <c r="P77" s="260">
        <f ca="1">IF(P$97,OFFSET(Financials!U244,0,$E$92),0)</f>
        <v>0</v>
      </c>
      <c r="Q77" s="265">
        <f t="shared" ca="1" si="39"/>
        <v>-210000</v>
      </c>
      <c r="S77" s="333" t="str">
        <f t="shared" si="41"/>
        <v>Corporate Tax Paid</v>
      </c>
      <c r="T77" s="333"/>
      <c r="U77" s="333"/>
      <c r="V77" s="333"/>
      <c r="W77" s="260">
        <f t="shared" ca="1" si="42"/>
        <v>0</v>
      </c>
    </row>
    <row r="78" spans="2:34" ht="15" customHeight="1" x14ac:dyDescent="0.15">
      <c r="B78" s="56" t="s">
        <v>134</v>
      </c>
      <c r="E78" s="264">
        <f t="shared" ref="E78:P78" ca="1" si="45">E79-E77</f>
        <v>0</v>
      </c>
      <c r="F78" s="264">
        <f t="shared" ca="1" si="45"/>
        <v>0</v>
      </c>
      <c r="G78" s="264">
        <f t="shared" ca="1" si="45"/>
        <v>0</v>
      </c>
      <c r="H78" s="264">
        <f t="shared" ca="1" si="45"/>
        <v>0</v>
      </c>
      <c r="I78" s="264">
        <f t="shared" ca="1" si="45"/>
        <v>0</v>
      </c>
      <c r="J78" s="264">
        <f t="shared" ca="1" si="45"/>
        <v>0</v>
      </c>
      <c r="K78" s="264">
        <f t="shared" ca="1" si="45"/>
        <v>0</v>
      </c>
      <c r="L78" s="264">
        <f t="shared" ca="1" si="45"/>
        <v>0</v>
      </c>
      <c r="M78" s="264">
        <f t="shared" ca="1" si="45"/>
        <v>0</v>
      </c>
      <c r="N78" s="264">
        <f t="shared" ca="1" si="45"/>
        <v>0</v>
      </c>
      <c r="O78" s="264">
        <f t="shared" ca="1" si="45"/>
        <v>0</v>
      </c>
      <c r="P78" s="264">
        <f t="shared" ca="1" si="45"/>
        <v>0</v>
      </c>
      <c r="Q78" s="265">
        <f t="shared" ca="1" si="39"/>
        <v>0</v>
      </c>
      <c r="S78" s="330" t="str">
        <f t="shared" si="41"/>
        <v>Other Operating Cash Flows</v>
      </c>
      <c r="T78" s="330"/>
      <c r="U78" s="330"/>
      <c r="V78" s="330"/>
      <c r="W78" s="260">
        <f t="shared" ca="1" si="42"/>
        <v>1.8189894035458565E-12</v>
      </c>
      <c r="X78" s="99"/>
      <c r="Y78" s="99"/>
      <c r="Z78" s="99"/>
      <c r="AA78" s="99"/>
      <c r="AB78" s="99"/>
      <c r="AC78" s="99"/>
    </row>
    <row r="79" spans="2:34" ht="15" customHeight="1" x14ac:dyDescent="0.15">
      <c r="B79" s="54" t="s">
        <v>135</v>
      </c>
      <c r="E79" s="263">
        <f ca="1">IF(E$97,OFFSET(Financials!J249,0,$E$92),0)</f>
        <v>-210000</v>
      </c>
      <c r="F79" s="263">
        <f ca="1">IF(F$97,OFFSET(Financials!K249,0,$E$92),0)</f>
        <v>0</v>
      </c>
      <c r="G79" s="263">
        <f ca="1">IF(G$97,OFFSET(Financials!L249,0,$E$92),0)</f>
        <v>0</v>
      </c>
      <c r="H79" s="263">
        <f ca="1">IF(H$97,OFFSET(Financials!M249,0,$E$92),0)</f>
        <v>0</v>
      </c>
      <c r="I79" s="263">
        <f ca="1">IF(I$97,OFFSET(Financials!N249,0,$E$92),0)</f>
        <v>0</v>
      </c>
      <c r="J79" s="263">
        <f ca="1">IF(J$97,OFFSET(Financials!O249,0,$E$92),0)</f>
        <v>0</v>
      </c>
      <c r="K79" s="263">
        <f ca="1">IF(K$97,OFFSET(Financials!P249,0,$E$92),0)</f>
        <v>0</v>
      </c>
      <c r="L79" s="263">
        <f ca="1">IF(L$97,OFFSET(Financials!Q249,0,$E$92),0)</f>
        <v>0</v>
      </c>
      <c r="M79" s="263">
        <f ca="1">IF(M$97,OFFSET(Financials!R249,0,$E$92),0)</f>
        <v>0</v>
      </c>
      <c r="N79" s="263">
        <f ca="1">IF(N$97,OFFSET(Financials!S249,0,$E$92),0)</f>
        <v>0</v>
      </c>
      <c r="O79" s="263">
        <f ca="1">IF(O$97,OFFSET(Financials!T249,0,$E$92),0)</f>
        <v>0</v>
      </c>
      <c r="P79" s="263">
        <f ca="1">IF(P$97,OFFSET(Financials!U249,0,$E$92),0)</f>
        <v>0</v>
      </c>
      <c r="Q79" s="269">
        <f t="shared" ca="1" si="39"/>
        <v>-210000</v>
      </c>
      <c r="S79" s="331" t="str">
        <f t="shared" si="41"/>
        <v>Fixed Assets Capital Expenditure</v>
      </c>
      <c r="T79" s="331"/>
      <c r="U79" s="331"/>
      <c r="V79" s="331"/>
      <c r="W79" s="276">
        <f t="shared" ca="1" si="42"/>
        <v>-210000</v>
      </c>
    </row>
    <row r="80" spans="2:34" ht="15" customHeight="1" x14ac:dyDescent="0.15">
      <c r="B80" s="56" t="s">
        <v>136</v>
      </c>
      <c r="E80" s="260">
        <f ca="1">IF(E$97,OFFSET(Financials!J253,0,$E$92),0)</f>
        <v>300000</v>
      </c>
      <c r="F80" s="260">
        <f ca="1">IF(F$97,OFFSET(Financials!K253,0,$E$92),0)</f>
        <v>0</v>
      </c>
      <c r="G80" s="260">
        <f ca="1">IF(G$97,OFFSET(Financials!L253,0,$E$92),0)</f>
        <v>0</v>
      </c>
      <c r="H80" s="260">
        <f ca="1">IF(H$97,OFFSET(Financials!M253,0,$E$92),0)</f>
        <v>0</v>
      </c>
      <c r="I80" s="260">
        <f ca="1">IF(I$97,OFFSET(Financials!N253,0,$E$92),0)</f>
        <v>0</v>
      </c>
      <c r="J80" s="260">
        <f ca="1">IF(J$97,OFFSET(Financials!O253,0,$E$92),0)</f>
        <v>0</v>
      </c>
      <c r="K80" s="260">
        <f ca="1">IF(K$97,OFFSET(Financials!P253,0,$E$92),0)</f>
        <v>0</v>
      </c>
      <c r="L80" s="260">
        <f ca="1">IF(L$97,OFFSET(Financials!Q253,0,$E$92),0)</f>
        <v>0</v>
      </c>
      <c r="M80" s="260">
        <f ca="1">IF(M$97,OFFSET(Financials!R253,0,$E$92),0)</f>
        <v>0</v>
      </c>
      <c r="N80" s="260">
        <f ca="1">IF(N$97,OFFSET(Financials!S253,0,$E$92),0)</f>
        <v>0</v>
      </c>
      <c r="O80" s="260">
        <f ca="1">IF(O$97,OFFSET(Financials!T253,0,$E$92),0)</f>
        <v>0</v>
      </c>
      <c r="P80" s="260">
        <f ca="1">IF(P$97,OFFSET(Financials!U253,0,$E$92),0)</f>
        <v>0</v>
      </c>
      <c r="Q80" s="265">
        <f t="shared" ca="1" si="39"/>
        <v>300000</v>
      </c>
      <c r="S80" s="330" t="str">
        <f t="shared" si="41"/>
        <v>Other Investing Cash Flows</v>
      </c>
      <c r="T80" s="330"/>
      <c r="U80" s="330"/>
      <c r="V80" s="330"/>
      <c r="W80" s="260">
        <f t="shared" ca="1" si="42"/>
        <v>0</v>
      </c>
      <c r="X80" s="99"/>
      <c r="Y80" s="99"/>
      <c r="Z80" s="99"/>
      <c r="AA80" s="99"/>
      <c r="AB80" s="99"/>
      <c r="AC80" s="99"/>
    </row>
    <row r="81" spans="2:34" ht="15" customHeight="1" x14ac:dyDescent="0.15">
      <c r="B81" s="56" t="s">
        <v>137</v>
      </c>
      <c r="E81" s="260">
        <f ca="1">IF(E$97,OFFSET(Financials!J257,0,$E$92),0)</f>
        <v>0</v>
      </c>
      <c r="F81" s="260">
        <f ca="1">IF(F$97,OFFSET(Financials!K257,0,$E$92),0)</f>
        <v>0</v>
      </c>
      <c r="G81" s="260">
        <f ca="1">IF(G$97,OFFSET(Financials!L257,0,$E$92),0)</f>
        <v>0</v>
      </c>
      <c r="H81" s="260">
        <f ca="1">IF(H$97,OFFSET(Financials!M257,0,$E$92),0)</f>
        <v>0</v>
      </c>
      <c r="I81" s="260">
        <f ca="1">IF(I$97,OFFSET(Financials!N257,0,$E$92),0)</f>
        <v>0</v>
      </c>
      <c r="J81" s="260">
        <f ca="1">IF(J$97,OFFSET(Financials!O257,0,$E$92),0)</f>
        <v>0</v>
      </c>
      <c r="K81" s="260">
        <f ca="1">IF(K$97,OFFSET(Financials!P257,0,$E$92),0)</f>
        <v>0</v>
      </c>
      <c r="L81" s="260">
        <f ca="1">IF(L$97,OFFSET(Financials!Q257,0,$E$92),0)</f>
        <v>0</v>
      </c>
      <c r="M81" s="260">
        <f ca="1">IF(M$97,OFFSET(Financials!R257,0,$E$92),0)</f>
        <v>0</v>
      </c>
      <c r="N81" s="260">
        <f ca="1">IF(N$97,OFFSET(Financials!S257,0,$E$92),0)</f>
        <v>0</v>
      </c>
      <c r="O81" s="260">
        <f ca="1">IF(O$97,OFFSET(Financials!T257,0,$E$92),0)</f>
        <v>0</v>
      </c>
      <c r="P81" s="260">
        <f ca="1">IF(P$97,OFFSET(Financials!U257,0,$E$92),0)</f>
        <v>0</v>
      </c>
      <c r="Q81" s="265">
        <f t="shared" ca="1" si="39"/>
        <v>0</v>
      </c>
      <c r="S81" s="331" t="str">
        <f t="shared" si="41"/>
        <v>Debt Drawdowns</v>
      </c>
      <c r="T81" s="331"/>
      <c r="U81" s="331"/>
      <c r="V81" s="331"/>
      <c r="W81" s="276">
        <f t="shared" ca="1" si="42"/>
        <v>300000</v>
      </c>
      <c r="AD81" s="332" t="s">
        <v>138</v>
      </c>
      <c r="AE81" s="332"/>
      <c r="AF81" s="332"/>
      <c r="AG81" s="332"/>
      <c r="AH81" s="332"/>
    </row>
    <row r="82" spans="2:34" ht="15" customHeight="1" x14ac:dyDescent="0.15">
      <c r="B82" s="56" t="s">
        <v>139</v>
      </c>
      <c r="E82" s="260">
        <f ca="1">IF(E$97,OFFSET(Financials!J259,0,$E$92),0)</f>
        <v>0</v>
      </c>
      <c r="F82" s="260">
        <f ca="1">IF(F$97,OFFSET(Financials!K259,0,$E$92),0)</f>
        <v>0</v>
      </c>
      <c r="G82" s="260">
        <f ca="1">IF(G$97,OFFSET(Financials!L259,0,$E$92),0)</f>
        <v>0</v>
      </c>
      <c r="H82" s="260">
        <f ca="1">IF(H$97,OFFSET(Financials!M259,0,$E$92),0)</f>
        <v>0</v>
      </c>
      <c r="I82" s="260">
        <f ca="1">IF(I$97,OFFSET(Financials!N259,0,$E$92),0)</f>
        <v>0</v>
      </c>
      <c r="J82" s="260">
        <f ca="1">IF(J$97,OFFSET(Financials!O259,0,$E$92),0)</f>
        <v>0</v>
      </c>
      <c r="K82" s="260">
        <f ca="1">IF(K$97,OFFSET(Financials!P259,0,$E$92),0)</f>
        <v>0</v>
      </c>
      <c r="L82" s="260">
        <f ca="1">IF(L$97,OFFSET(Financials!Q259,0,$E$92),0)</f>
        <v>0</v>
      </c>
      <c r="M82" s="260">
        <f ca="1">IF(M$97,OFFSET(Financials!R259,0,$E$92),0)</f>
        <v>0</v>
      </c>
      <c r="N82" s="260">
        <f ca="1">IF(N$97,OFFSET(Financials!S259,0,$E$92),0)</f>
        <v>0</v>
      </c>
      <c r="O82" s="260">
        <f ca="1">IF(O$97,OFFSET(Financials!T259,0,$E$92),0)</f>
        <v>0</v>
      </c>
      <c r="P82" s="260">
        <f ca="1">IF(P$97,OFFSET(Financials!U259,0,$E$92),0)</f>
        <v>0</v>
      </c>
      <c r="Q82" s="265">
        <f t="shared" ca="1" si="39"/>
        <v>0</v>
      </c>
      <c r="S82" s="333" t="str">
        <f t="shared" si="41"/>
        <v>Debt Repayments</v>
      </c>
      <c r="T82" s="333"/>
      <c r="U82" s="333"/>
      <c r="V82" s="333"/>
      <c r="W82" s="260">
        <f t="shared" ca="1" si="42"/>
        <v>0</v>
      </c>
    </row>
    <row r="83" spans="2:34" ht="15" customHeight="1" x14ac:dyDescent="0.15">
      <c r="B83" s="56" t="s">
        <v>140</v>
      </c>
      <c r="E83" s="260">
        <f ca="1">IF(E$97,OFFSET(Financials!J261,0,$E$92),0)</f>
        <v>0</v>
      </c>
      <c r="F83" s="260">
        <f ca="1">IF(F$97,OFFSET(Financials!K261,0,$E$92),0)</f>
        <v>0</v>
      </c>
      <c r="G83" s="260">
        <f ca="1">IF(G$97,OFFSET(Financials!L261,0,$E$92),0)</f>
        <v>0</v>
      </c>
      <c r="H83" s="260">
        <f ca="1">IF(H$97,OFFSET(Financials!M261,0,$E$92),0)</f>
        <v>0</v>
      </c>
      <c r="I83" s="260">
        <f ca="1">IF(I$97,OFFSET(Financials!N261,0,$E$92),0)</f>
        <v>0</v>
      </c>
      <c r="J83" s="260">
        <f ca="1">IF(J$97,OFFSET(Financials!O261,0,$E$92),0)</f>
        <v>0</v>
      </c>
      <c r="K83" s="260">
        <f ca="1">IF(K$97,OFFSET(Financials!P261,0,$E$92),0)</f>
        <v>0</v>
      </c>
      <c r="L83" s="260">
        <f ca="1">IF(L$97,OFFSET(Financials!Q261,0,$E$92),0)</f>
        <v>0</v>
      </c>
      <c r="M83" s="260">
        <f ca="1">IF(M$97,OFFSET(Financials!R261,0,$E$92),0)</f>
        <v>0</v>
      </c>
      <c r="N83" s="260">
        <f ca="1">IF(N$97,OFFSET(Financials!S261,0,$E$92),0)</f>
        <v>0</v>
      </c>
      <c r="O83" s="260">
        <f ca="1">IF(O$97,OFFSET(Financials!T261,0,$E$92),0)</f>
        <v>0</v>
      </c>
      <c r="P83" s="260">
        <f ca="1">IF(P$97,OFFSET(Financials!U261,0,$E$92),0)</f>
        <v>0</v>
      </c>
      <c r="Q83" s="265">
        <f t="shared" ca="1" si="39"/>
        <v>0</v>
      </c>
      <c r="S83" s="333" t="str">
        <f t="shared" si="41"/>
        <v>Ordinary Equity Raisings</v>
      </c>
      <c r="T83" s="333"/>
      <c r="U83" s="333"/>
      <c r="V83" s="333"/>
      <c r="W83" s="260">
        <f t="shared" ca="1" si="42"/>
        <v>0</v>
      </c>
    </row>
    <row r="84" spans="2:34" ht="15" customHeight="1" x14ac:dyDescent="0.15">
      <c r="B84" s="56" t="s">
        <v>141</v>
      </c>
      <c r="E84" s="260">
        <f ca="1">IF(E$97,OFFSET(Financials!J263,0,$E$92),0)</f>
        <v>0</v>
      </c>
      <c r="F84" s="260">
        <f ca="1">IF(F$97,OFFSET(Financials!K263,0,$E$92),0)</f>
        <v>0</v>
      </c>
      <c r="G84" s="260">
        <f ca="1">IF(G$97,OFFSET(Financials!L263,0,$E$92),0)</f>
        <v>0</v>
      </c>
      <c r="H84" s="260">
        <f ca="1">IF(H$97,OFFSET(Financials!M263,0,$E$92),0)</f>
        <v>0</v>
      </c>
      <c r="I84" s="260">
        <f ca="1">IF(I$97,OFFSET(Financials!N263,0,$E$92),0)</f>
        <v>0</v>
      </c>
      <c r="J84" s="260">
        <f ca="1">IF(J$97,OFFSET(Financials!O263,0,$E$92),0)</f>
        <v>0</v>
      </c>
      <c r="K84" s="260">
        <f ca="1">IF(K$97,OFFSET(Financials!P263,0,$E$92),0)</f>
        <v>0</v>
      </c>
      <c r="L84" s="260">
        <f ca="1">IF(L$97,OFFSET(Financials!Q263,0,$E$92),0)</f>
        <v>0</v>
      </c>
      <c r="M84" s="260">
        <f ca="1">IF(M$97,OFFSET(Financials!R263,0,$E$92),0)</f>
        <v>0</v>
      </c>
      <c r="N84" s="260">
        <f ca="1">IF(N$97,OFFSET(Financials!S263,0,$E$92),0)</f>
        <v>0</v>
      </c>
      <c r="O84" s="260">
        <f ca="1">IF(O$97,OFFSET(Financials!T263,0,$E$92),0)</f>
        <v>0</v>
      </c>
      <c r="P84" s="260">
        <f ca="1">IF(P$97,OFFSET(Financials!U263,0,$E$92),0)</f>
        <v>0</v>
      </c>
      <c r="Q84" s="265">
        <f t="shared" ca="1" si="39"/>
        <v>0</v>
      </c>
      <c r="S84" s="333" t="str">
        <f t="shared" si="41"/>
        <v>Ordinary Equity Buybacks</v>
      </c>
      <c r="T84" s="333"/>
      <c r="U84" s="333"/>
      <c r="V84" s="333"/>
      <c r="W84" s="260">
        <f t="shared" ca="1" si="42"/>
        <v>0</v>
      </c>
      <c r="AD84" s="59" t="str">
        <f>B224</f>
        <v>Operating Cash Flow</v>
      </c>
    </row>
    <row r="85" spans="2:34" ht="15" customHeight="1" x14ac:dyDescent="0.15">
      <c r="B85" s="56" t="s">
        <v>142</v>
      </c>
      <c r="E85" s="264">
        <f t="shared" ref="E85:P85" ca="1" si="46">E86-SUM(E80:E84)</f>
        <v>0</v>
      </c>
      <c r="F85" s="264">
        <f t="shared" ca="1" si="46"/>
        <v>0</v>
      </c>
      <c r="G85" s="264">
        <f t="shared" ca="1" si="46"/>
        <v>0</v>
      </c>
      <c r="H85" s="264">
        <f t="shared" ca="1" si="46"/>
        <v>0</v>
      </c>
      <c r="I85" s="264">
        <f t="shared" ca="1" si="46"/>
        <v>0</v>
      </c>
      <c r="J85" s="264">
        <f t="shared" ca="1" si="46"/>
        <v>0</v>
      </c>
      <c r="K85" s="264">
        <f t="shared" ca="1" si="46"/>
        <v>0</v>
      </c>
      <c r="L85" s="264">
        <f t="shared" ca="1" si="46"/>
        <v>0</v>
      </c>
      <c r="M85" s="264">
        <f t="shared" ca="1" si="46"/>
        <v>0</v>
      </c>
      <c r="N85" s="264">
        <f t="shared" ca="1" si="46"/>
        <v>0</v>
      </c>
      <c r="O85" s="264">
        <f t="shared" ca="1" si="46"/>
        <v>0</v>
      </c>
      <c r="P85" s="264">
        <f t="shared" ca="1" si="46"/>
        <v>0</v>
      </c>
      <c r="Q85" s="265">
        <f t="shared" ca="1" si="39"/>
        <v>0</v>
      </c>
      <c r="S85" s="333" t="str">
        <f t="shared" si="41"/>
        <v>Ordinary Equity Dividends Paid</v>
      </c>
      <c r="T85" s="333"/>
      <c r="U85" s="333"/>
      <c r="V85" s="333"/>
      <c r="W85" s="260">
        <f t="shared" ca="1" si="42"/>
        <v>0</v>
      </c>
      <c r="AD85" s="59" t="str">
        <f>B225</f>
        <v>Investing Cash Flow</v>
      </c>
    </row>
    <row r="86" spans="2:34" ht="15" customHeight="1" x14ac:dyDescent="0.15">
      <c r="B86" s="54" t="s">
        <v>143</v>
      </c>
      <c r="E86" s="263">
        <f ca="1">IF(E$97,OFFSET(Financials!J269,0,$E$92),0)</f>
        <v>300000</v>
      </c>
      <c r="F86" s="263">
        <f ca="1">IF(F$97,OFFSET(Financials!K269,0,$E$92),0)</f>
        <v>0</v>
      </c>
      <c r="G86" s="263">
        <f ca="1">IF(G$97,OFFSET(Financials!L269,0,$E$92),0)</f>
        <v>0</v>
      </c>
      <c r="H86" s="263">
        <f ca="1">IF(H$97,OFFSET(Financials!M269,0,$E$92),0)</f>
        <v>0</v>
      </c>
      <c r="I86" s="263">
        <f ca="1">IF(I$97,OFFSET(Financials!N269,0,$E$92),0)</f>
        <v>0</v>
      </c>
      <c r="J86" s="263">
        <f ca="1">IF(J$97,OFFSET(Financials!O269,0,$E$92),0)</f>
        <v>0</v>
      </c>
      <c r="K86" s="263">
        <f ca="1">IF(K$97,OFFSET(Financials!P269,0,$E$92),0)</f>
        <v>0</v>
      </c>
      <c r="L86" s="263">
        <f ca="1">IF(L$97,OFFSET(Financials!Q269,0,$E$92),0)</f>
        <v>0</v>
      </c>
      <c r="M86" s="263">
        <f ca="1">IF(M$97,OFFSET(Financials!R269,0,$E$92),0)</f>
        <v>0</v>
      </c>
      <c r="N86" s="263">
        <f ca="1">IF(N$97,OFFSET(Financials!S269,0,$E$92),0)</f>
        <v>0</v>
      </c>
      <c r="O86" s="263">
        <f ca="1">IF(O$97,OFFSET(Financials!T269,0,$E$92),0)</f>
        <v>0</v>
      </c>
      <c r="P86" s="263">
        <f ca="1">IF(P$97,OFFSET(Financials!U269,0,$E$92),0)</f>
        <v>0</v>
      </c>
      <c r="Q86" s="269">
        <f t="shared" ca="1" si="39"/>
        <v>300000</v>
      </c>
      <c r="S86" s="330" t="str">
        <f t="shared" si="41"/>
        <v>Other Financing Cash Flows</v>
      </c>
      <c r="T86" s="330"/>
      <c r="U86" s="330"/>
      <c r="V86" s="330"/>
      <c r="W86" s="260">
        <f t="shared" ca="1" si="42"/>
        <v>0</v>
      </c>
      <c r="AD86" s="59" t="str">
        <f>B226</f>
        <v>Financing Cash Flow</v>
      </c>
    </row>
    <row r="87" spans="2:34" ht="15" customHeight="1" thickBot="1" x14ac:dyDescent="0.2">
      <c r="B87" s="54" t="s">
        <v>144</v>
      </c>
      <c r="E87" s="271">
        <f t="shared" ref="E87:P87" ca="1" si="47">E76+E79+E86</f>
        <v>45160.869850494637</v>
      </c>
      <c r="F87" s="271">
        <f t="shared" ca="1" si="47"/>
        <v>-11801.124452086973</v>
      </c>
      <c r="G87" s="271">
        <f t="shared" ca="1" si="47"/>
        <v>49225.272093748041</v>
      </c>
      <c r="H87" s="271">
        <f t="shared" ca="1" si="47"/>
        <v>5643.1918542666654</v>
      </c>
      <c r="I87" s="271">
        <f t="shared" ca="1" si="47"/>
        <v>-21541.310924787958</v>
      </c>
      <c r="J87" s="271">
        <f t="shared" ca="1" si="47"/>
        <v>8124.0366575019361</v>
      </c>
      <c r="K87" s="271">
        <f t="shared" ca="1" si="47"/>
        <v>4012.5865466769901</v>
      </c>
      <c r="L87" s="271">
        <f t="shared" ca="1" si="47"/>
        <v>-20052.951431846024</v>
      </c>
      <c r="M87" s="271">
        <f t="shared" ca="1" si="47"/>
        <v>6749.9205951772892</v>
      </c>
      <c r="N87" s="271">
        <f t="shared" ca="1" si="47"/>
        <v>2953.1030368886022</v>
      </c>
      <c r="O87" s="271">
        <f t="shared" ca="1" si="47"/>
        <v>-19850.481238537635</v>
      </c>
      <c r="P87" s="271">
        <f t="shared" ca="1" si="47"/>
        <v>7102.9196392665808</v>
      </c>
      <c r="Q87" s="272">
        <f t="shared" ca="1" si="39"/>
        <v>55726.032226762138</v>
      </c>
      <c r="S87" s="334" t="str">
        <f>IF(B195,"Cash at End","Net Cash Flow")</f>
        <v>Cash at End</v>
      </c>
      <c r="T87" s="334"/>
      <c r="U87" s="334"/>
      <c r="V87" s="334"/>
      <c r="W87" s="277">
        <f ca="1">SUM(W64:W86)</f>
        <v>66932.032226762152</v>
      </c>
      <c r="X87" s="98"/>
      <c r="Y87" s="98"/>
      <c r="Z87" s="98"/>
      <c r="AA87" s="98"/>
      <c r="AB87" s="98"/>
      <c r="AC87" s="98"/>
      <c r="AD87" s="59" t="str">
        <f>B227</f>
        <v>Net Cash Flow</v>
      </c>
    </row>
    <row r="88" spans="2:34" ht="13" thickTop="1" x14ac:dyDescent="0.15"/>
    <row r="89" spans="2:34" x14ac:dyDescent="0.15">
      <c r="B89" s="1" t="s">
        <v>145</v>
      </c>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1" spans="2:34" ht="15.75" customHeight="1" x14ac:dyDescent="0.15">
      <c r="B91" s="107" t="s">
        <v>146</v>
      </c>
      <c r="E91" s="4">
        <v>1</v>
      </c>
    </row>
    <row r="92" spans="2:34" x14ac:dyDescent="0.15">
      <c r="B92" s="107" t="s">
        <v>147</v>
      </c>
      <c r="E92" s="17">
        <f>DD_Fs_Sum_First_Disp_Per-1</f>
        <v>0</v>
      </c>
    </row>
    <row r="93" spans="2:34" x14ac:dyDescent="0.15">
      <c r="B93" s="107" t="s">
        <v>148</v>
      </c>
      <c r="E93" s="107" t="str">
        <f>IF(AND(COLUMNS($E96:$P96)=Ts_Mths_In_Yr,MONTH($P96)=DD_Ts_Fin_Yr_End_Mth),"FY"&amp;YEAR($P96),COLUMNS($E96:$P96)&amp;" Months to "&amp;TEXT($P96,"mmmm yyyy"))</f>
        <v>FY2024</v>
      </c>
    </row>
    <row r="94" spans="2:34" ht="6" customHeight="1" x14ac:dyDescent="0.15"/>
    <row r="95" spans="2:34" x14ac:dyDescent="0.15">
      <c r="B95" s="16" t="s">
        <v>149</v>
      </c>
      <c r="E95" s="62" t="str">
        <f t="shared" ref="E95:P95" si="48">TEXT(E96,"mmm-yy")</f>
        <v>Aug-23</v>
      </c>
      <c r="F95" s="62" t="str">
        <f t="shared" si="48"/>
        <v>Sep-23</v>
      </c>
      <c r="G95" s="62" t="str">
        <f t="shared" si="48"/>
        <v>Oct-23</v>
      </c>
      <c r="H95" s="62" t="str">
        <f t="shared" si="48"/>
        <v>Nov-23</v>
      </c>
      <c r="I95" s="62" t="str">
        <f t="shared" si="48"/>
        <v>Dec-23</v>
      </c>
      <c r="J95" s="62" t="str">
        <f t="shared" si="48"/>
        <v>Jan-24</v>
      </c>
      <c r="K95" s="62" t="str">
        <f t="shared" si="48"/>
        <v>Feb-24</v>
      </c>
      <c r="L95" s="62" t="str">
        <f t="shared" si="48"/>
        <v>Mar-24</v>
      </c>
      <c r="M95" s="62" t="str">
        <f t="shared" si="48"/>
        <v>Apr-24</v>
      </c>
      <c r="N95" s="62" t="str">
        <f t="shared" si="48"/>
        <v>May-24</v>
      </c>
      <c r="O95" s="62" t="str">
        <f t="shared" si="48"/>
        <v>Jun-24</v>
      </c>
      <c r="P95" s="62" t="str">
        <f t="shared" si="48"/>
        <v>Jul-24</v>
      </c>
    </row>
    <row r="96" spans="2:34" x14ac:dyDescent="0.15">
      <c r="B96" s="107" t="s">
        <v>150</v>
      </c>
      <c r="E96" s="60">
        <f>EDATE(Ts_Start_Date,COLUMNS($E96:E96)+$E92)-1</f>
        <v>45169</v>
      </c>
      <c r="F96" s="60">
        <f>EDATE(Ts_Start_Date,COLUMNS($E96:F96)+$E92)-1</f>
        <v>45199</v>
      </c>
      <c r="G96" s="60">
        <f>EDATE(Ts_Start_Date,COLUMNS($E96:G96)+$E92)-1</f>
        <v>45230</v>
      </c>
      <c r="H96" s="60">
        <f>EDATE(Ts_Start_Date,COLUMNS($E96:H96)+$E92)-1</f>
        <v>45260</v>
      </c>
      <c r="I96" s="60">
        <f>EDATE(Ts_Start_Date,COLUMNS($E96:I96)+$E92)-1</f>
        <v>45291</v>
      </c>
      <c r="J96" s="60">
        <f>EDATE(Ts_Start_Date,COLUMNS($E96:J96)+$E92)-1</f>
        <v>45322</v>
      </c>
      <c r="K96" s="60">
        <f>EDATE(Ts_Start_Date,COLUMNS($E96:K96)+$E92)-1</f>
        <v>45351</v>
      </c>
      <c r="L96" s="60">
        <f>EDATE(Ts_Start_Date,COLUMNS($E96:L96)+$E92)-1</f>
        <v>45382</v>
      </c>
      <c r="M96" s="60">
        <f>EDATE(Ts_Start_Date,COLUMNS($E96:M96)+$E92)-1</f>
        <v>45412</v>
      </c>
      <c r="N96" s="60">
        <f>EDATE(Ts_Start_Date,COLUMNS($E96:N96)+$E92)-1</f>
        <v>45443</v>
      </c>
      <c r="O96" s="60">
        <f>EDATE(Ts_Start_Date,COLUMNS($E96:O96)+$E92)-1</f>
        <v>45473</v>
      </c>
      <c r="P96" s="60">
        <f>EDATE(Ts_Start_Date,COLUMNS($E96:P96)+$E92)-1</f>
        <v>45504</v>
      </c>
    </row>
    <row r="97" spans="2:34" x14ac:dyDescent="0.15">
      <c r="B97" s="175" t="s">
        <v>151</v>
      </c>
      <c r="E97" s="61" t="b">
        <f>IF(COLUMNS($E97:E97)+$E92&gt;0,IF(COLUMNS($E97:E97)+$E92&lt;=Ts_Term,TRUE,FALSE),FALSE)</f>
        <v>1</v>
      </c>
      <c r="F97" s="61" t="b">
        <f>IF(COLUMNS($E97:F97)+$E92&gt;0,IF(COLUMNS($E97:F97)+$E92&lt;=Ts_Term,TRUE,FALSE),FALSE)</f>
        <v>1</v>
      </c>
      <c r="G97" s="61" t="b">
        <f>IF(COLUMNS($E97:G97)+$E92&gt;0,IF(COLUMNS($E97:G97)+$E92&lt;=Ts_Term,TRUE,FALSE),FALSE)</f>
        <v>1</v>
      </c>
      <c r="H97" s="61" t="b">
        <f>IF(COLUMNS($E97:H97)+$E92&gt;0,IF(COLUMNS($E97:H97)+$E92&lt;=Ts_Term,TRUE,FALSE),FALSE)</f>
        <v>1</v>
      </c>
      <c r="I97" s="61" t="b">
        <f>IF(COLUMNS($E97:I97)+$E92&gt;0,IF(COLUMNS($E97:I97)+$E92&lt;=Ts_Term,TRUE,FALSE),FALSE)</f>
        <v>1</v>
      </c>
      <c r="J97" s="61" t="b">
        <f>IF(COLUMNS($E97:J97)+$E92&gt;0,IF(COLUMNS($E97:J97)+$E92&lt;=Ts_Term,TRUE,FALSE),FALSE)</f>
        <v>1</v>
      </c>
      <c r="K97" s="61" t="b">
        <f>IF(COLUMNS($E97:K97)+$E92&gt;0,IF(COLUMNS($E97:K97)+$E92&lt;=Ts_Term,TRUE,FALSE),FALSE)</f>
        <v>1</v>
      </c>
      <c r="L97" s="61" t="b">
        <f>IF(COLUMNS($E97:L97)+$E92&gt;0,IF(COLUMNS($E97:L97)+$E92&lt;=Ts_Term,TRUE,FALSE),FALSE)</f>
        <v>1</v>
      </c>
      <c r="M97" s="61" t="b">
        <f>IF(COLUMNS($E97:M97)+$E92&gt;0,IF(COLUMNS($E97:M97)+$E92&lt;=Ts_Term,TRUE,FALSE),FALSE)</f>
        <v>1</v>
      </c>
      <c r="N97" s="61" t="b">
        <f>IF(COLUMNS($E97:N97)+$E92&gt;0,IF(COLUMNS($E97:N97)+$E92&lt;=Ts_Term,TRUE,FALSE),FALSE)</f>
        <v>1</v>
      </c>
      <c r="O97" s="61" t="b">
        <f>IF(COLUMNS($E97:O97)+$E92&gt;0,IF(COLUMNS($E97:O97)+$E92&lt;=Ts_Term,TRUE,FALSE),FALSE)</f>
        <v>1</v>
      </c>
      <c r="P97" s="61" t="b">
        <f>IF(COLUMNS($E97:P97)+$E92&gt;0,IF(COLUMNS($E97:P97)+$E92&lt;=Ts_Term,TRUE,FALSE),FALSE)</f>
        <v>1</v>
      </c>
    </row>
    <row r="99" spans="2:34" x14ac:dyDescent="0.15">
      <c r="B99" s="108" t="s">
        <v>152</v>
      </c>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row>
    <row r="101" spans="2:34" ht="26" x14ac:dyDescent="0.15">
      <c r="B101" s="16" t="str">
        <f>B95</f>
        <v>Month Ending</v>
      </c>
      <c r="E101" s="178" t="str">
        <f t="shared" ref="E101:P101" si="49">TEXT(E96,"mmm")&amp;"
"&amp;TEXT(E96,"yy")</f>
        <v>Aug
23</v>
      </c>
      <c r="F101" s="178" t="str">
        <f t="shared" si="49"/>
        <v>Sep
23</v>
      </c>
      <c r="G101" s="178" t="str">
        <f t="shared" si="49"/>
        <v>Oct
23</v>
      </c>
      <c r="H101" s="178" t="str">
        <f t="shared" si="49"/>
        <v>Nov
23</v>
      </c>
      <c r="I101" s="178" t="str">
        <f t="shared" si="49"/>
        <v>Dec
23</v>
      </c>
      <c r="J101" s="178" t="str">
        <f t="shared" si="49"/>
        <v>Jan
24</v>
      </c>
      <c r="K101" s="178" t="str">
        <f t="shared" si="49"/>
        <v>Feb
24</v>
      </c>
      <c r="L101" s="178" t="str">
        <f t="shared" si="49"/>
        <v>Mar
24</v>
      </c>
      <c r="M101" s="178" t="str">
        <f t="shared" si="49"/>
        <v>Apr
24</v>
      </c>
      <c r="N101" s="178" t="str">
        <f t="shared" si="49"/>
        <v>May
24</v>
      </c>
      <c r="O101" s="178" t="str">
        <f t="shared" si="49"/>
        <v>Jun
24</v>
      </c>
      <c r="P101" s="178" t="str">
        <f t="shared" si="49"/>
        <v>Jul
24</v>
      </c>
    </row>
    <row r="103" spans="2:34" x14ac:dyDescent="0.15">
      <c r="B103" s="108" t="s">
        <v>153</v>
      </c>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row>
    <row r="105" spans="2:34" x14ac:dyDescent="0.15">
      <c r="B105" s="16" t="s">
        <v>154</v>
      </c>
      <c r="E105" s="62" t="str">
        <f t="shared" ref="E105:P105" si="50">E$95</f>
        <v>Aug-23</v>
      </c>
      <c r="F105" s="62" t="str">
        <f t="shared" si="50"/>
        <v>Sep-23</v>
      </c>
      <c r="G105" s="62" t="str">
        <f t="shared" si="50"/>
        <v>Oct-23</v>
      </c>
      <c r="H105" s="62" t="str">
        <f t="shared" si="50"/>
        <v>Nov-23</v>
      </c>
      <c r="I105" s="62" t="str">
        <f t="shared" si="50"/>
        <v>Dec-23</v>
      </c>
      <c r="J105" s="62" t="str">
        <f t="shared" si="50"/>
        <v>Jan-24</v>
      </c>
      <c r="K105" s="62" t="str">
        <f t="shared" si="50"/>
        <v>Feb-24</v>
      </c>
      <c r="L105" s="62" t="str">
        <f t="shared" si="50"/>
        <v>Mar-24</v>
      </c>
      <c r="M105" s="62" t="str">
        <f t="shared" si="50"/>
        <v>Apr-24</v>
      </c>
      <c r="N105" s="62" t="str">
        <f t="shared" si="50"/>
        <v>May-24</v>
      </c>
      <c r="O105" s="62" t="str">
        <f t="shared" si="50"/>
        <v>Jun-24</v>
      </c>
      <c r="P105" s="62" t="str">
        <f t="shared" si="50"/>
        <v>Jul-24</v>
      </c>
    </row>
    <row r="106" spans="2:34" x14ac:dyDescent="0.15">
      <c r="B106" s="107" t="s">
        <v>66</v>
      </c>
      <c r="E106" s="17">
        <f ca="1">IF(E$97,OFFSET(Financials!J33,0,$E$92),0)</f>
        <v>2516.747068387097</v>
      </c>
      <c r="F106" s="17">
        <f ca="1">IF(F$97,OFFSET(Financials!K33,0,$E$92),0)</f>
        <v>4642.1835751066656</v>
      </c>
      <c r="G106" s="17">
        <f ca="1">IF(G$97,OFFSET(Financials!L33,0,$E$92),0)</f>
        <v>4802.2949959569896</v>
      </c>
      <c r="H106" s="17">
        <f ca="1">IF(H$97,OFFSET(Financials!M33,0,$E$92),0)</f>
        <v>5865.477632666667</v>
      </c>
      <c r="I106" s="17">
        <f ca="1">IF(I$97,OFFSET(Financials!N33,0,$E$92),0)</f>
        <v>2111.2537795182789</v>
      </c>
      <c r="J106" s="17">
        <f ca="1">IF(J$97,OFFSET(Financials!O33,0,$E$92),0)</f>
        <v>4376.0605558924726</v>
      </c>
      <c r="K106" s="17">
        <f ca="1">IF(K$97,OFFSET(Financials!P33,0,$E$92),0)</f>
        <v>5245.7695018666673</v>
      </c>
      <c r="L106" s="17">
        <f ca="1">IF(L$97,OFFSET(Financials!Q33,0,$E$92),0)</f>
        <v>5214.9708002279567</v>
      </c>
      <c r="M106" s="17">
        <f ca="1">IF(M$97,OFFSET(Financials!R33,0,$E$92),0)</f>
        <v>4053.630666826667</v>
      </c>
      <c r="N106" s="17">
        <f ca="1">IF(N$97,OFFSET(Financials!S33,0,$E$92),0)</f>
        <v>4799.6165186279568</v>
      </c>
      <c r="O106" s="17">
        <f ca="1">IF(O$97,OFFSET(Financials!T33,0,$E$92),0)</f>
        <v>4824.0965866666666</v>
      </c>
      <c r="P106" s="17">
        <f ca="1">IF(P$97,OFFSET(Financials!U33,0,$E$92),0)</f>
        <v>4318.0088594924728</v>
      </c>
    </row>
    <row r="107" spans="2:34" x14ac:dyDescent="0.15">
      <c r="B107" s="107" t="s">
        <v>72</v>
      </c>
      <c r="E107" s="17">
        <f ca="1">IF(E$97,OFFSET(Financials!J55,0,$E$92),0)</f>
        <v>-4159.4996275268823</v>
      </c>
      <c r="F107" s="17">
        <f ca="1">IF(F$97,OFFSET(Financials!K55,0,$E$92),0)</f>
        <v>-2082.529655440002</v>
      </c>
      <c r="G107" s="17">
        <f ca="1">IF(G$97,OFFSET(Financials!L55,0,$E$92),0)</f>
        <v>-1929.2708153118283</v>
      </c>
      <c r="H107" s="17">
        <f ca="1">IF(H$97,OFFSET(Financials!M55,0,$E$92),0)</f>
        <v>-892.34384933333331</v>
      </c>
      <c r="I107" s="17">
        <f ca="1">IF(I$97,OFFSET(Financials!N55,0,$E$92),0)</f>
        <v>-4564.5890296258076</v>
      </c>
      <c r="J107" s="17">
        <f ca="1">IF(J$97,OFFSET(Financials!O55,0,$E$92),0)</f>
        <v>-2354.3421542795713</v>
      </c>
      <c r="K107" s="17">
        <f ca="1">IF(K$97,OFFSET(Financials!P55,0,$E$92),0)</f>
        <v>-2620.0539285333334</v>
      </c>
      <c r="L107" s="17">
        <f ca="1">IF(L$97,OFFSET(Financials!Q55,0,$E$92),0)</f>
        <v>-2652.6989809806464</v>
      </c>
      <c r="M107" s="17">
        <f ca="1">IF(M$97,OFFSET(Financials!R55,0,$E$92),0)</f>
        <v>-3844.5069748266669</v>
      </c>
      <c r="N107" s="17">
        <f ca="1">IF(N$97,OFFSET(Financials!S55,0,$E$92),0)</f>
        <v>-3171.5459527139792</v>
      </c>
      <c r="O107" s="17">
        <f ca="1">IF(O$97,OFFSET(Financials!T55,0,$E$92),0)</f>
        <v>-2988.6059200000009</v>
      </c>
      <c r="P107" s="17">
        <f ca="1">IF(P$97,OFFSET(Financials!U55,0,$E$92),0)</f>
        <v>-3647.4748878795708</v>
      </c>
    </row>
    <row r="108" spans="2:34" x14ac:dyDescent="0.15">
      <c r="B108" s="107" t="s">
        <v>76</v>
      </c>
      <c r="E108" s="17">
        <f ca="1">IF(E$97,OFFSET(Financials!J64,0,$E$92),0)</f>
        <v>-7112.4718497491049</v>
      </c>
      <c r="F108" s="17">
        <f ca="1">IF(F$97,OFFSET(Financials!K64,0,$E$92),0)</f>
        <v>-7882.7240998844463</v>
      </c>
      <c r="G108" s="17">
        <f ca="1">IF(G$97,OFFSET(Financials!L64,0,$E$92),0)</f>
        <v>-7729.4652597562726</v>
      </c>
      <c r="H108" s="17">
        <f ca="1">IF(H$97,OFFSET(Financials!M64,0,$E$92),0)</f>
        <v>-6692.5382937777777</v>
      </c>
      <c r="I108" s="17">
        <f ca="1">IF(I$97,OFFSET(Financials!N64,0,$E$92),0)</f>
        <v>-10364.783474070253</v>
      </c>
      <c r="J108" s="17">
        <f ca="1">IF(J$97,OFFSET(Financials!O64,0,$E$92),0)</f>
        <v>-8154.5365987240157</v>
      </c>
      <c r="K108" s="17">
        <f ca="1">IF(K$97,OFFSET(Financials!P64,0,$E$92),0)</f>
        <v>-8420.2483729777778</v>
      </c>
      <c r="L108" s="17">
        <f ca="1">IF(L$97,OFFSET(Financials!Q64,0,$E$92),0)</f>
        <v>-8452.8934254250908</v>
      </c>
      <c r="M108" s="17">
        <f ca="1">IF(M$97,OFFSET(Financials!R64,0,$E$92),0)</f>
        <v>-9644.7014192711104</v>
      </c>
      <c r="N108" s="17">
        <f ca="1">IF(N$97,OFFSET(Financials!S64,0,$E$92),0)</f>
        <v>-8971.7403971584245</v>
      </c>
      <c r="O108" s="17">
        <f ca="1">IF(O$97,OFFSET(Financials!T64,0,$E$92),0)</f>
        <v>-8788.8003644444452</v>
      </c>
      <c r="P108" s="17">
        <f ca="1">IF(P$97,OFFSET(Financials!U64,0,$E$92),0)</f>
        <v>-9447.6693323240142</v>
      </c>
    </row>
    <row r="109" spans="2:34" x14ac:dyDescent="0.15">
      <c r="B109" s="107" t="s">
        <v>79</v>
      </c>
      <c r="E109" s="17">
        <f ca="1">IF(E$97,OFFSET(Financials!J74,0,$E$92),0)</f>
        <v>-7112.4718497491049</v>
      </c>
      <c r="F109" s="17">
        <f ca="1">IF(F$97,OFFSET(Financials!K74,0,$E$92),0)</f>
        <v>-7882.7240998844463</v>
      </c>
      <c r="G109" s="17">
        <f ca="1">IF(G$97,OFFSET(Financials!L74,0,$E$92),0)</f>
        <v>-7729.4652597562726</v>
      </c>
      <c r="H109" s="17">
        <f ca="1">IF(H$97,OFFSET(Financials!M74,0,$E$92),0)</f>
        <v>-6692.5382937777777</v>
      </c>
      <c r="I109" s="17">
        <f ca="1">IF(I$97,OFFSET(Financials!N74,0,$E$92),0)</f>
        <v>-10364.783474070253</v>
      </c>
      <c r="J109" s="17">
        <f ca="1">IF(J$97,OFFSET(Financials!O74,0,$E$92),0)</f>
        <v>-8154.5365987240157</v>
      </c>
      <c r="K109" s="17">
        <f ca="1">IF(K$97,OFFSET(Financials!P74,0,$E$92),0)</f>
        <v>-8420.2483729777778</v>
      </c>
      <c r="L109" s="17">
        <f ca="1">IF(L$97,OFFSET(Financials!Q74,0,$E$92),0)</f>
        <v>-8452.8934254250908</v>
      </c>
      <c r="M109" s="17">
        <f ca="1">IF(M$97,OFFSET(Financials!R74,0,$E$92),0)</f>
        <v>-9644.7014192711104</v>
      </c>
      <c r="N109" s="17">
        <f ca="1">IF(N$97,OFFSET(Financials!S74,0,$E$92),0)</f>
        <v>-8971.7403971584245</v>
      </c>
      <c r="O109" s="17">
        <f ca="1">IF(O$97,OFFSET(Financials!T74,0,$E$92),0)</f>
        <v>-8788.8003644444452</v>
      </c>
      <c r="P109" s="17">
        <f ca="1">IF(P$97,OFFSET(Financials!U74,0,$E$92),0)</f>
        <v>-9447.6693323240142</v>
      </c>
    </row>
    <row r="110" spans="2:34" x14ac:dyDescent="0.15">
      <c r="B110" s="107" t="s">
        <v>83</v>
      </c>
      <c r="E110" s="17">
        <f ca="1">IF(E$97,OFFSET(Financials!J78,0,$E$92),0)</f>
        <v>-7112.4718497491049</v>
      </c>
      <c r="F110" s="17">
        <f ca="1">IF(F$97,OFFSET(Financials!K78,0,$E$92),0)</f>
        <v>-7882.7240998844463</v>
      </c>
      <c r="G110" s="17">
        <f ca="1">IF(G$97,OFFSET(Financials!L78,0,$E$92),0)</f>
        <v>-7729.4652597562726</v>
      </c>
      <c r="H110" s="17">
        <f ca="1">IF(H$97,OFFSET(Financials!M78,0,$E$92),0)</f>
        <v>-6692.5382937777777</v>
      </c>
      <c r="I110" s="17">
        <f ca="1">IF(I$97,OFFSET(Financials!N78,0,$E$92),0)</f>
        <v>-10364.783474070253</v>
      </c>
      <c r="J110" s="17">
        <f ca="1">IF(J$97,OFFSET(Financials!O78,0,$E$92),0)</f>
        <v>-8154.5365987240157</v>
      </c>
      <c r="K110" s="17">
        <f ca="1">IF(K$97,OFFSET(Financials!P78,0,$E$92),0)</f>
        <v>-8420.2483729777778</v>
      </c>
      <c r="L110" s="17">
        <f ca="1">IF(L$97,OFFSET(Financials!Q78,0,$E$92),0)</f>
        <v>-8452.8934254250908</v>
      </c>
      <c r="M110" s="17">
        <f ca="1">IF(M$97,OFFSET(Financials!R78,0,$E$92),0)</f>
        <v>-9644.7014192711104</v>
      </c>
      <c r="N110" s="17">
        <f ca="1">IF(N$97,OFFSET(Financials!S78,0,$E$92),0)</f>
        <v>-8971.7403971584245</v>
      </c>
      <c r="O110" s="17">
        <f ca="1">IF(O$97,OFFSET(Financials!T78,0,$E$92),0)</f>
        <v>-8788.8003644444452</v>
      </c>
      <c r="P110" s="17">
        <f ca="1">IF(P$97,OFFSET(Financials!U78,0,$E$92),0)</f>
        <v>-9447.6693323240142</v>
      </c>
    </row>
    <row r="111" spans="2:34" ht="6" customHeight="1" x14ac:dyDescent="0.15"/>
    <row r="112" spans="2:34" x14ac:dyDescent="0.15">
      <c r="B112" s="16" t="s">
        <v>155</v>
      </c>
    </row>
    <row r="113" spans="2:34" x14ac:dyDescent="0.15">
      <c r="B113" s="107" t="s">
        <v>93</v>
      </c>
      <c r="E113" s="17">
        <f ca="1">IF(E$97,OFFSET(Financials!J97,0,$E$92),0)</f>
        <v>56366.869850494637</v>
      </c>
      <c r="F113" s="17">
        <f ca="1">IF(F$97,OFFSET(Financials!K97,0,$E$92),0)</f>
        <v>44565.745398407664</v>
      </c>
      <c r="G113" s="17">
        <f ca="1">IF(G$97,OFFSET(Financials!L97,0,$E$92),0)</f>
        <v>93791.017492155705</v>
      </c>
      <c r="H113" s="17">
        <f ca="1">IF(H$97,OFFSET(Financials!M97,0,$E$92),0)</f>
        <v>99434.209346422373</v>
      </c>
      <c r="I113" s="17">
        <f ca="1">IF(I$97,OFFSET(Financials!N97,0,$E$92),0)</f>
        <v>77892.898421634411</v>
      </c>
      <c r="J113" s="17">
        <f ca="1">IF(J$97,OFFSET(Financials!O97,0,$E$92),0)</f>
        <v>86016.935079136339</v>
      </c>
      <c r="K113" s="17">
        <f ca="1">IF(K$97,OFFSET(Financials!P97,0,$E$92),0)</f>
        <v>90029.52162581333</v>
      </c>
      <c r="L113" s="17">
        <f ca="1">IF(L$97,OFFSET(Financials!Q97,0,$E$92),0)</f>
        <v>69976.570193967302</v>
      </c>
      <c r="M113" s="17">
        <f ca="1">IF(M$97,OFFSET(Financials!R97,0,$E$92),0)</f>
        <v>76726.490789144591</v>
      </c>
      <c r="N113" s="17">
        <f ca="1">IF(N$97,OFFSET(Financials!S97,0,$E$92),0)</f>
        <v>79679.59382603319</v>
      </c>
      <c r="O113" s="17">
        <f ca="1">IF(O$97,OFFSET(Financials!T97,0,$E$92),0)</f>
        <v>59829.112587495554</v>
      </c>
      <c r="P113" s="17">
        <f ca="1">IF(P$97,OFFSET(Financials!U97,0,$E$92),0)</f>
        <v>66932.032226762138</v>
      </c>
    </row>
    <row r="114" spans="2:34" x14ac:dyDescent="0.15">
      <c r="B114" s="107" t="s">
        <v>96</v>
      </c>
      <c r="E114" s="17">
        <f ca="1">IF(E$97,OFFSET(Financials!J106,0,$E$92),0)</f>
        <v>209585.02777777778</v>
      </c>
      <c r="F114" s="17">
        <f ca="1">IF(F$97,OFFSET(Financials!K106,0,$E$92),0)</f>
        <v>203784.83333333331</v>
      </c>
      <c r="G114" s="17">
        <f ca="1">IF(G$97,OFFSET(Financials!L106,0,$E$92),0)</f>
        <v>197984.63888888888</v>
      </c>
      <c r="H114" s="17">
        <f ca="1">IF(H$97,OFFSET(Financials!M106,0,$E$92),0)</f>
        <v>192184.44444444441</v>
      </c>
      <c r="I114" s="17">
        <f ca="1">IF(I$97,OFFSET(Financials!N106,0,$E$92),0)</f>
        <v>186384.24999999997</v>
      </c>
      <c r="J114" s="17">
        <f ca="1">IF(J$97,OFFSET(Financials!O106,0,$E$92),0)</f>
        <v>180584.05555555553</v>
      </c>
      <c r="K114" s="17">
        <f ca="1">IF(K$97,OFFSET(Financials!P106,0,$E$92),0)</f>
        <v>174783.86111111107</v>
      </c>
      <c r="L114" s="17">
        <f ca="1">IF(L$97,OFFSET(Financials!Q106,0,$E$92),0)</f>
        <v>168983.66666666663</v>
      </c>
      <c r="M114" s="17">
        <f ca="1">IF(M$97,OFFSET(Financials!R106,0,$E$92),0)</f>
        <v>163183.47222222216</v>
      </c>
      <c r="N114" s="17">
        <f ca="1">IF(N$97,OFFSET(Financials!S106,0,$E$92),0)</f>
        <v>157383.27777777772</v>
      </c>
      <c r="O114" s="17">
        <f ca="1">IF(O$97,OFFSET(Financials!T106,0,$E$92),0)</f>
        <v>151583.08333333326</v>
      </c>
      <c r="P114" s="17">
        <f ca="1">IF(P$97,OFFSET(Financials!U106,0,$E$92),0)</f>
        <v>145782.88888888882</v>
      </c>
    </row>
    <row r="115" spans="2:34" x14ac:dyDescent="0.15">
      <c r="B115" s="107" t="s">
        <v>97</v>
      </c>
      <c r="E115" s="17">
        <f ca="1">IF(E$97,OFFSET(Financials!J108,0,$E$92),0)</f>
        <v>265951.89762827242</v>
      </c>
      <c r="F115" s="17">
        <f ca="1">IF(F$97,OFFSET(Financials!K108,0,$E$92),0)</f>
        <v>248350.57873174097</v>
      </c>
      <c r="G115" s="17">
        <f ca="1">IF(G$97,OFFSET(Financials!L108,0,$E$92),0)</f>
        <v>291775.6563810446</v>
      </c>
      <c r="H115" s="17">
        <f ca="1">IF(H$97,OFFSET(Financials!M108,0,$E$92),0)</f>
        <v>291618.65379086678</v>
      </c>
      <c r="I115" s="17">
        <f ca="1">IF(I$97,OFFSET(Financials!N108,0,$E$92),0)</f>
        <v>264277.1484216344</v>
      </c>
      <c r="J115" s="17">
        <f ca="1">IF(J$97,OFFSET(Financials!O108,0,$E$92),0)</f>
        <v>266600.9906346919</v>
      </c>
      <c r="K115" s="17">
        <f ca="1">IF(K$97,OFFSET(Financials!P108,0,$E$92),0)</f>
        <v>264813.3827369244</v>
      </c>
      <c r="L115" s="17">
        <f ca="1">IF(L$97,OFFSET(Financials!Q108,0,$E$92),0)</f>
        <v>238960.23686063394</v>
      </c>
      <c r="M115" s="17">
        <f ca="1">IF(M$97,OFFSET(Financials!R108,0,$E$92),0)</f>
        <v>239909.96301136675</v>
      </c>
      <c r="N115" s="17">
        <f ca="1">IF(N$97,OFFSET(Financials!S108,0,$E$92),0)</f>
        <v>237062.87160381093</v>
      </c>
      <c r="O115" s="17">
        <f ca="1">IF(O$97,OFFSET(Financials!T108,0,$E$92),0)</f>
        <v>211412.19592082882</v>
      </c>
      <c r="P115" s="17">
        <f ca="1">IF(P$97,OFFSET(Financials!U108,0,$E$92),0)</f>
        <v>212714.92111565097</v>
      </c>
    </row>
    <row r="116" spans="2:34" x14ac:dyDescent="0.15">
      <c r="B116" s="107" t="s">
        <v>110</v>
      </c>
      <c r="E116" s="17">
        <f ca="1">IF(E$97,OFFSET(Financials!J148,0,$E$92),0)</f>
        <v>265661.36947802152</v>
      </c>
      <c r="F116" s="17">
        <f ca="1">IF(F$97,OFFSET(Financials!K148,0,$E$92),0)</f>
        <v>255942.77468137455</v>
      </c>
      <c r="G116" s="17">
        <f ca="1">IF(G$97,OFFSET(Financials!L148,0,$E$92),0)</f>
        <v>307097.3175904344</v>
      </c>
      <c r="H116" s="17">
        <f ca="1">IF(H$97,OFFSET(Financials!M148,0,$E$92),0)</f>
        <v>313632.85329403443</v>
      </c>
      <c r="I116" s="17">
        <f ca="1">IF(I$97,OFFSET(Financials!N148,0,$E$92),0)</f>
        <v>296656.13139887224</v>
      </c>
      <c r="J116" s="17">
        <f ca="1">IF(J$97,OFFSET(Financials!O148,0,$E$92),0)</f>
        <v>307134.51021065377</v>
      </c>
      <c r="K116" s="17">
        <f ca="1">IF(K$97,OFFSET(Financials!P148,0,$E$92),0)</f>
        <v>313767.15068586409</v>
      </c>
      <c r="L116" s="17">
        <f ca="1">IF(L$97,OFFSET(Financials!Q148,0,$E$92),0)</f>
        <v>296366.89823499869</v>
      </c>
      <c r="M116" s="17">
        <f ca="1">IF(M$97,OFFSET(Financials!R148,0,$E$92),0)</f>
        <v>306961.32580500265</v>
      </c>
      <c r="N116" s="17">
        <f ca="1">IF(N$97,OFFSET(Financials!S148,0,$E$92),0)</f>
        <v>313085.97479460522</v>
      </c>
      <c r="O116" s="17">
        <f ca="1">IF(O$97,OFFSET(Financials!T148,0,$E$92),0)</f>
        <v>296224.09947606758</v>
      </c>
      <c r="P116" s="17">
        <f ca="1">IF(P$97,OFFSET(Financials!U148,0,$E$92),0)</f>
        <v>306974.49400321377</v>
      </c>
    </row>
    <row r="117" spans="2:34" x14ac:dyDescent="0.15">
      <c r="B117" s="107" t="s">
        <v>103</v>
      </c>
      <c r="E117" s="17">
        <f ca="1">IF(E$97,OFFSET(Financials!J150,0,$E$92),0)</f>
        <v>290.5281502509024</v>
      </c>
      <c r="F117" s="17">
        <f ca="1">IF(F$97,OFFSET(Financials!K150,0,$E$92),0)</f>
        <v>-7592.1959496335767</v>
      </c>
      <c r="G117" s="17">
        <f ca="1">IF(G$97,OFFSET(Financials!L150,0,$E$92),0)</f>
        <v>-15321.6612093898</v>
      </c>
      <c r="H117" s="17">
        <f ca="1">IF(H$97,OFFSET(Financials!M150,0,$E$92),0)</f>
        <v>-22014.199503167649</v>
      </c>
      <c r="I117" s="17">
        <f ca="1">IF(I$97,OFFSET(Financials!N150,0,$E$92),0)</f>
        <v>-32378.982977237843</v>
      </c>
      <c r="J117" s="17">
        <f ca="1">IF(J$97,OFFSET(Financials!O150,0,$E$92),0)</f>
        <v>-40533.519575961865</v>
      </c>
      <c r="K117" s="17">
        <f ca="1">IF(K$97,OFFSET(Financials!P150,0,$E$92),0)</f>
        <v>-48953.767948939698</v>
      </c>
      <c r="L117" s="17">
        <f ca="1">IF(L$97,OFFSET(Financials!Q150,0,$E$92),0)</f>
        <v>-57406.661374364747</v>
      </c>
      <c r="M117" s="17">
        <f ca="1">IF(M$97,OFFSET(Financials!R150,0,$E$92),0)</f>
        <v>-67051.362793635897</v>
      </c>
      <c r="N117" s="17">
        <f ca="1">IF(N$97,OFFSET(Financials!S150,0,$E$92),0)</f>
        <v>-76023.103190794296</v>
      </c>
      <c r="O117" s="17">
        <f ca="1">IF(O$97,OFFSET(Financials!T150,0,$E$92),0)</f>
        <v>-84811.903555238765</v>
      </c>
      <c r="P117" s="17">
        <f ca="1">IF(P$97,OFFSET(Financials!U150,0,$E$92),0)</f>
        <v>-94259.572887562797</v>
      </c>
    </row>
    <row r="118" spans="2:34" x14ac:dyDescent="0.15">
      <c r="B118" s="107" t="s">
        <v>113</v>
      </c>
      <c r="E118" s="17">
        <f ca="1">IF(E$97,OFFSET(Financials!J160,0,$E$92),0)</f>
        <v>290.52815025089512</v>
      </c>
      <c r="F118" s="17">
        <f ca="1">IF(F$97,OFFSET(Financials!K160,0,$E$92),0)</f>
        <v>-7592.1959496335512</v>
      </c>
      <c r="G118" s="17">
        <f ca="1">IF(G$97,OFFSET(Financials!L160,0,$E$92),0)</f>
        <v>-15321.661209389824</v>
      </c>
      <c r="H118" s="17">
        <f ca="1">IF(H$97,OFFSET(Financials!M160,0,$E$92),0)</f>
        <v>-22014.199503167602</v>
      </c>
      <c r="I118" s="17">
        <f ca="1">IF(I$97,OFFSET(Financials!N160,0,$E$92),0)</f>
        <v>-32378.982977237854</v>
      </c>
      <c r="J118" s="17">
        <f ca="1">IF(J$97,OFFSET(Financials!O160,0,$E$92),0)</f>
        <v>-40533.519575961873</v>
      </c>
      <c r="K118" s="17">
        <f ca="1">IF(K$97,OFFSET(Financials!P160,0,$E$92),0)</f>
        <v>-48953.767948939654</v>
      </c>
      <c r="L118" s="17">
        <f ca="1">IF(L$97,OFFSET(Financials!Q160,0,$E$92),0)</f>
        <v>-57406.661374364747</v>
      </c>
      <c r="M118" s="17">
        <f ca="1">IF(M$97,OFFSET(Financials!R160,0,$E$92),0)</f>
        <v>-67051.362793635853</v>
      </c>
      <c r="N118" s="17">
        <f ca="1">IF(N$97,OFFSET(Financials!S160,0,$E$92),0)</f>
        <v>-76023.103190794282</v>
      </c>
      <c r="O118" s="17">
        <f ca="1">IF(O$97,OFFSET(Financials!T160,0,$E$92),0)</f>
        <v>-84811.903555238721</v>
      </c>
      <c r="P118" s="17">
        <f ca="1">IF(P$97,OFFSET(Financials!U160,0,$E$92),0)</f>
        <v>-94259.572887562739</v>
      </c>
    </row>
    <row r="119" spans="2:34" x14ac:dyDescent="0.15">
      <c r="B119" s="107" t="s">
        <v>114</v>
      </c>
      <c r="E119" s="17">
        <f ca="1">IF(E$97,OFFSET(Financials!J162,0,$E$92),0)</f>
        <v>290.52815025089512</v>
      </c>
      <c r="F119" s="17">
        <f ca="1">IF(F$97,OFFSET(Financials!K162,0,$E$92),0)</f>
        <v>-7592.1959496335512</v>
      </c>
      <c r="G119" s="17">
        <f ca="1">IF(G$97,OFFSET(Financials!L162,0,$E$92),0)</f>
        <v>-15321.661209389824</v>
      </c>
      <c r="H119" s="17">
        <f ca="1">IF(H$97,OFFSET(Financials!M162,0,$E$92),0)</f>
        <v>-22014.199503167602</v>
      </c>
      <c r="I119" s="17">
        <f ca="1">IF(I$97,OFFSET(Financials!N162,0,$E$92),0)</f>
        <v>-32378.982977237854</v>
      </c>
      <c r="J119" s="17">
        <f ca="1">IF(J$97,OFFSET(Financials!O162,0,$E$92),0)</f>
        <v>-40533.519575961873</v>
      </c>
      <c r="K119" s="17">
        <f ca="1">IF(K$97,OFFSET(Financials!P162,0,$E$92),0)</f>
        <v>-48953.767948939654</v>
      </c>
      <c r="L119" s="17">
        <f ca="1">IF(L$97,OFFSET(Financials!Q162,0,$E$92),0)</f>
        <v>-57406.661374364747</v>
      </c>
      <c r="M119" s="17">
        <f ca="1">IF(M$97,OFFSET(Financials!R162,0,$E$92),0)</f>
        <v>-67051.362793635853</v>
      </c>
      <c r="N119" s="17">
        <f ca="1">IF(N$97,OFFSET(Financials!S162,0,$E$92),0)</f>
        <v>-76023.103190794282</v>
      </c>
      <c r="O119" s="17">
        <f ca="1">IF(O$97,OFFSET(Financials!T162,0,$E$92),0)</f>
        <v>-84811.903555238721</v>
      </c>
      <c r="P119" s="17">
        <f ca="1">IF(P$97,OFFSET(Financials!U162,0,$E$92),0)</f>
        <v>-94259.572887562739</v>
      </c>
    </row>
    <row r="120" spans="2:34" ht="6" customHeight="1" x14ac:dyDescent="0.15"/>
    <row r="121" spans="2:34" x14ac:dyDescent="0.15">
      <c r="B121" s="16" t="s">
        <v>156</v>
      </c>
    </row>
    <row r="122" spans="2:34" x14ac:dyDescent="0.15">
      <c r="B122" s="107" t="s">
        <v>132</v>
      </c>
      <c r="E122" s="17">
        <f ca="1">IF(E$97,OFFSET(Financials!J240,0,$E$92),0)</f>
        <v>-44839.13014950537</v>
      </c>
      <c r="F122" s="17">
        <f ca="1">IF(F$97,OFFSET(Financials!K240,0,$E$92),0)</f>
        <v>-11801.124452086973</v>
      </c>
      <c r="G122" s="17">
        <f ca="1">IF(G$97,OFFSET(Financials!L240,0,$E$92),0)</f>
        <v>49225.272093748041</v>
      </c>
      <c r="H122" s="17">
        <f ca="1">IF(H$97,OFFSET(Financials!M240,0,$E$92),0)</f>
        <v>5643.1918542666654</v>
      </c>
      <c r="I122" s="17">
        <f ca="1">IF(I$97,OFFSET(Financials!N240,0,$E$92),0)</f>
        <v>-21541.310924787958</v>
      </c>
      <c r="J122" s="17">
        <f ca="1">IF(J$97,OFFSET(Financials!O240,0,$E$92),0)</f>
        <v>8124.0366575019361</v>
      </c>
      <c r="K122" s="17">
        <f ca="1">IF(K$97,OFFSET(Financials!P240,0,$E$92),0)</f>
        <v>4012.5865466769901</v>
      </c>
      <c r="L122" s="17">
        <f ca="1">IF(L$97,OFFSET(Financials!Q240,0,$E$92),0)</f>
        <v>-20052.951431846024</v>
      </c>
      <c r="M122" s="17">
        <f ca="1">IF(M$97,OFFSET(Financials!R240,0,$E$92),0)</f>
        <v>6749.9205951772892</v>
      </c>
      <c r="N122" s="17">
        <f ca="1">IF(N$97,OFFSET(Financials!S240,0,$E$92),0)</f>
        <v>2953.1030368886022</v>
      </c>
      <c r="O122" s="17">
        <f ca="1">IF(O$97,OFFSET(Financials!T240,0,$E$92),0)</f>
        <v>-19850.481238537635</v>
      </c>
      <c r="P122" s="17">
        <f ca="1">IF(P$97,OFFSET(Financials!U240,0,$E$92),0)</f>
        <v>7102.9196392665808</v>
      </c>
    </row>
    <row r="123" spans="2:34" x14ac:dyDescent="0.15">
      <c r="B123" s="107" t="s">
        <v>135</v>
      </c>
      <c r="E123" s="17">
        <f ca="1">IF(E$97,OFFSET(Financials!J249,0,$E$92),0)</f>
        <v>-210000</v>
      </c>
      <c r="F123" s="17">
        <f ca="1">IF(F$97,OFFSET(Financials!K249,0,$E$92),0)</f>
        <v>0</v>
      </c>
      <c r="G123" s="17">
        <f ca="1">IF(G$97,OFFSET(Financials!L249,0,$E$92),0)</f>
        <v>0</v>
      </c>
      <c r="H123" s="17">
        <f ca="1">IF(H$97,OFFSET(Financials!M249,0,$E$92),0)</f>
        <v>0</v>
      </c>
      <c r="I123" s="17">
        <f ca="1">IF(I$97,OFFSET(Financials!N249,0,$E$92),0)</f>
        <v>0</v>
      </c>
      <c r="J123" s="17">
        <f ca="1">IF(J$97,OFFSET(Financials!O249,0,$E$92),0)</f>
        <v>0</v>
      </c>
      <c r="K123" s="17">
        <f ca="1">IF(K$97,OFFSET(Financials!P249,0,$E$92),0)</f>
        <v>0</v>
      </c>
      <c r="L123" s="17">
        <f ca="1">IF(L$97,OFFSET(Financials!Q249,0,$E$92),0)</f>
        <v>0</v>
      </c>
      <c r="M123" s="17">
        <f ca="1">IF(M$97,OFFSET(Financials!R249,0,$E$92),0)</f>
        <v>0</v>
      </c>
      <c r="N123" s="17">
        <f ca="1">IF(N$97,OFFSET(Financials!S249,0,$E$92),0)</f>
        <v>0</v>
      </c>
      <c r="O123" s="17">
        <f ca="1">IF(O$97,OFFSET(Financials!T249,0,$E$92),0)</f>
        <v>0</v>
      </c>
      <c r="P123" s="17">
        <f ca="1">IF(P$97,OFFSET(Financials!U249,0,$E$92),0)</f>
        <v>0</v>
      </c>
    </row>
    <row r="124" spans="2:34" x14ac:dyDescent="0.15">
      <c r="B124" s="107" t="s">
        <v>143</v>
      </c>
      <c r="E124" s="17">
        <f ca="1">IF(E$97,OFFSET(Financials!J269,0,$E$92),0)</f>
        <v>300000</v>
      </c>
      <c r="F124" s="17">
        <f ca="1">IF(F$97,OFFSET(Financials!K269,0,$E$92),0)</f>
        <v>0</v>
      </c>
      <c r="G124" s="17">
        <f ca="1">IF(G$97,OFFSET(Financials!L269,0,$E$92),0)</f>
        <v>0</v>
      </c>
      <c r="H124" s="17">
        <f ca="1">IF(H$97,OFFSET(Financials!M269,0,$E$92),0)</f>
        <v>0</v>
      </c>
      <c r="I124" s="17">
        <f ca="1">IF(I$97,OFFSET(Financials!N269,0,$E$92),0)</f>
        <v>0</v>
      </c>
      <c r="J124" s="17">
        <f ca="1">IF(J$97,OFFSET(Financials!O269,0,$E$92),0)</f>
        <v>0</v>
      </c>
      <c r="K124" s="17">
        <f ca="1">IF(K$97,OFFSET(Financials!P269,0,$E$92),0)</f>
        <v>0</v>
      </c>
      <c r="L124" s="17">
        <f ca="1">IF(L$97,OFFSET(Financials!Q269,0,$E$92),0)</f>
        <v>0</v>
      </c>
      <c r="M124" s="17">
        <f ca="1">IF(M$97,OFFSET(Financials!R269,0,$E$92),0)</f>
        <v>0</v>
      </c>
      <c r="N124" s="17">
        <f ca="1">IF(N$97,OFFSET(Financials!S269,0,$E$92),0)</f>
        <v>0</v>
      </c>
      <c r="O124" s="17">
        <f ca="1">IF(O$97,OFFSET(Financials!T269,0,$E$92),0)</f>
        <v>0</v>
      </c>
      <c r="P124" s="17">
        <f ca="1">IF(P$97,OFFSET(Financials!U269,0,$E$92),0)</f>
        <v>0</v>
      </c>
    </row>
    <row r="125" spans="2:34" x14ac:dyDescent="0.15">
      <c r="B125" s="107" t="s">
        <v>144</v>
      </c>
      <c r="E125" s="17">
        <f ca="1">IF(E$97,OFFSET(Financials!J271,0,$E$92),0)</f>
        <v>45160.869850494637</v>
      </c>
      <c r="F125" s="17">
        <f ca="1">IF(F$97,OFFSET(Financials!K271,0,$E$92),0)</f>
        <v>-11801.124452086973</v>
      </c>
      <c r="G125" s="17">
        <f ca="1">IF(G$97,OFFSET(Financials!L271,0,$E$92),0)</f>
        <v>49225.272093748041</v>
      </c>
      <c r="H125" s="17">
        <f ca="1">IF(H$97,OFFSET(Financials!M271,0,$E$92),0)</f>
        <v>5643.1918542666654</v>
      </c>
      <c r="I125" s="17">
        <f ca="1">IF(I$97,OFFSET(Financials!N271,0,$E$92),0)</f>
        <v>-21541.310924787958</v>
      </c>
      <c r="J125" s="17">
        <f ca="1">IF(J$97,OFFSET(Financials!O271,0,$E$92),0)</f>
        <v>8124.0366575019361</v>
      </c>
      <c r="K125" s="17">
        <f ca="1">IF(K$97,OFFSET(Financials!P271,0,$E$92),0)</f>
        <v>4012.5865466769901</v>
      </c>
      <c r="L125" s="17">
        <f ca="1">IF(L$97,OFFSET(Financials!Q271,0,$E$92),0)</f>
        <v>-20052.951431846024</v>
      </c>
      <c r="M125" s="17">
        <f ca="1">IF(M$97,OFFSET(Financials!R271,0,$E$92),0)</f>
        <v>6749.9205951772892</v>
      </c>
      <c r="N125" s="17">
        <f ca="1">IF(N$97,OFFSET(Financials!S271,0,$E$92),0)</f>
        <v>2953.1030368886022</v>
      </c>
      <c r="O125" s="17">
        <f ca="1">IF(O$97,OFFSET(Financials!T271,0,$E$92),0)</f>
        <v>-19850.481238537635</v>
      </c>
      <c r="P125" s="17">
        <f ca="1">IF(P$97,OFFSET(Financials!U271,0,$E$92),0)</f>
        <v>7102.9196392665808</v>
      </c>
    </row>
    <row r="127" spans="2:34" x14ac:dyDescent="0.15">
      <c r="B127" s="108" t="s">
        <v>62</v>
      </c>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row>
    <row r="129" spans="2:17" x14ac:dyDescent="0.15">
      <c r="B129" s="16" t="s">
        <v>64</v>
      </c>
      <c r="D129" s="177" t="s">
        <v>157</v>
      </c>
      <c r="E129" s="62" t="str">
        <f t="shared" ref="E129:P129" si="51">E$95</f>
        <v>Aug-23</v>
      </c>
      <c r="F129" s="62" t="str">
        <f t="shared" si="51"/>
        <v>Sep-23</v>
      </c>
      <c r="G129" s="62" t="str">
        <f t="shared" si="51"/>
        <v>Oct-23</v>
      </c>
      <c r="H129" s="62" t="str">
        <f t="shared" si="51"/>
        <v>Nov-23</v>
      </c>
      <c r="I129" s="62" t="str">
        <f t="shared" si="51"/>
        <v>Dec-23</v>
      </c>
      <c r="J129" s="62" t="str">
        <f t="shared" si="51"/>
        <v>Jan-24</v>
      </c>
      <c r="K129" s="62" t="str">
        <f t="shared" si="51"/>
        <v>Feb-24</v>
      </c>
      <c r="L129" s="62" t="str">
        <f t="shared" si="51"/>
        <v>Mar-24</v>
      </c>
      <c r="M129" s="62" t="str">
        <f t="shared" si="51"/>
        <v>Apr-24</v>
      </c>
      <c r="N129" s="62" t="str">
        <f t="shared" si="51"/>
        <v>May-24</v>
      </c>
      <c r="O129" s="62" t="str">
        <f t="shared" si="51"/>
        <v>Jun-24</v>
      </c>
      <c r="P129" s="62" t="str">
        <f t="shared" si="51"/>
        <v>Jul-24</v>
      </c>
      <c r="Q129" s="191" t="s">
        <v>63</v>
      </c>
    </row>
    <row r="130" spans="2:17" x14ac:dyDescent="0.15">
      <c r="B130" s="107" t="str">
        <f>Financials!B20</f>
        <v>Membership Fees</v>
      </c>
      <c r="D130" s="100">
        <f ca="1">MIN(ROWS($Q$130:$Q$134),RANK(Q130,Q$130:Q$134,0)+COUNTIFS(Q$130:Q130,Q130)-1)</f>
        <v>3</v>
      </c>
      <c r="E130" s="278">
        <f ca="1">IF(E$97,OFFSET(Financials!J20,0,$E$92),0)</f>
        <v>350</v>
      </c>
      <c r="F130" s="102">
        <f ca="1">IF(F$97,OFFSET(Financials!K20,0,$E$92),0)</f>
        <v>350</v>
      </c>
      <c r="G130" s="102">
        <f ca="1">IF(G$97,OFFSET(Financials!L20,0,$E$92),0)</f>
        <v>358.33333333333337</v>
      </c>
      <c r="H130" s="102">
        <f ca="1">IF(H$97,OFFSET(Financials!M20,0,$E$92),0)</f>
        <v>366.66666666666663</v>
      </c>
      <c r="I130" s="102">
        <f ca="1">IF(I$97,OFFSET(Financials!N20,0,$E$92),0)</f>
        <v>375</v>
      </c>
      <c r="J130" s="102">
        <f ca="1">IF(J$97,OFFSET(Financials!O20,0,$E$92),0)</f>
        <v>383.33333333333337</v>
      </c>
      <c r="K130" s="102">
        <f ca="1">IF(K$97,OFFSET(Financials!P20,0,$E$92),0)</f>
        <v>391.66666666666663</v>
      </c>
      <c r="L130" s="102">
        <f ca="1">IF(L$97,OFFSET(Financials!Q20,0,$E$92),0)</f>
        <v>400</v>
      </c>
      <c r="M130" s="102">
        <f ca="1">IF(M$97,OFFSET(Financials!R20,0,$E$92),0)</f>
        <v>408.33333333333337</v>
      </c>
      <c r="N130" s="102">
        <f ca="1">IF(N$97,OFFSET(Financials!S20,0,$E$92),0)</f>
        <v>416.66666666666663</v>
      </c>
      <c r="O130" s="102">
        <f ca="1">IF(O$97,OFFSET(Financials!T20,0,$E$92),0)</f>
        <v>425</v>
      </c>
      <c r="P130" s="102">
        <f ca="1">IF(P$97,OFFSET(Financials!U20,0,$E$92),0)</f>
        <v>433.33333333333337</v>
      </c>
      <c r="Q130" s="279">
        <f ca="1">SUM(E130:P130)</f>
        <v>4658.333333333333</v>
      </c>
    </row>
    <row r="131" spans="2:17" x14ac:dyDescent="0.15">
      <c r="B131" s="107" t="str">
        <f>Financials!B21</f>
        <v>PAYG Fencing</v>
      </c>
      <c r="D131" s="96">
        <f ca="1">MIN(ROWS($Q$130:$Q$134),RANK(Q131,Q$130:Q$134,0)+COUNTIFS(Q$130:Q131,Q131)-1)</f>
        <v>1</v>
      </c>
      <c r="E131" s="278">
        <f ca="1">IF(E$97,OFFSET(Financials!J21,0,$E$92),0)</f>
        <v>2481.0619354838709</v>
      </c>
      <c r="F131" s="102">
        <f ca="1">IF(F$97,OFFSET(Financials!K21,0,$E$92),0)</f>
        <v>4567.1165399999991</v>
      </c>
      <c r="G131" s="102">
        <f ca="1">IF(G$97,OFFSET(Financials!L21,0,$E$92),0)</f>
        <v>4753.2944516129037</v>
      </c>
      <c r="H131" s="102">
        <f ca="1">IF(H$97,OFFSET(Financials!M21,0,$E$92),0)</f>
        <v>5821.4309999999996</v>
      </c>
      <c r="I131" s="102">
        <f ca="1">IF(I$97,OFFSET(Financials!N21,0,$E$92),0)</f>
        <v>1969.8246580645155</v>
      </c>
      <c r="J131" s="102">
        <f ca="1">IF(J$97,OFFSET(Financials!O21,0,$E$92),0)</f>
        <v>4324.5171290322578</v>
      </c>
      <c r="K131" s="102">
        <f ca="1">IF(K$97,OFFSET(Financials!P21,0,$E$92),0)</f>
        <v>4722.8832000000002</v>
      </c>
      <c r="L131" s="102">
        <f ca="1">IF(L$97,OFFSET(Financials!Q21,0,$E$92),0)</f>
        <v>4681.505206451613</v>
      </c>
      <c r="M131" s="102">
        <f ca="1">IF(M$97,OFFSET(Financials!R21,0,$E$92),0)</f>
        <v>3527.4685600000003</v>
      </c>
      <c r="N131" s="102">
        <f ca="1">IF(N$97,OFFSET(Financials!S21,0,$E$92),0)</f>
        <v>4307.8396064516119</v>
      </c>
      <c r="O131" s="102">
        <f ca="1">IF(O$97,OFFSET(Financials!T21,0,$E$92),0)</f>
        <v>4220.72</v>
      </c>
      <c r="P131" s="102">
        <f ca="1">IF(P$97,OFFSET(Financials!U21,0,$E$92),0)</f>
        <v>3799.1097290322577</v>
      </c>
      <c r="Q131" s="280">
        <f ca="1">SUM(E131:P131)</f>
        <v>49176.772016129034</v>
      </c>
    </row>
    <row r="132" spans="2:17" x14ac:dyDescent="0.15">
      <c r="B132" s="107" t="str">
        <f>Financials!B22</f>
        <v>Private Hire</v>
      </c>
      <c r="D132" s="96">
        <f ca="1">MIN(ROWS($Q$130:$Q$134),RANK(Q132,Q$130:Q$134,0)+COUNTIFS(Q$130:Q132,Q132)-1)</f>
        <v>2</v>
      </c>
      <c r="E132" s="278">
        <f ca="1">IF(E$97,OFFSET(Financials!J22,0,$E$92),0)</f>
        <v>400</v>
      </c>
      <c r="F132" s="102">
        <f ca="1">IF(F$97,OFFSET(Financials!K22,0,$E$92),0)</f>
        <v>400</v>
      </c>
      <c r="G132" s="102">
        <f ca="1">IF(G$97,OFFSET(Financials!L22,0,$E$92),0)</f>
        <v>400</v>
      </c>
      <c r="H132" s="102">
        <f ca="1">IF(H$97,OFFSET(Financials!M22,0,$E$92),0)</f>
        <v>400</v>
      </c>
      <c r="I132" s="102">
        <f ca="1">IF(I$97,OFFSET(Financials!N22,0,$E$92),0)</f>
        <v>400</v>
      </c>
      <c r="J132" s="102">
        <f ca="1">IF(J$97,OFFSET(Financials!O22,0,$E$92),0)</f>
        <v>400</v>
      </c>
      <c r="K132" s="102">
        <f ca="1">IF(K$97,OFFSET(Financials!P22,0,$E$92),0)</f>
        <v>800</v>
      </c>
      <c r="L132" s="102">
        <f ca="1">IF(L$97,OFFSET(Financials!Q22,0,$E$92),0)</f>
        <v>800</v>
      </c>
      <c r="M132" s="102">
        <f ca="1">IF(M$97,OFFSET(Financials!R22,0,$E$92),0)</f>
        <v>800</v>
      </c>
      <c r="N132" s="102">
        <f ca="1">IF(N$97,OFFSET(Financials!S22,0,$E$92),0)</f>
        <v>800</v>
      </c>
      <c r="O132" s="102">
        <f ca="1">IF(O$97,OFFSET(Financials!T22,0,$E$92),0)</f>
        <v>800</v>
      </c>
      <c r="P132" s="102">
        <f ca="1">IF(P$97,OFFSET(Financials!U22,0,$E$92),0)</f>
        <v>800</v>
      </c>
      <c r="Q132" s="280">
        <f ca="1">SUM(E132:P132)</f>
        <v>7200</v>
      </c>
    </row>
    <row r="133" spans="2:17" x14ac:dyDescent="0.15">
      <c r="B133" s="107" t="str">
        <f>Financials!B23</f>
        <v>Book a Piste</v>
      </c>
      <c r="D133" s="96">
        <f ca="1">MIN(ROWS($Q$130:$Q$134),RANK(Q133,Q$130:Q$134,0)+COUNTIFS(Q$130:Q133,Q133)-1)</f>
        <v>5</v>
      </c>
      <c r="E133" s="278">
        <f ca="1">IF(E$97,OFFSET(Financials!J23,0,$E$92),0)</f>
        <v>40</v>
      </c>
      <c r="F133" s="102">
        <f ca="1">IF(F$97,OFFSET(Financials!K23,0,$E$92),0)</f>
        <v>40</v>
      </c>
      <c r="G133" s="102">
        <f ca="1">IF(G$97,OFFSET(Financials!L23,0,$E$92),0)</f>
        <v>40</v>
      </c>
      <c r="H133" s="102">
        <f ca="1">IF(H$97,OFFSET(Financials!M23,0,$E$92),0)</f>
        <v>40</v>
      </c>
      <c r="I133" s="102">
        <f ca="1">IF(I$97,OFFSET(Financials!N23,0,$E$92),0)</f>
        <v>40</v>
      </c>
      <c r="J133" s="102">
        <f ca="1">IF(J$97,OFFSET(Financials!O23,0,$E$92),0)</f>
        <v>40</v>
      </c>
      <c r="K133" s="102">
        <f ca="1">IF(K$97,OFFSET(Financials!P23,0,$E$92),0)</f>
        <v>40</v>
      </c>
      <c r="L133" s="102">
        <f ca="1">IF(L$97,OFFSET(Financials!Q23,0,$E$92),0)</f>
        <v>40</v>
      </c>
      <c r="M133" s="102">
        <f ca="1">IF(M$97,OFFSET(Financials!R23,0,$E$92),0)</f>
        <v>40</v>
      </c>
      <c r="N133" s="102">
        <f ca="1">IF(N$97,OFFSET(Financials!S23,0,$E$92),0)</f>
        <v>40</v>
      </c>
      <c r="O133" s="102">
        <f ca="1">IF(O$97,OFFSET(Financials!T23,0,$E$92),0)</f>
        <v>40</v>
      </c>
      <c r="P133" s="102">
        <f ca="1">IF(P$97,OFFSET(Financials!U23,0,$E$92),0)</f>
        <v>40</v>
      </c>
      <c r="Q133" s="280">
        <f ca="1">SUM(E133:P133)</f>
        <v>480</v>
      </c>
    </row>
    <row r="134" spans="2:17" x14ac:dyDescent="0.15">
      <c r="B134" s="107" t="str">
        <f>Financials!B24</f>
        <v>Merch Sales</v>
      </c>
      <c r="D134" s="101">
        <f ca="1">MIN(ROWS($Q$130:$Q$134),RANK(Q134,Q$130:Q$134,0)+COUNTIFS(Q$130:Q134,Q134)-1)</f>
        <v>4</v>
      </c>
      <c r="E134" s="278">
        <f ca="1">IF(E$97,OFFSET(Financials!J24,0,$E$92),0)</f>
        <v>100</v>
      </c>
      <c r="F134" s="102">
        <f ca="1">IF(F$97,OFFSET(Financials!K24,0,$E$92),0)</f>
        <v>103.33333333333334</v>
      </c>
      <c r="G134" s="102">
        <f ca="1">IF(G$97,OFFSET(Financials!L24,0,$E$92),0)</f>
        <v>106.66666666666667</v>
      </c>
      <c r="H134" s="102">
        <f ca="1">IF(H$97,OFFSET(Financials!M24,0,$E$92),0)</f>
        <v>110</v>
      </c>
      <c r="I134" s="102">
        <f ca="1">IF(I$97,OFFSET(Financials!N24,0,$E$92),0)</f>
        <v>113.33333333333334</v>
      </c>
      <c r="J134" s="102">
        <f ca="1">IF(J$97,OFFSET(Financials!O24,0,$E$92),0)</f>
        <v>116.66666666666667</v>
      </c>
      <c r="K134" s="102">
        <f ca="1">IF(K$97,OFFSET(Financials!P24,0,$E$92),0)</f>
        <v>120</v>
      </c>
      <c r="L134" s="102">
        <f ca="1">IF(L$97,OFFSET(Financials!Q24,0,$E$92),0)</f>
        <v>123.33333333333334</v>
      </c>
      <c r="M134" s="102">
        <f ca="1">IF(M$97,OFFSET(Financials!R24,0,$E$92),0)</f>
        <v>126.66666666666667</v>
      </c>
      <c r="N134" s="102">
        <f ca="1">IF(N$97,OFFSET(Financials!S24,0,$E$92),0)</f>
        <v>130</v>
      </c>
      <c r="O134" s="102">
        <f ca="1">IF(O$97,OFFSET(Financials!T24,0,$E$92),0)</f>
        <v>133.33333333333334</v>
      </c>
      <c r="P134" s="102">
        <f ca="1">IF(P$97,OFFSET(Financials!U24,0,$E$92),0)</f>
        <v>136.66666666666669</v>
      </c>
      <c r="Q134" s="280">
        <f ca="1">SUM(E134:P134)</f>
        <v>1420</v>
      </c>
    </row>
    <row r="135" spans="2:17" x14ac:dyDescent="0.15">
      <c r="B135" s="16" t="s">
        <v>70</v>
      </c>
      <c r="D135" s="106"/>
      <c r="E135" s="228">
        <f t="shared" ref="E135:P135" ca="1" si="52">SUM(E130:E134)</f>
        <v>3371.0619354838709</v>
      </c>
      <c r="F135" s="228">
        <f t="shared" ca="1" si="52"/>
        <v>5460.4498733333321</v>
      </c>
      <c r="G135" s="228">
        <f t="shared" ca="1" si="52"/>
        <v>5658.2944516129037</v>
      </c>
      <c r="H135" s="228">
        <f t="shared" ca="1" si="52"/>
        <v>6738.0976666666666</v>
      </c>
      <c r="I135" s="228">
        <f t="shared" ca="1" si="52"/>
        <v>2898.1579913978489</v>
      </c>
      <c r="J135" s="228">
        <f t="shared" ca="1" si="52"/>
        <v>5264.5171290322578</v>
      </c>
      <c r="K135" s="228">
        <f t="shared" ca="1" si="52"/>
        <v>6074.5498666666672</v>
      </c>
      <c r="L135" s="228">
        <f t="shared" ca="1" si="52"/>
        <v>6044.8385397849461</v>
      </c>
      <c r="M135" s="228">
        <f t="shared" ca="1" si="52"/>
        <v>4902.4685600000003</v>
      </c>
      <c r="N135" s="228">
        <f t="shared" ca="1" si="52"/>
        <v>5694.5062731182788</v>
      </c>
      <c r="O135" s="228">
        <f t="shared" ca="1" si="52"/>
        <v>5619.0533333333333</v>
      </c>
      <c r="P135" s="228">
        <f t="shared" ca="1" si="52"/>
        <v>5209.1097290322577</v>
      </c>
      <c r="Q135" s="281">
        <f ca="1">SUM(Q130:Q134)</f>
        <v>62935.10534946237</v>
      </c>
    </row>
    <row r="137" spans="2:17" x14ac:dyDescent="0.15">
      <c r="B137" s="16" t="s">
        <v>158</v>
      </c>
      <c r="Q137" s="192" t="s">
        <v>63</v>
      </c>
    </row>
    <row r="138" spans="2:17" x14ac:dyDescent="0.15">
      <c r="B138" s="107" t="str">
        <f ca="1">IF(AND(ROWS(B$138:B$142)-ROWS(B$130:B$134)=1,ROWS(B$138:B138)=ROWS(B$130:B$134)+1),"Other Revenue",
IF(AND(ROWS(B$138:B138)&gt;ROWS(B$130:B$134),ROWS(B$138:B$142)&gt;ROWS(B$130:B$134)),"Other Revenue "&amp;ROWS(B$138:B138)-ROWS(B$130:B$134),
IF(AND(ROWS(B$138:B$142)&lt;&gt;ROWS(B$130:B$134),ROWS(B$138:B138)=ROWS(B$138:B$142)),"Other",
INDEX(B$130:B$134,MATCH(ROWS(B$138:B138),D$130:D$134,0)))))</f>
        <v>PAYG Fencing</v>
      </c>
      <c r="E138" s="17">
        <f ca="1">IF(ROWS(E$138:E138)&gt;ROWS(E$130:E$134),0,
IF(ROWS(E$138:E138)=ROWS(E$138:E$142),SUMIFS(E$130:E$134,$D$130:$D$134,"&gt;="&amp;ROWS(E$138:E138)),
SUMIFS(E$130:E$134,$D$130:$D$134,ROWS(E$138:E138))))</f>
        <v>2481.0619354838709</v>
      </c>
      <c r="F138" s="17">
        <f ca="1">IF(ROWS(F$138:F138)&gt;ROWS(F$130:F$134),0,
IF(ROWS(F$138:F138)=ROWS(F$138:F$142),SUMIFS(F$130:F$134,$D$130:$D$134,"&gt;="&amp;ROWS(F$138:F138)),
SUMIFS(F$130:F$134,$D$130:$D$134,ROWS(F$138:F138))))</f>
        <v>4567.1165399999991</v>
      </c>
      <c r="G138" s="17">
        <f ca="1">IF(ROWS(G$138:G138)&gt;ROWS(G$130:G$134),0,
IF(ROWS(G$138:G138)=ROWS(G$138:G$142),SUMIFS(G$130:G$134,$D$130:$D$134,"&gt;="&amp;ROWS(G$138:G138)),
SUMIFS(G$130:G$134,$D$130:$D$134,ROWS(G$138:G138))))</f>
        <v>4753.2944516129037</v>
      </c>
      <c r="H138" s="17">
        <f ca="1">IF(ROWS(H$138:H138)&gt;ROWS(H$130:H$134),0,
IF(ROWS(H$138:H138)=ROWS(H$138:H$142),SUMIFS(H$130:H$134,$D$130:$D$134,"&gt;="&amp;ROWS(H$138:H138)),
SUMIFS(H$130:H$134,$D$130:$D$134,ROWS(H$138:H138))))</f>
        <v>5821.4309999999996</v>
      </c>
      <c r="I138" s="17">
        <f ca="1">IF(ROWS(I$138:I138)&gt;ROWS(I$130:I$134),0,
IF(ROWS(I$138:I138)=ROWS(I$138:I$142),SUMIFS(I$130:I$134,$D$130:$D$134,"&gt;="&amp;ROWS(I$138:I138)),
SUMIFS(I$130:I$134,$D$130:$D$134,ROWS(I$138:I138))))</f>
        <v>1969.8246580645155</v>
      </c>
      <c r="J138" s="17">
        <f ca="1">IF(ROWS(J$138:J138)&gt;ROWS(J$130:J$134),0,
IF(ROWS(J$138:J138)=ROWS(J$138:J$142),SUMIFS(J$130:J$134,$D$130:$D$134,"&gt;="&amp;ROWS(J$138:J138)),
SUMIFS(J$130:J$134,$D$130:$D$134,ROWS(J$138:J138))))</f>
        <v>4324.5171290322578</v>
      </c>
      <c r="K138" s="17">
        <f ca="1">IF(ROWS(K$138:K138)&gt;ROWS(K$130:K$134),0,
IF(ROWS(K$138:K138)=ROWS(K$138:K$142),SUMIFS(K$130:K$134,$D$130:$D$134,"&gt;="&amp;ROWS(K$138:K138)),
SUMIFS(K$130:K$134,$D$130:$D$134,ROWS(K$138:K138))))</f>
        <v>4722.8832000000002</v>
      </c>
      <c r="L138" s="17">
        <f ca="1">IF(ROWS(L$138:L138)&gt;ROWS(L$130:L$134),0,
IF(ROWS(L$138:L138)=ROWS(L$138:L$142),SUMIFS(L$130:L$134,$D$130:$D$134,"&gt;="&amp;ROWS(L$138:L138)),
SUMIFS(L$130:L$134,$D$130:$D$134,ROWS(L$138:L138))))</f>
        <v>4681.505206451613</v>
      </c>
      <c r="M138" s="17">
        <f ca="1">IF(ROWS(M$138:M138)&gt;ROWS(M$130:M$134),0,
IF(ROWS(M$138:M138)=ROWS(M$138:M$142),SUMIFS(M$130:M$134,$D$130:$D$134,"&gt;="&amp;ROWS(M$138:M138)),
SUMIFS(M$130:M$134,$D$130:$D$134,ROWS(M$138:M138))))</f>
        <v>3527.4685600000003</v>
      </c>
      <c r="N138" s="17">
        <f ca="1">IF(ROWS(N$138:N138)&gt;ROWS(N$130:N$134),0,
IF(ROWS(N$138:N138)=ROWS(N$138:N$142),SUMIFS(N$130:N$134,$D$130:$D$134,"&gt;="&amp;ROWS(N$138:N138)),
SUMIFS(N$130:N$134,$D$130:$D$134,ROWS(N$138:N138))))</f>
        <v>4307.8396064516119</v>
      </c>
      <c r="O138" s="17">
        <f ca="1">IF(ROWS(O$138:O138)&gt;ROWS(O$130:O$134),0,
IF(ROWS(O$138:O138)=ROWS(O$138:O$142),SUMIFS(O$130:O$134,$D$130:$D$134,"&gt;="&amp;ROWS(O$138:O138)),
SUMIFS(O$130:O$134,$D$130:$D$134,ROWS(O$138:O138))))</f>
        <v>4220.72</v>
      </c>
      <c r="P138" s="17">
        <f ca="1">IF(ROWS(P$138:P138)&gt;ROWS(P$130:P$134),0,
IF(ROWS(P$138:P138)=ROWS(P$138:P$142),SUMIFS(P$130:P$134,$D$130:$D$134,"&gt;="&amp;ROWS(P$138:P138)),
SUMIFS(P$130:P$134,$D$130:$D$134,ROWS(P$138:P138))))</f>
        <v>3799.1097290322577</v>
      </c>
      <c r="Q138" s="280">
        <f ca="1">SUM(E138:P138)</f>
        <v>49176.772016129034</v>
      </c>
    </row>
    <row r="139" spans="2:17" x14ac:dyDescent="0.15">
      <c r="B139" s="107" t="str">
        <f ca="1">IF(AND(ROWS(B$138:B$142)-ROWS(B$130:B$134)=1,ROWS(B$138:B139)=ROWS(B$130:B$134)+1),"Other Revenue",
IF(AND(ROWS(B$138:B139)&gt;ROWS(B$130:B$134),ROWS(B$138:B$142)&gt;ROWS(B$130:B$134)),"Other Revenue "&amp;ROWS(B$138:B139)-ROWS(B$130:B$134),
IF(AND(ROWS(B$138:B$142)&lt;&gt;ROWS(B$130:B$134),ROWS(B$138:B139)=ROWS(B$138:B$142)),"Other",
INDEX(B$130:B$134,MATCH(ROWS(B$138:B139),D$130:D$134,0)))))</f>
        <v>Private Hire</v>
      </c>
      <c r="E139" s="17">
        <f ca="1">IF(ROWS(E$138:E139)&gt;ROWS(E$130:E$134),0,
IF(ROWS(E$138:E139)=ROWS(E$138:E$142),SUMIFS(E$130:E$134,$D$130:$D$134,"&gt;="&amp;ROWS(E$138:E139)),
SUMIFS(E$130:E$134,$D$130:$D$134,ROWS(E$138:E139))))</f>
        <v>400</v>
      </c>
      <c r="F139" s="17">
        <f ca="1">IF(ROWS(F$138:F139)&gt;ROWS(F$130:F$134),0,
IF(ROWS(F$138:F139)=ROWS(F$138:F$142),SUMIFS(F$130:F$134,$D$130:$D$134,"&gt;="&amp;ROWS(F$138:F139)),
SUMIFS(F$130:F$134,$D$130:$D$134,ROWS(F$138:F139))))</f>
        <v>400</v>
      </c>
      <c r="G139" s="17">
        <f ca="1">IF(ROWS(G$138:G139)&gt;ROWS(G$130:G$134),0,
IF(ROWS(G$138:G139)=ROWS(G$138:G$142),SUMIFS(G$130:G$134,$D$130:$D$134,"&gt;="&amp;ROWS(G$138:G139)),
SUMIFS(G$130:G$134,$D$130:$D$134,ROWS(G$138:G139))))</f>
        <v>400</v>
      </c>
      <c r="H139" s="17">
        <f ca="1">IF(ROWS(H$138:H139)&gt;ROWS(H$130:H$134),0,
IF(ROWS(H$138:H139)=ROWS(H$138:H$142),SUMIFS(H$130:H$134,$D$130:$D$134,"&gt;="&amp;ROWS(H$138:H139)),
SUMIFS(H$130:H$134,$D$130:$D$134,ROWS(H$138:H139))))</f>
        <v>400</v>
      </c>
      <c r="I139" s="17">
        <f ca="1">IF(ROWS(I$138:I139)&gt;ROWS(I$130:I$134),0,
IF(ROWS(I$138:I139)=ROWS(I$138:I$142),SUMIFS(I$130:I$134,$D$130:$D$134,"&gt;="&amp;ROWS(I$138:I139)),
SUMIFS(I$130:I$134,$D$130:$D$134,ROWS(I$138:I139))))</f>
        <v>400</v>
      </c>
      <c r="J139" s="17">
        <f ca="1">IF(ROWS(J$138:J139)&gt;ROWS(J$130:J$134),0,
IF(ROWS(J$138:J139)=ROWS(J$138:J$142),SUMIFS(J$130:J$134,$D$130:$D$134,"&gt;="&amp;ROWS(J$138:J139)),
SUMIFS(J$130:J$134,$D$130:$D$134,ROWS(J$138:J139))))</f>
        <v>400</v>
      </c>
      <c r="K139" s="17">
        <f ca="1">IF(ROWS(K$138:K139)&gt;ROWS(K$130:K$134),0,
IF(ROWS(K$138:K139)=ROWS(K$138:K$142),SUMIFS(K$130:K$134,$D$130:$D$134,"&gt;="&amp;ROWS(K$138:K139)),
SUMIFS(K$130:K$134,$D$130:$D$134,ROWS(K$138:K139))))</f>
        <v>800</v>
      </c>
      <c r="L139" s="17">
        <f ca="1">IF(ROWS(L$138:L139)&gt;ROWS(L$130:L$134),0,
IF(ROWS(L$138:L139)=ROWS(L$138:L$142),SUMIFS(L$130:L$134,$D$130:$D$134,"&gt;="&amp;ROWS(L$138:L139)),
SUMIFS(L$130:L$134,$D$130:$D$134,ROWS(L$138:L139))))</f>
        <v>800</v>
      </c>
      <c r="M139" s="17">
        <f ca="1">IF(ROWS(M$138:M139)&gt;ROWS(M$130:M$134),0,
IF(ROWS(M$138:M139)=ROWS(M$138:M$142),SUMIFS(M$130:M$134,$D$130:$D$134,"&gt;="&amp;ROWS(M$138:M139)),
SUMIFS(M$130:M$134,$D$130:$D$134,ROWS(M$138:M139))))</f>
        <v>800</v>
      </c>
      <c r="N139" s="17">
        <f ca="1">IF(ROWS(N$138:N139)&gt;ROWS(N$130:N$134),0,
IF(ROWS(N$138:N139)=ROWS(N$138:N$142),SUMIFS(N$130:N$134,$D$130:$D$134,"&gt;="&amp;ROWS(N$138:N139)),
SUMIFS(N$130:N$134,$D$130:$D$134,ROWS(N$138:N139))))</f>
        <v>800</v>
      </c>
      <c r="O139" s="17">
        <f ca="1">IF(ROWS(O$138:O139)&gt;ROWS(O$130:O$134),0,
IF(ROWS(O$138:O139)=ROWS(O$138:O$142),SUMIFS(O$130:O$134,$D$130:$D$134,"&gt;="&amp;ROWS(O$138:O139)),
SUMIFS(O$130:O$134,$D$130:$D$134,ROWS(O$138:O139))))</f>
        <v>800</v>
      </c>
      <c r="P139" s="17">
        <f ca="1">IF(ROWS(P$138:P139)&gt;ROWS(P$130:P$134),0,
IF(ROWS(P$138:P139)=ROWS(P$138:P$142),SUMIFS(P$130:P$134,$D$130:$D$134,"&gt;="&amp;ROWS(P$138:P139)),
SUMIFS(P$130:P$134,$D$130:$D$134,ROWS(P$138:P139))))</f>
        <v>800</v>
      </c>
      <c r="Q139" s="280">
        <f ca="1">SUM(E139:P139)</f>
        <v>7200</v>
      </c>
    </row>
    <row r="140" spans="2:17" x14ac:dyDescent="0.15">
      <c r="B140" s="107" t="str">
        <f ca="1">IF(AND(ROWS(B$138:B$142)-ROWS(B$130:B$134)=1,ROWS(B$138:B140)=ROWS(B$130:B$134)+1),"Other Revenue",
IF(AND(ROWS(B$138:B140)&gt;ROWS(B$130:B$134),ROWS(B$138:B$142)&gt;ROWS(B$130:B$134)),"Other Revenue "&amp;ROWS(B$138:B140)-ROWS(B$130:B$134),
IF(AND(ROWS(B$138:B$142)&lt;&gt;ROWS(B$130:B$134),ROWS(B$138:B140)=ROWS(B$138:B$142)),"Other",
INDEX(B$130:B$134,MATCH(ROWS(B$138:B140),D$130:D$134,0)))))</f>
        <v>Membership Fees</v>
      </c>
      <c r="E140" s="17">
        <f ca="1">IF(ROWS(E$138:E140)&gt;ROWS(E$130:E$134),0,
IF(ROWS(E$138:E140)=ROWS(E$138:E$142),SUMIFS(E$130:E$134,$D$130:$D$134,"&gt;="&amp;ROWS(E$138:E140)),
SUMIFS(E$130:E$134,$D$130:$D$134,ROWS(E$138:E140))))</f>
        <v>350</v>
      </c>
      <c r="F140" s="17">
        <f ca="1">IF(ROWS(F$138:F140)&gt;ROWS(F$130:F$134),0,
IF(ROWS(F$138:F140)=ROWS(F$138:F$142),SUMIFS(F$130:F$134,$D$130:$D$134,"&gt;="&amp;ROWS(F$138:F140)),
SUMIFS(F$130:F$134,$D$130:$D$134,ROWS(F$138:F140))))</f>
        <v>350</v>
      </c>
      <c r="G140" s="17">
        <f ca="1">IF(ROWS(G$138:G140)&gt;ROWS(G$130:G$134),0,
IF(ROWS(G$138:G140)=ROWS(G$138:G$142),SUMIFS(G$130:G$134,$D$130:$D$134,"&gt;="&amp;ROWS(G$138:G140)),
SUMIFS(G$130:G$134,$D$130:$D$134,ROWS(G$138:G140))))</f>
        <v>358.33333333333337</v>
      </c>
      <c r="H140" s="17">
        <f ca="1">IF(ROWS(H$138:H140)&gt;ROWS(H$130:H$134),0,
IF(ROWS(H$138:H140)=ROWS(H$138:H$142),SUMIFS(H$130:H$134,$D$130:$D$134,"&gt;="&amp;ROWS(H$138:H140)),
SUMIFS(H$130:H$134,$D$130:$D$134,ROWS(H$138:H140))))</f>
        <v>366.66666666666663</v>
      </c>
      <c r="I140" s="17">
        <f ca="1">IF(ROWS(I$138:I140)&gt;ROWS(I$130:I$134),0,
IF(ROWS(I$138:I140)=ROWS(I$138:I$142),SUMIFS(I$130:I$134,$D$130:$D$134,"&gt;="&amp;ROWS(I$138:I140)),
SUMIFS(I$130:I$134,$D$130:$D$134,ROWS(I$138:I140))))</f>
        <v>375</v>
      </c>
      <c r="J140" s="17">
        <f ca="1">IF(ROWS(J$138:J140)&gt;ROWS(J$130:J$134),0,
IF(ROWS(J$138:J140)=ROWS(J$138:J$142),SUMIFS(J$130:J$134,$D$130:$D$134,"&gt;="&amp;ROWS(J$138:J140)),
SUMIFS(J$130:J$134,$D$130:$D$134,ROWS(J$138:J140))))</f>
        <v>383.33333333333337</v>
      </c>
      <c r="K140" s="17">
        <f ca="1">IF(ROWS(K$138:K140)&gt;ROWS(K$130:K$134),0,
IF(ROWS(K$138:K140)=ROWS(K$138:K$142),SUMIFS(K$130:K$134,$D$130:$D$134,"&gt;="&amp;ROWS(K$138:K140)),
SUMIFS(K$130:K$134,$D$130:$D$134,ROWS(K$138:K140))))</f>
        <v>391.66666666666663</v>
      </c>
      <c r="L140" s="17">
        <f ca="1">IF(ROWS(L$138:L140)&gt;ROWS(L$130:L$134),0,
IF(ROWS(L$138:L140)=ROWS(L$138:L$142),SUMIFS(L$130:L$134,$D$130:$D$134,"&gt;="&amp;ROWS(L$138:L140)),
SUMIFS(L$130:L$134,$D$130:$D$134,ROWS(L$138:L140))))</f>
        <v>400</v>
      </c>
      <c r="M140" s="17">
        <f ca="1">IF(ROWS(M$138:M140)&gt;ROWS(M$130:M$134),0,
IF(ROWS(M$138:M140)=ROWS(M$138:M$142),SUMIFS(M$130:M$134,$D$130:$D$134,"&gt;="&amp;ROWS(M$138:M140)),
SUMIFS(M$130:M$134,$D$130:$D$134,ROWS(M$138:M140))))</f>
        <v>408.33333333333337</v>
      </c>
      <c r="N140" s="17">
        <f ca="1">IF(ROWS(N$138:N140)&gt;ROWS(N$130:N$134),0,
IF(ROWS(N$138:N140)=ROWS(N$138:N$142),SUMIFS(N$130:N$134,$D$130:$D$134,"&gt;="&amp;ROWS(N$138:N140)),
SUMIFS(N$130:N$134,$D$130:$D$134,ROWS(N$138:N140))))</f>
        <v>416.66666666666663</v>
      </c>
      <c r="O140" s="17">
        <f ca="1">IF(ROWS(O$138:O140)&gt;ROWS(O$130:O$134),0,
IF(ROWS(O$138:O140)=ROWS(O$138:O$142),SUMIFS(O$130:O$134,$D$130:$D$134,"&gt;="&amp;ROWS(O$138:O140)),
SUMIFS(O$130:O$134,$D$130:$D$134,ROWS(O$138:O140))))</f>
        <v>425</v>
      </c>
      <c r="P140" s="17">
        <f ca="1">IF(ROWS(P$138:P140)&gt;ROWS(P$130:P$134),0,
IF(ROWS(P$138:P140)=ROWS(P$138:P$142),SUMIFS(P$130:P$134,$D$130:$D$134,"&gt;="&amp;ROWS(P$138:P140)),
SUMIFS(P$130:P$134,$D$130:$D$134,ROWS(P$138:P140))))</f>
        <v>433.33333333333337</v>
      </c>
      <c r="Q140" s="280">
        <f ca="1">SUM(E140:P140)</f>
        <v>4658.333333333333</v>
      </c>
    </row>
    <row r="141" spans="2:17" x14ac:dyDescent="0.15">
      <c r="B141" s="107" t="str">
        <f ca="1">IF(AND(ROWS(B$138:B$142)-ROWS(B$130:B$134)=1,ROWS(B$138:B141)=ROWS(B$130:B$134)+1),"Other Revenue",
IF(AND(ROWS(B$138:B141)&gt;ROWS(B$130:B$134),ROWS(B$138:B$142)&gt;ROWS(B$130:B$134)),"Other Revenue "&amp;ROWS(B$138:B141)-ROWS(B$130:B$134),
IF(AND(ROWS(B$138:B$142)&lt;&gt;ROWS(B$130:B$134),ROWS(B$138:B141)=ROWS(B$138:B$142)),"Other",
INDEX(B$130:B$134,MATCH(ROWS(B$138:B141),D$130:D$134,0)))))</f>
        <v>Merch Sales</v>
      </c>
      <c r="E141" s="17">
        <f ca="1">IF(ROWS(E$138:E141)&gt;ROWS(E$130:E$134),0,
IF(ROWS(E$138:E141)=ROWS(E$138:E$142),SUMIFS(E$130:E$134,$D$130:$D$134,"&gt;="&amp;ROWS(E$138:E141)),
SUMIFS(E$130:E$134,$D$130:$D$134,ROWS(E$138:E141))))</f>
        <v>100</v>
      </c>
      <c r="F141" s="17">
        <f ca="1">IF(ROWS(F$138:F141)&gt;ROWS(F$130:F$134),0,
IF(ROWS(F$138:F141)=ROWS(F$138:F$142),SUMIFS(F$130:F$134,$D$130:$D$134,"&gt;="&amp;ROWS(F$138:F141)),
SUMIFS(F$130:F$134,$D$130:$D$134,ROWS(F$138:F141))))</f>
        <v>103.33333333333334</v>
      </c>
      <c r="G141" s="17">
        <f ca="1">IF(ROWS(G$138:G141)&gt;ROWS(G$130:G$134),0,
IF(ROWS(G$138:G141)=ROWS(G$138:G$142),SUMIFS(G$130:G$134,$D$130:$D$134,"&gt;="&amp;ROWS(G$138:G141)),
SUMIFS(G$130:G$134,$D$130:$D$134,ROWS(G$138:G141))))</f>
        <v>106.66666666666667</v>
      </c>
      <c r="H141" s="17">
        <f ca="1">IF(ROWS(H$138:H141)&gt;ROWS(H$130:H$134),0,
IF(ROWS(H$138:H141)=ROWS(H$138:H$142),SUMIFS(H$130:H$134,$D$130:$D$134,"&gt;="&amp;ROWS(H$138:H141)),
SUMIFS(H$130:H$134,$D$130:$D$134,ROWS(H$138:H141))))</f>
        <v>110</v>
      </c>
      <c r="I141" s="17">
        <f ca="1">IF(ROWS(I$138:I141)&gt;ROWS(I$130:I$134),0,
IF(ROWS(I$138:I141)=ROWS(I$138:I$142),SUMIFS(I$130:I$134,$D$130:$D$134,"&gt;="&amp;ROWS(I$138:I141)),
SUMIFS(I$130:I$134,$D$130:$D$134,ROWS(I$138:I141))))</f>
        <v>113.33333333333334</v>
      </c>
      <c r="J141" s="17">
        <f ca="1">IF(ROWS(J$138:J141)&gt;ROWS(J$130:J$134),0,
IF(ROWS(J$138:J141)=ROWS(J$138:J$142),SUMIFS(J$130:J$134,$D$130:$D$134,"&gt;="&amp;ROWS(J$138:J141)),
SUMIFS(J$130:J$134,$D$130:$D$134,ROWS(J$138:J141))))</f>
        <v>116.66666666666667</v>
      </c>
      <c r="K141" s="17">
        <f ca="1">IF(ROWS(K$138:K141)&gt;ROWS(K$130:K$134),0,
IF(ROWS(K$138:K141)=ROWS(K$138:K$142),SUMIFS(K$130:K$134,$D$130:$D$134,"&gt;="&amp;ROWS(K$138:K141)),
SUMIFS(K$130:K$134,$D$130:$D$134,ROWS(K$138:K141))))</f>
        <v>120</v>
      </c>
      <c r="L141" s="17">
        <f ca="1">IF(ROWS(L$138:L141)&gt;ROWS(L$130:L$134),0,
IF(ROWS(L$138:L141)=ROWS(L$138:L$142),SUMIFS(L$130:L$134,$D$130:$D$134,"&gt;="&amp;ROWS(L$138:L141)),
SUMIFS(L$130:L$134,$D$130:$D$134,ROWS(L$138:L141))))</f>
        <v>123.33333333333334</v>
      </c>
      <c r="M141" s="17">
        <f ca="1">IF(ROWS(M$138:M141)&gt;ROWS(M$130:M$134),0,
IF(ROWS(M$138:M141)=ROWS(M$138:M$142),SUMIFS(M$130:M$134,$D$130:$D$134,"&gt;="&amp;ROWS(M$138:M141)),
SUMIFS(M$130:M$134,$D$130:$D$134,ROWS(M$138:M141))))</f>
        <v>126.66666666666667</v>
      </c>
      <c r="N141" s="17">
        <f ca="1">IF(ROWS(N$138:N141)&gt;ROWS(N$130:N$134),0,
IF(ROWS(N$138:N141)=ROWS(N$138:N$142),SUMIFS(N$130:N$134,$D$130:$D$134,"&gt;="&amp;ROWS(N$138:N141)),
SUMIFS(N$130:N$134,$D$130:$D$134,ROWS(N$138:N141))))</f>
        <v>130</v>
      </c>
      <c r="O141" s="17">
        <f ca="1">IF(ROWS(O$138:O141)&gt;ROWS(O$130:O$134),0,
IF(ROWS(O$138:O141)=ROWS(O$138:O$142),SUMIFS(O$130:O$134,$D$130:$D$134,"&gt;="&amp;ROWS(O$138:O141)),
SUMIFS(O$130:O$134,$D$130:$D$134,ROWS(O$138:O141))))</f>
        <v>133.33333333333334</v>
      </c>
      <c r="P141" s="17">
        <f ca="1">IF(ROWS(P$138:P141)&gt;ROWS(P$130:P$134),0,
IF(ROWS(P$138:P141)=ROWS(P$138:P$142),SUMIFS(P$130:P$134,$D$130:$D$134,"&gt;="&amp;ROWS(P$138:P141)),
SUMIFS(P$130:P$134,$D$130:$D$134,ROWS(P$138:P141))))</f>
        <v>136.66666666666669</v>
      </c>
      <c r="Q141" s="280">
        <f ca="1">SUM(E141:P141)</f>
        <v>1420</v>
      </c>
    </row>
    <row r="142" spans="2:17" x14ac:dyDescent="0.15">
      <c r="B142" s="107" t="str">
        <f ca="1">IF(AND(ROWS(B$138:B$142)-ROWS(B$130:B$134)=1,ROWS(B$138:B142)=ROWS(B$130:B$134)+1),"Other Revenue",
IF(AND(ROWS(B$138:B142)&gt;ROWS(B$130:B$134),ROWS(B$138:B$142)&gt;ROWS(B$130:B$134)),"Other Revenue "&amp;ROWS(B$138:B142)-ROWS(B$130:B$134),
IF(AND(ROWS(B$138:B$142)&lt;&gt;ROWS(B$130:B$134),ROWS(B$138:B142)=ROWS(B$138:B$142)),"Other",
INDEX(B$130:B$134,MATCH(ROWS(B$138:B142),D$130:D$134,0)))))</f>
        <v>Book a Piste</v>
      </c>
      <c r="E142" s="17">
        <f ca="1">IF(ROWS(E$138:E142)&gt;ROWS(E$130:E$134),0,
IF(ROWS(E$138:E142)=ROWS(E$138:E$142),SUMIFS(E$130:E$134,$D$130:$D$134,"&gt;="&amp;ROWS(E$138:E142)),
SUMIFS(E$130:E$134,$D$130:$D$134,ROWS(E$138:E142))))</f>
        <v>40</v>
      </c>
      <c r="F142" s="17">
        <f ca="1">IF(ROWS(F$138:F142)&gt;ROWS(F$130:F$134),0,
IF(ROWS(F$138:F142)=ROWS(F$138:F$142),SUMIFS(F$130:F$134,$D$130:$D$134,"&gt;="&amp;ROWS(F$138:F142)),
SUMIFS(F$130:F$134,$D$130:$D$134,ROWS(F$138:F142))))</f>
        <v>40</v>
      </c>
      <c r="G142" s="17">
        <f ca="1">IF(ROWS(G$138:G142)&gt;ROWS(G$130:G$134),0,
IF(ROWS(G$138:G142)=ROWS(G$138:G$142),SUMIFS(G$130:G$134,$D$130:$D$134,"&gt;="&amp;ROWS(G$138:G142)),
SUMIFS(G$130:G$134,$D$130:$D$134,ROWS(G$138:G142))))</f>
        <v>40</v>
      </c>
      <c r="H142" s="17">
        <f ca="1">IF(ROWS(H$138:H142)&gt;ROWS(H$130:H$134),0,
IF(ROWS(H$138:H142)=ROWS(H$138:H$142),SUMIFS(H$130:H$134,$D$130:$D$134,"&gt;="&amp;ROWS(H$138:H142)),
SUMIFS(H$130:H$134,$D$130:$D$134,ROWS(H$138:H142))))</f>
        <v>40</v>
      </c>
      <c r="I142" s="17">
        <f ca="1">IF(ROWS(I$138:I142)&gt;ROWS(I$130:I$134),0,
IF(ROWS(I$138:I142)=ROWS(I$138:I$142),SUMIFS(I$130:I$134,$D$130:$D$134,"&gt;="&amp;ROWS(I$138:I142)),
SUMIFS(I$130:I$134,$D$130:$D$134,ROWS(I$138:I142))))</f>
        <v>40</v>
      </c>
      <c r="J142" s="17">
        <f ca="1">IF(ROWS(J$138:J142)&gt;ROWS(J$130:J$134),0,
IF(ROWS(J$138:J142)=ROWS(J$138:J$142),SUMIFS(J$130:J$134,$D$130:$D$134,"&gt;="&amp;ROWS(J$138:J142)),
SUMIFS(J$130:J$134,$D$130:$D$134,ROWS(J$138:J142))))</f>
        <v>40</v>
      </c>
      <c r="K142" s="17">
        <f ca="1">IF(ROWS(K$138:K142)&gt;ROWS(K$130:K$134),0,
IF(ROWS(K$138:K142)=ROWS(K$138:K$142),SUMIFS(K$130:K$134,$D$130:$D$134,"&gt;="&amp;ROWS(K$138:K142)),
SUMIFS(K$130:K$134,$D$130:$D$134,ROWS(K$138:K142))))</f>
        <v>40</v>
      </c>
      <c r="L142" s="17">
        <f ca="1">IF(ROWS(L$138:L142)&gt;ROWS(L$130:L$134),0,
IF(ROWS(L$138:L142)=ROWS(L$138:L$142),SUMIFS(L$130:L$134,$D$130:$D$134,"&gt;="&amp;ROWS(L$138:L142)),
SUMIFS(L$130:L$134,$D$130:$D$134,ROWS(L$138:L142))))</f>
        <v>40</v>
      </c>
      <c r="M142" s="17">
        <f ca="1">IF(ROWS(M$138:M142)&gt;ROWS(M$130:M$134),0,
IF(ROWS(M$138:M142)=ROWS(M$138:M$142),SUMIFS(M$130:M$134,$D$130:$D$134,"&gt;="&amp;ROWS(M$138:M142)),
SUMIFS(M$130:M$134,$D$130:$D$134,ROWS(M$138:M142))))</f>
        <v>40</v>
      </c>
      <c r="N142" s="17">
        <f ca="1">IF(ROWS(N$138:N142)&gt;ROWS(N$130:N$134),0,
IF(ROWS(N$138:N142)=ROWS(N$138:N$142),SUMIFS(N$130:N$134,$D$130:$D$134,"&gt;="&amp;ROWS(N$138:N142)),
SUMIFS(N$130:N$134,$D$130:$D$134,ROWS(N$138:N142))))</f>
        <v>40</v>
      </c>
      <c r="O142" s="17">
        <f ca="1">IF(ROWS(O$138:O142)&gt;ROWS(O$130:O$134),0,
IF(ROWS(O$138:O142)=ROWS(O$138:O$142),SUMIFS(O$130:O$134,$D$130:$D$134,"&gt;="&amp;ROWS(O$138:O142)),
SUMIFS(O$130:O$134,$D$130:$D$134,ROWS(O$138:O142))))</f>
        <v>40</v>
      </c>
      <c r="P142" s="17">
        <f ca="1">IF(ROWS(P$138:P142)&gt;ROWS(P$130:P$134),0,
IF(ROWS(P$138:P142)=ROWS(P$138:P$142),SUMIFS(P$130:P$134,$D$130:$D$134,"&gt;="&amp;ROWS(P$138:P142)),
SUMIFS(P$130:P$134,$D$130:$D$134,ROWS(P$138:P142))))</f>
        <v>40</v>
      </c>
      <c r="Q142" s="280">
        <f ca="1">SUM(E142:P142)</f>
        <v>480</v>
      </c>
    </row>
    <row r="143" spans="2:17" x14ac:dyDescent="0.15">
      <c r="B143" s="16" t="str">
        <f>B135</f>
        <v>Total Revenue</v>
      </c>
      <c r="E143" s="228">
        <f t="shared" ref="E143:P143" ca="1" si="53">SUM(E138:E142)</f>
        <v>3371.0619354838709</v>
      </c>
      <c r="F143" s="228">
        <f t="shared" ca="1" si="53"/>
        <v>5460.4498733333321</v>
      </c>
      <c r="G143" s="228">
        <f t="shared" ca="1" si="53"/>
        <v>5658.2944516129037</v>
      </c>
      <c r="H143" s="228">
        <f t="shared" ca="1" si="53"/>
        <v>6738.0976666666666</v>
      </c>
      <c r="I143" s="228">
        <f t="shared" ca="1" si="53"/>
        <v>2898.1579913978489</v>
      </c>
      <c r="J143" s="228">
        <f t="shared" ca="1" si="53"/>
        <v>5264.5171290322578</v>
      </c>
      <c r="K143" s="228">
        <f t="shared" ca="1" si="53"/>
        <v>6074.5498666666672</v>
      </c>
      <c r="L143" s="228">
        <f t="shared" ca="1" si="53"/>
        <v>6044.8385397849461</v>
      </c>
      <c r="M143" s="228">
        <f t="shared" ca="1" si="53"/>
        <v>4902.4685600000003</v>
      </c>
      <c r="N143" s="228">
        <f t="shared" ca="1" si="53"/>
        <v>5694.5062731182788</v>
      </c>
      <c r="O143" s="228">
        <f t="shared" ca="1" si="53"/>
        <v>5619.0533333333333</v>
      </c>
      <c r="P143" s="228">
        <f t="shared" ca="1" si="53"/>
        <v>5209.1097290322577</v>
      </c>
      <c r="Q143" s="281">
        <f ca="1">SUM(Q138:Q142)</f>
        <v>62935.10534946237</v>
      </c>
    </row>
    <row r="145" spans="2:34" x14ac:dyDescent="0.15">
      <c r="B145" s="108" t="s">
        <v>73</v>
      </c>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row>
    <row r="147" spans="2:34" x14ac:dyDescent="0.15">
      <c r="B147" s="16" t="s">
        <v>159</v>
      </c>
      <c r="D147" s="177" t="s">
        <v>157</v>
      </c>
      <c r="E147" s="62" t="str">
        <f t="shared" ref="E147:P147" si="54">E$95</f>
        <v>Aug-23</v>
      </c>
      <c r="F147" s="62" t="str">
        <f t="shared" si="54"/>
        <v>Sep-23</v>
      </c>
      <c r="G147" s="62" t="str">
        <f t="shared" si="54"/>
        <v>Oct-23</v>
      </c>
      <c r="H147" s="62" t="str">
        <f t="shared" si="54"/>
        <v>Nov-23</v>
      </c>
      <c r="I147" s="62" t="str">
        <f t="shared" si="54"/>
        <v>Dec-23</v>
      </c>
      <c r="J147" s="62" t="str">
        <f t="shared" si="54"/>
        <v>Jan-24</v>
      </c>
      <c r="K147" s="62" t="str">
        <f t="shared" si="54"/>
        <v>Feb-24</v>
      </c>
      <c r="L147" s="62" t="str">
        <f t="shared" si="54"/>
        <v>Mar-24</v>
      </c>
      <c r="M147" s="62" t="str">
        <f t="shared" si="54"/>
        <v>Apr-24</v>
      </c>
      <c r="N147" s="62" t="str">
        <f t="shared" si="54"/>
        <v>May-24</v>
      </c>
      <c r="O147" s="62" t="str">
        <f t="shared" si="54"/>
        <v>Jun-24</v>
      </c>
      <c r="P147" s="62" t="str">
        <f t="shared" si="54"/>
        <v>Jul-24</v>
      </c>
      <c r="Q147" s="191" t="s">
        <v>63</v>
      </c>
    </row>
    <row r="148" spans="2:34" x14ac:dyDescent="0.15">
      <c r="B148" s="107" t="str">
        <f>Financials!B40</f>
        <v>Rent</v>
      </c>
      <c r="D148" s="208">
        <f ca="1">MIN(ROWS($Q$148:$Q$155),RANK(Q148,Q$148:Q$155,0)+COUNTIFS(Q$148:Q148,Q148)-1)</f>
        <v>1</v>
      </c>
      <c r="E148" s="102">
        <f ca="1">IF(E$97,-OFFSET(Financials!J40,0,$E$92),0)</f>
        <v>5833.3333333333339</v>
      </c>
      <c r="F148" s="102">
        <f ca="1">IF(F$97,-OFFSET(Financials!K40,0,$E$92),0)</f>
        <v>5833.3333333333339</v>
      </c>
      <c r="G148" s="102">
        <f ca="1">IF(G$97,-OFFSET(Financials!L40,0,$E$92),0)</f>
        <v>5833.3333333333339</v>
      </c>
      <c r="H148" s="102">
        <f ca="1">IF(H$97,-OFFSET(Financials!M40,0,$E$92),0)</f>
        <v>5833.3333333333339</v>
      </c>
      <c r="I148" s="102">
        <f ca="1">IF(I$97,-OFFSET(Financials!N40,0,$E$92),0)</f>
        <v>5833.3333333333339</v>
      </c>
      <c r="J148" s="102">
        <f ca="1">IF(J$97,-OFFSET(Financials!O40,0,$E$92),0)</f>
        <v>5833.3333333333339</v>
      </c>
      <c r="K148" s="102">
        <f ca="1">IF(K$97,-OFFSET(Financials!P40,0,$E$92),0)</f>
        <v>5833.3333333333339</v>
      </c>
      <c r="L148" s="102">
        <f ca="1">IF(L$97,-OFFSET(Financials!Q40,0,$E$92),0)</f>
        <v>5833.3333333333339</v>
      </c>
      <c r="M148" s="102">
        <f ca="1">IF(M$97,-OFFSET(Financials!R40,0,$E$92),0)</f>
        <v>5833.3333333333339</v>
      </c>
      <c r="N148" s="102">
        <f ca="1">IF(N$97,-OFFSET(Financials!S40,0,$E$92),0)</f>
        <v>5833.3333333333339</v>
      </c>
      <c r="O148" s="102">
        <f ca="1">IF(O$97,-OFFSET(Financials!T40,0,$E$92),0)</f>
        <v>5833.3333333333339</v>
      </c>
      <c r="P148" s="102">
        <f ca="1">IF(P$97,-OFFSET(Financials!U40,0,$E$92),0)</f>
        <v>5833.3333333333339</v>
      </c>
      <c r="Q148" s="279">
        <f t="shared" ref="Q148:Q155" ca="1" si="55">SUM(E148:P148)</f>
        <v>70000.000000000015</v>
      </c>
    </row>
    <row r="149" spans="2:34" x14ac:dyDescent="0.15">
      <c r="B149" s="107" t="str">
        <f>Financials!B41</f>
        <v>Rates</v>
      </c>
      <c r="D149" s="209">
        <f ca="1">MIN(ROWS($Q$148:$Q$155),RANK(Q149,Q$148:Q$155,0)+COUNTIFS(Q$148:Q149,Q149)-1)</f>
        <v>3</v>
      </c>
      <c r="E149" s="17">
        <f ca="1">IF(E$97,-OFFSET(Financials!J41,0,$E$92),0)</f>
        <v>227.08333333333337</v>
      </c>
      <c r="F149" s="17">
        <f ca="1">IF(F$97,-OFFSET(Financials!K41,0,$E$92),0)</f>
        <v>227.08333333333337</v>
      </c>
      <c r="G149" s="17">
        <f ca="1">IF(G$97,-OFFSET(Financials!L41,0,$E$92),0)</f>
        <v>227.08333333333337</v>
      </c>
      <c r="H149" s="17">
        <f ca="1">IF(H$97,-OFFSET(Financials!M41,0,$E$92),0)</f>
        <v>227.08333333333337</v>
      </c>
      <c r="I149" s="17">
        <f ca="1">IF(I$97,-OFFSET(Financials!N41,0,$E$92),0)</f>
        <v>227.08333333333337</v>
      </c>
      <c r="J149" s="17">
        <f ca="1">IF(J$97,-OFFSET(Financials!O41,0,$E$92),0)</f>
        <v>227.08333333333337</v>
      </c>
      <c r="K149" s="17">
        <f ca="1">IF(K$97,-OFFSET(Financials!P41,0,$E$92),0)</f>
        <v>227.08333333333337</v>
      </c>
      <c r="L149" s="17">
        <f ca="1">IF(L$97,-OFFSET(Financials!Q41,0,$E$92),0)</f>
        <v>227.08333333333337</v>
      </c>
      <c r="M149" s="17">
        <f ca="1">IF(M$97,-OFFSET(Financials!R41,0,$E$92),0)</f>
        <v>227.08333333333337</v>
      </c>
      <c r="N149" s="17">
        <f ca="1">IF(N$97,-OFFSET(Financials!S41,0,$E$92),0)</f>
        <v>227.08333333333337</v>
      </c>
      <c r="O149" s="17">
        <f ca="1">IF(O$97,-OFFSET(Financials!T41,0,$E$92),0)</f>
        <v>227.08333333333337</v>
      </c>
      <c r="P149" s="17">
        <f ca="1">IF(P$97,-OFFSET(Financials!U41,0,$E$92),0)</f>
        <v>227.08333333333337</v>
      </c>
      <c r="Q149" s="280">
        <f t="shared" ca="1" si="55"/>
        <v>2725.0000000000014</v>
      </c>
    </row>
    <row r="150" spans="2:34" x14ac:dyDescent="0.15">
      <c r="B150" s="107" t="str">
        <f>Financials!B42</f>
        <v>Staff Cost</v>
      </c>
      <c r="D150" s="209">
        <f ca="1">MIN(ROWS($Q$148:$Q$155),RANK(Q150,Q$148:Q$155,0)+COUNTIFS(Q$148:Q150,Q150)-1)</f>
        <v>2</v>
      </c>
      <c r="E150" s="17">
        <f ca="1">IF(E$97,-OFFSET(Financials!J42,0,$E$92),0)</f>
        <v>0</v>
      </c>
      <c r="F150" s="17">
        <f ca="1">IF(F$97,-OFFSET(Financials!K42,0,$E$92),0)</f>
        <v>0</v>
      </c>
      <c r="G150" s="17">
        <f ca="1">IF(G$97,-OFFSET(Financials!L42,0,$E$92),0)</f>
        <v>0</v>
      </c>
      <c r="H150" s="17">
        <f ca="1">IF(H$97,-OFFSET(Financials!M42,0,$E$92),0)</f>
        <v>0</v>
      </c>
      <c r="I150" s="17">
        <f ca="1">IF(I$97,-OFFSET(Financials!N42,0,$E$92),0)</f>
        <v>0</v>
      </c>
      <c r="J150" s="17">
        <f ca="1">IF(J$97,-OFFSET(Financials!O42,0,$E$92),0)</f>
        <v>0</v>
      </c>
      <c r="K150" s="17">
        <f ca="1">IF(K$97,-OFFSET(Financials!P42,0,$E$92),0)</f>
        <v>1115.1000000000001</v>
      </c>
      <c r="L150" s="17">
        <f ca="1">IF(L$97,-OFFSET(Financials!Q42,0,$E$92),0)</f>
        <v>1115.1000000000001</v>
      </c>
      <c r="M150" s="17">
        <f ca="1">IF(M$97,-OFFSET(Financials!R42,0,$E$92),0)</f>
        <v>1168.2</v>
      </c>
      <c r="N150" s="17">
        <f ca="1">IF(N$97,-OFFSET(Financials!S42,0,$E$92),0)</f>
        <v>1221.3</v>
      </c>
      <c r="O150" s="17">
        <f ca="1">IF(O$97,-OFFSET(Financials!T42,0,$E$92),0)</f>
        <v>1062</v>
      </c>
      <c r="P150" s="17">
        <f ca="1">IF(P$97,-OFFSET(Financials!U42,0,$E$92),0)</f>
        <v>1221.3</v>
      </c>
      <c r="Q150" s="280">
        <f t="shared" ca="1" si="55"/>
        <v>6903.0000000000009</v>
      </c>
    </row>
    <row r="151" spans="2:34" x14ac:dyDescent="0.15">
      <c r="B151" s="107" t="str">
        <f>Financials!B43</f>
        <v>Utilities</v>
      </c>
      <c r="D151" s="209">
        <f ca="1">MIN(ROWS($Q$148:$Q$155),RANK(Q151,Q$148:Q$155,0)+COUNTIFS(Q$148:Q151,Q151)-1)</f>
        <v>7</v>
      </c>
      <c r="E151" s="17">
        <f ca="1">IF(E$97,-OFFSET(Financials!J43,0,$E$92),0)</f>
        <v>100</v>
      </c>
      <c r="F151" s="17">
        <f ca="1">IF(F$97,-OFFSET(Financials!K43,0,$E$92),0)</f>
        <v>100</v>
      </c>
      <c r="G151" s="17">
        <f ca="1">IF(G$97,-OFFSET(Financials!L43,0,$E$92),0)</f>
        <v>100</v>
      </c>
      <c r="H151" s="17">
        <f ca="1">IF(H$97,-OFFSET(Financials!M43,0,$E$92),0)</f>
        <v>100</v>
      </c>
      <c r="I151" s="17">
        <f ca="1">IF(I$97,-OFFSET(Financials!N43,0,$E$92),0)</f>
        <v>100</v>
      </c>
      <c r="J151" s="17">
        <f ca="1">IF(J$97,-OFFSET(Financials!O43,0,$E$92),0)</f>
        <v>100</v>
      </c>
      <c r="K151" s="17">
        <f ca="1">IF(K$97,-OFFSET(Financials!P43,0,$E$92),0)</f>
        <v>100</v>
      </c>
      <c r="L151" s="17">
        <f ca="1">IF(L$97,-OFFSET(Financials!Q43,0,$E$92),0)</f>
        <v>100</v>
      </c>
      <c r="M151" s="17">
        <f ca="1">IF(M$97,-OFFSET(Financials!R43,0,$E$92),0)</f>
        <v>100</v>
      </c>
      <c r="N151" s="17">
        <f ca="1">IF(N$97,-OFFSET(Financials!S43,0,$E$92),0)</f>
        <v>100</v>
      </c>
      <c r="O151" s="17">
        <f ca="1">IF(O$97,-OFFSET(Financials!T43,0,$E$92),0)</f>
        <v>100</v>
      </c>
      <c r="P151" s="17">
        <f ca="1">IF(P$97,-OFFSET(Financials!U43,0,$E$92),0)</f>
        <v>100</v>
      </c>
      <c r="Q151" s="280">
        <f t="shared" ca="1" si="55"/>
        <v>1200</v>
      </c>
    </row>
    <row r="152" spans="2:34" x14ac:dyDescent="0.15">
      <c r="B152" s="107" t="str">
        <f>Financials!B44</f>
        <v>Insurance</v>
      </c>
      <c r="D152" s="209">
        <f ca="1">MIN(ROWS($Q$148:$Q$155),RANK(Q152,Q$148:Q$155,0)+COUNTIFS(Q$148:Q152,Q152)-1)</f>
        <v>5</v>
      </c>
      <c r="E152" s="17">
        <f ca="1">IF(E$97,-OFFSET(Financials!J44,0,$E$92),0)</f>
        <v>166.66666666666666</v>
      </c>
      <c r="F152" s="17">
        <f ca="1">IF(F$97,-OFFSET(Financials!K44,0,$E$92),0)</f>
        <v>166.66666666666666</v>
      </c>
      <c r="G152" s="17">
        <f ca="1">IF(G$97,-OFFSET(Financials!L44,0,$E$92),0)</f>
        <v>166.66666666666666</v>
      </c>
      <c r="H152" s="17">
        <f ca="1">IF(H$97,-OFFSET(Financials!M44,0,$E$92),0)</f>
        <v>166.66666666666666</v>
      </c>
      <c r="I152" s="17">
        <f ca="1">IF(I$97,-OFFSET(Financials!N44,0,$E$92),0)</f>
        <v>166.66666666666666</v>
      </c>
      <c r="J152" s="17">
        <f ca="1">IF(J$97,-OFFSET(Financials!O44,0,$E$92),0)</f>
        <v>166.66666666666666</v>
      </c>
      <c r="K152" s="17">
        <f ca="1">IF(K$97,-OFFSET(Financials!P44,0,$E$92),0)</f>
        <v>166.66666666666666</v>
      </c>
      <c r="L152" s="17">
        <f ca="1">IF(L$97,-OFFSET(Financials!Q44,0,$E$92),0)</f>
        <v>166.66666666666666</v>
      </c>
      <c r="M152" s="17">
        <f ca="1">IF(M$97,-OFFSET(Financials!R44,0,$E$92),0)</f>
        <v>166.66666666666666</v>
      </c>
      <c r="N152" s="17">
        <f ca="1">IF(N$97,-OFFSET(Financials!S44,0,$E$92),0)</f>
        <v>166.66666666666666</v>
      </c>
      <c r="O152" s="17">
        <f ca="1">IF(O$97,-OFFSET(Financials!T44,0,$E$92),0)</f>
        <v>166.66666666666666</v>
      </c>
      <c r="P152" s="17">
        <f ca="1">IF(P$97,-OFFSET(Financials!U44,0,$E$92),0)</f>
        <v>166.66666666666666</v>
      </c>
      <c r="Q152" s="280">
        <f t="shared" ca="1" si="55"/>
        <v>2000.0000000000002</v>
      </c>
    </row>
    <row r="153" spans="2:34" x14ac:dyDescent="0.15">
      <c r="B153" s="107" t="str">
        <f>Financials!B45</f>
        <v>HEMA Insurance</v>
      </c>
      <c r="D153" s="209">
        <f ca="1">MIN(ROWS($Q$148:$Q$155),RANK(Q153,Q$148:Q$155,0)+COUNTIFS(Q$148:Q153,Q153)-1)</f>
        <v>8</v>
      </c>
      <c r="E153" s="17">
        <f ca="1">IF(E$97,-OFFSET(Financials!J45,0,$E$92),0)</f>
        <v>75</v>
      </c>
      <c r="F153" s="17">
        <f ca="1">IF(F$97,-OFFSET(Financials!K45,0,$E$92),0)</f>
        <v>77.5</v>
      </c>
      <c r="G153" s="17">
        <f ca="1">IF(G$97,-OFFSET(Financials!L45,0,$E$92),0)</f>
        <v>80</v>
      </c>
      <c r="H153" s="17">
        <f ca="1">IF(H$97,-OFFSET(Financials!M45,0,$E$92),0)</f>
        <v>82.5</v>
      </c>
      <c r="I153" s="17">
        <f ca="1">IF(I$97,-OFFSET(Financials!N45,0,$E$92),0)</f>
        <v>85</v>
      </c>
      <c r="J153" s="17">
        <f ca="1">IF(J$97,-OFFSET(Financials!O45,0,$E$92),0)</f>
        <v>87.5</v>
      </c>
      <c r="K153" s="17">
        <f ca="1">IF(K$97,-OFFSET(Financials!P45,0,$E$92),0)</f>
        <v>90</v>
      </c>
      <c r="L153" s="17">
        <f ca="1">IF(L$97,-OFFSET(Financials!Q45,0,$E$92),0)</f>
        <v>92.5</v>
      </c>
      <c r="M153" s="17">
        <f ca="1">IF(M$97,-OFFSET(Financials!R45,0,$E$92),0)</f>
        <v>95</v>
      </c>
      <c r="N153" s="17">
        <f ca="1">IF(N$97,-OFFSET(Financials!S45,0,$E$92),0)</f>
        <v>97.5</v>
      </c>
      <c r="O153" s="17">
        <f ca="1">IF(O$97,-OFFSET(Financials!T45,0,$E$92),0)</f>
        <v>100</v>
      </c>
      <c r="P153" s="17">
        <f ca="1">IF(P$97,-OFFSET(Financials!U45,0,$E$92),0)</f>
        <v>102.5</v>
      </c>
      <c r="Q153" s="280">
        <f t="shared" ca="1" si="55"/>
        <v>1065</v>
      </c>
    </row>
    <row r="154" spans="2:34" x14ac:dyDescent="0.15">
      <c r="B154" s="107" t="str">
        <f>Financials!B46</f>
        <v>Credit Card Fees</v>
      </c>
      <c r="D154" s="209">
        <f ca="1">MIN(ROWS($Q$148:$Q$155),RANK(Q154,Q$148:Q$155,0)+COUNTIFS(Q$148:Q154,Q154)-1)</f>
        <v>6</v>
      </c>
      <c r="E154" s="102">
        <f ca="1">IF(E$97,-OFFSET(Financials!J46,0,$E$92),0)</f>
        <v>74.163362580645156</v>
      </c>
      <c r="F154" s="102">
        <f ca="1">IF(F$97,-OFFSET(Financials!K46,0,$E$92),0)</f>
        <v>120.12989721333329</v>
      </c>
      <c r="G154" s="102">
        <f ca="1">IF(G$97,-OFFSET(Financials!L46,0,$E$92),0)</f>
        <v>124.48247793548387</v>
      </c>
      <c r="H154" s="102">
        <f ca="1">IF(H$97,-OFFSET(Financials!M46,0,$E$92),0)</f>
        <v>148.23814866666666</v>
      </c>
      <c r="I154" s="102">
        <f ca="1">IF(I$97,-OFFSET(Financials!N46,0,$E$92),0)</f>
        <v>63.759475810752676</v>
      </c>
      <c r="J154" s="102">
        <f ca="1">IF(J$97,-OFFSET(Financials!O46,0,$E$92),0)</f>
        <v>115.81937683870966</v>
      </c>
      <c r="K154" s="102">
        <f ca="1">IF(K$97,-OFFSET(Financials!P46,0,$E$92),0)</f>
        <v>133.64009706666667</v>
      </c>
      <c r="L154" s="102">
        <f ca="1">IF(L$97,-OFFSET(Financials!Q46,0,$E$92),0)</f>
        <v>132.98644787526879</v>
      </c>
      <c r="M154" s="102">
        <f ca="1">IF(M$97,-OFFSET(Financials!R46,0,$E$92),0)</f>
        <v>107.85430832</v>
      </c>
      <c r="N154" s="102">
        <f ca="1">IF(N$97,-OFFSET(Financials!S46,0,$E$92),0)</f>
        <v>125.27913800860213</v>
      </c>
      <c r="O154" s="102">
        <f ca="1">IF(O$97,-OFFSET(Financials!T46,0,$E$92),0)</f>
        <v>123.61917333333332</v>
      </c>
      <c r="P154" s="102">
        <f ca="1">IF(P$97,-OFFSET(Financials!U46,0,$E$92),0)</f>
        <v>114.60041403870966</v>
      </c>
      <c r="Q154" s="280">
        <f t="shared" ca="1" si="55"/>
        <v>1384.5723176881718</v>
      </c>
    </row>
    <row r="155" spans="2:34" x14ac:dyDescent="0.15">
      <c r="B155" s="107" t="str">
        <f>Financials!B47</f>
        <v>Cleaning &amp; Other</v>
      </c>
      <c r="D155" s="210">
        <f ca="1">MIN(ROWS($Q$148:$Q$155),RANK(Q155,Q$148:Q$155,0)+COUNTIFS(Q$148:Q155,Q155)-1)</f>
        <v>4</v>
      </c>
      <c r="E155" s="102">
        <f ca="1">IF(E$97,-OFFSET(Financials!J47,0,$E$92),0)</f>
        <v>200</v>
      </c>
      <c r="F155" s="102">
        <f ca="1">IF(F$97,-OFFSET(Financials!K47,0,$E$92),0)</f>
        <v>200</v>
      </c>
      <c r="G155" s="102">
        <f ca="1">IF(G$97,-OFFSET(Financials!L47,0,$E$92),0)</f>
        <v>200</v>
      </c>
      <c r="H155" s="102">
        <f ca="1">IF(H$97,-OFFSET(Financials!M47,0,$E$92),0)</f>
        <v>200</v>
      </c>
      <c r="I155" s="102">
        <f ca="1">IF(I$97,-OFFSET(Financials!N47,0,$E$92),0)</f>
        <v>200</v>
      </c>
      <c r="J155" s="102">
        <f ca="1">IF(J$97,-OFFSET(Financials!O47,0,$E$92),0)</f>
        <v>200</v>
      </c>
      <c r="K155" s="102">
        <f ca="1">IF(K$97,-OFFSET(Financials!P47,0,$E$92),0)</f>
        <v>200</v>
      </c>
      <c r="L155" s="102">
        <f ca="1">IF(L$97,-OFFSET(Financials!Q47,0,$E$92),0)</f>
        <v>200</v>
      </c>
      <c r="M155" s="102">
        <f ca="1">IF(M$97,-OFFSET(Financials!R47,0,$E$92),0)</f>
        <v>200</v>
      </c>
      <c r="N155" s="102">
        <f ca="1">IF(N$97,-OFFSET(Financials!S47,0,$E$92),0)</f>
        <v>200</v>
      </c>
      <c r="O155" s="102">
        <f ca="1">IF(O$97,-OFFSET(Financials!T47,0,$E$92),0)</f>
        <v>200</v>
      </c>
      <c r="P155" s="102">
        <f ca="1">IF(P$97,-OFFSET(Financials!U47,0,$E$92),0)</f>
        <v>200</v>
      </c>
      <c r="Q155" s="282">
        <f t="shared" ca="1" si="55"/>
        <v>2400</v>
      </c>
    </row>
    <row r="156" spans="2:34" x14ac:dyDescent="0.15">
      <c r="B156" s="16" t="s">
        <v>82</v>
      </c>
      <c r="D156" s="106"/>
      <c r="E156" s="228">
        <f t="shared" ref="E156:P156" ca="1" si="56">SUM(E148:E155)</f>
        <v>6676.2466959139792</v>
      </c>
      <c r="F156" s="228">
        <f t="shared" ca="1" si="56"/>
        <v>6724.7132305466675</v>
      </c>
      <c r="G156" s="228">
        <f t="shared" ca="1" si="56"/>
        <v>6731.5658112688179</v>
      </c>
      <c r="H156" s="228">
        <f t="shared" ca="1" si="56"/>
        <v>6757.8214820000003</v>
      </c>
      <c r="I156" s="228">
        <f t="shared" ca="1" si="56"/>
        <v>6675.8428091440865</v>
      </c>
      <c r="J156" s="228">
        <f t="shared" ca="1" si="56"/>
        <v>6730.402710172044</v>
      </c>
      <c r="K156" s="228">
        <f t="shared" ca="1" si="56"/>
        <v>7865.8234304000007</v>
      </c>
      <c r="L156" s="228">
        <f t="shared" ca="1" si="56"/>
        <v>7867.6697812086031</v>
      </c>
      <c r="M156" s="228">
        <f t="shared" ca="1" si="56"/>
        <v>7898.137641653334</v>
      </c>
      <c r="N156" s="228">
        <f t="shared" ca="1" si="56"/>
        <v>7971.162471341936</v>
      </c>
      <c r="O156" s="228">
        <f t="shared" ca="1" si="56"/>
        <v>7812.7025066666674</v>
      </c>
      <c r="P156" s="228">
        <f t="shared" ca="1" si="56"/>
        <v>7965.4837473720436</v>
      </c>
      <c r="Q156" s="283">
        <f ca="1">SUM(Q148:Q155)</f>
        <v>87677.572317688187</v>
      </c>
    </row>
    <row r="158" spans="2:34" x14ac:dyDescent="0.15">
      <c r="B158" s="16" t="s">
        <v>160</v>
      </c>
      <c r="Q158" s="192" t="s">
        <v>63</v>
      </c>
    </row>
    <row r="159" spans="2:34" x14ac:dyDescent="0.15">
      <c r="B159" s="107" t="str">
        <f ca="1">IF(AND(ROWS(B$159:B$163)-ROWS(B$148:B$155)=1,ROWS(B$159:B159)=ROWS(B$148:B$155)+1),"Other Expenses",
IF(AND(ROWS(B$159:B159)&gt;ROWS(B$148:B$155),ROWS(B$159:B$163)&gt;ROWS(B$148:B$155)),"Other Expense "&amp;ROWS(B$159:B159)-ROWS(B$148:B$155),
IF(AND(ROWS(B$159:B$163)&lt;&gt;ROWS(B$148:B$155),ROWS(B$159:B159)=ROWS(B$159:B$163)),"Other",
INDEX(B$148:B$155,MATCH(ROWS(B$159:B159),D$148:D$155,0)))))</f>
        <v>Rent</v>
      </c>
      <c r="E159" s="17">
        <f ca="1">IF(ROWS(E$159:E159)&gt;ROWS(E$148:E$155),0,
IF(ROWS(E$159:E159)=ROWS(E$159:E$163),SUMIFS(E$148:E$155,$D$148:$D$155,"&gt;="&amp;ROWS(E$159:E159)),
SUMIFS(E$148:E$155,$D$148:$D$155,ROWS(E$159:E159))))</f>
        <v>5833.3333333333339</v>
      </c>
      <c r="F159" s="17">
        <f ca="1">IF(ROWS(F$159:F159)&gt;ROWS(F$148:F$155),0,
IF(ROWS(F$159:F159)=ROWS(F$159:F$163),SUMIFS(F$148:F$155,$D$148:$D$155,"&gt;="&amp;ROWS(F$159:F159)),
SUMIFS(F$148:F$155,$D$148:$D$155,ROWS(F$159:F159))))</f>
        <v>5833.3333333333339</v>
      </c>
      <c r="G159" s="17">
        <f ca="1">IF(ROWS(G$159:G159)&gt;ROWS(G$148:G$155),0,
IF(ROWS(G$159:G159)=ROWS(G$159:G$163),SUMIFS(G$148:G$155,$D$148:$D$155,"&gt;="&amp;ROWS(G$159:G159)),
SUMIFS(G$148:G$155,$D$148:$D$155,ROWS(G$159:G159))))</f>
        <v>5833.3333333333339</v>
      </c>
      <c r="H159" s="17">
        <f ca="1">IF(ROWS(H$159:H159)&gt;ROWS(H$148:H$155),0,
IF(ROWS(H$159:H159)=ROWS(H$159:H$163),SUMIFS(H$148:H$155,$D$148:$D$155,"&gt;="&amp;ROWS(H$159:H159)),
SUMIFS(H$148:H$155,$D$148:$D$155,ROWS(H$159:H159))))</f>
        <v>5833.3333333333339</v>
      </c>
      <c r="I159" s="17">
        <f ca="1">IF(ROWS(I$159:I159)&gt;ROWS(I$148:I$155),0,
IF(ROWS(I$159:I159)=ROWS(I$159:I$163),SUMIFS(I$148:I$155,$D$148:$D$155,"&gt;="&amp;ROWS(I$159:I159)),
SUMIFS(I$148:I$155,$D$148:$D$155,ROWS(I$159:I159))))</f>
        <v>5833.3333333333339</v>
      </c>
      <c r="J159" s="17">
        <f ca="1">IF(ROWS(J$159:J159)&gt;ROWS(J$148:J$155),0,
IF(ROWS(J$159:J159)=ROWS(J$159:J$163),SUMIFS(J$148:J$155,$D$148:$D$155,"&gt;="&amp;ROWS(J$159:J159)),
SUMIFS(J$148:J$155,$D$148:$D$155,ROWS(J$159:J159))))</f>
        <v>5833.3333333333339</v>
      </c>
      <c r="K159" s="17">
        <f ca="1">IF(ROWS(K$159:K159)&gt;ROWS(K$148:K$155),0,
IF(ROWS(K$159:K159)=ROWS(K$159:K$163),SUMIFS(K$148:K$155,$D$148:$D$155,"&gt;="&amp;ROWS(K$159:K159)),
SUMIFS(K$148:K$155,$D$148:$D$155,ROWS(K$159:K159))))</f>
        <v>5833.3333333333339</v>
      </c>
      <c r="L159" s="17">
        <f ca="1">IF(ROWS(L$159:L159)&gt;ROWS(L$148:L$155),0,
IF(ROWS(L$159:L159)=ROWS(L$159:L$163),SUMIFS(L$148:L$155,$D$148:$D$155,"&gt;="&amp;ROWS(L$159:L159)),
SUMIFS(L$148:L$155,$D$148:$D$155,ROWS(L$159:L159))))</f>
        <v>5833.3333333333339</v>
      </c>
      <c r="M159" s="17">
        <f ca="1">IF(ROWS(M$159:M159)&gt;ROWS(M$148:M$155),0,
IF(ROWS(M$159:M159)=ROWS(M$159:M$163),SUMIFS(M$148:M$155,$D$148:$D$155,"&gt;="&amp;ROWS(M$159:M159)),
SUMIFS(M$148:M$155,$D$148:$D$155,ROWS(M$159:M159))))</f>
        <v>5833.3333333333339</v>
      </c>
      <c r="N159" s="17">
        <f ca="1">IF(ROWS(N$159:N159)&gt;ROWS(N$148:N$155),0,
IF(ROWS(N$159:N159)=ROWS(N$159:N$163),SUMIFS(N$148:N$155,$D$148:$D$155,"&gt;="&amp;ROWS(N$159:N159)),
SUMIFS(N$148:N$155,$D$148:$D$155,ROWS(N$159:N159))))</f>
        <v>5833.3333333333339</v>
      </c>
      <c r="O159" s="17">
        <f ca="1">IF(ROWS(O$159:O159)&gt;ROWS(O$148:O$155),0,
IF(ROWS(O$159:O159)=ROWS(O$159:O$163),SUMIFS(O$148:O$155,$D$148:$D$155,"&gt;="&amp;ROWS(O$159:O159)),
SUMIFS(O$148:O$155,$D$148:$D$155,ROWS(O$159:O159))))</f>
        <v>5833.3333333333339</v>
      </c>
      <c r="P159" s="17">
        <f ca="1">IF(ROWS(P$159:P159)&gt;ROWS(P$148:P$155),0,
IF(ROWS(P$159:P159)=ROWS(P$159:P$163),SUMIFS(P$148:P$155,$D$148:$D$155,"&gt;="&amp;ROWS(P$159:P159)),
SUMIFS(P$148:P$155,$D$148:$D$155,ROWS(P$159:P159))))</f>
        <v>5833.3333333333339</v>
      </c>
      <c r="Q159" s="280">
        <f ca="1">SUM(E159:P159)</f>
        <v>70000.000000000015</v>
      </c>
    </row>
    <row r="160" spans="2:34" x14ac:dyDescent="0.15">
      <c r="B160" s="107" t="str">
        <f ca="1">IF(AND(ROWS(B$159:B$163)-ROWS(B$148:B$155)=1,ROWS(B$159:B160)=ROWS(B$148:B$155)+1),"Other Expenses",
IF(AND(ROWS(B$159:B160)&gt;ROWS(B$148:B$155),ROWS(B$159:B$163)&gt;ROWS(B$148:B$155)),"Other Expense "&amp;ROWS(B$159:B160)-ROWS(B$148:B$155),
IF(AND(ROWS(B$159:B$163)&lt;&gt;ROWS(B$148:B$155),ROWS(B$159:B160)=ROWS(B$159:B$163)),"Other",
INDEX(B$148:B$155,MATCH(ROWS(B$159:B160),D$148:D$155,0)))))</f>
        <v>Staff Cost</v>
      </c>
      <c r="E160" s="17">
        <f ca="1">IF(ROWS(E$159:E160)&gt;ROWS(E$148:E$155),0,
IF(ROWS(E$159:E160)=ROWS(E$159:E$163),SUMIFS(E$148:E$155,$D$148:$D$155,"&gt;="&amp;ROWS(E$159:E160)),
SUMIFS(E$148:E$155,$D$148:$D$155,ROWS(E$159:E160))))</f>
        <v>0</v>
      </c>
      <c r="F160" s="17">
        <f ca="1">IF(ROWS(F$159:F160)&gt;ROWS(F$148:F$155),0,
IF(ROWS(F$159:F160)=ROWS(F$159:F$163),SUMIFS(F$148:F$155,$D$148:$D$155,"&gt;="&amp;ROWS(F$159:F160)),
SUMIFS(F$148:F$155,$D$148:$D$155,ROWS(F$159:F160))))</f>
        <v>0</v>
      </c>
      <c r="G160" s="17">
        <f ca="1">IF(ROWS(G$159:G160)&gt;ROWS(G$148:G$155),0,
IF(ROWS(G$159:G160)=ROWS(G$159:G$163),SUMIFS(G$148:G$155,$D$148:$D$155,"&gt;="&amp;ROWS(G$159:G160)),
SUMIFS(G$148:G$155,$D$148:$D$155,ROWS(G$159:G160))))</f>
        <v>0</v>
      </c>
      <c r="H160" s="17">
        <f ca="1">IF(ROWS(H$159:H160)&gt;ROWS(H$148:H$155),0,
IF(ROWS(H$159:H160)=ROWS(H$159:H$163),SUMIFS(H$148:H$155,$D$148:$D$155,"&gt;="&amp;ROWS(H$159:H160)),
SUMIFS(H$148:H$155,$D$148:$D$155,ROWS(H$159:H160))))</f>
        <v>0</v>
      </c>
      <c r="I160" s="17">
        <f ca="1">IF(ROWS(I$159:I160)&gt;ROWS(I$148:I$155),0,
IF(ROWS(I$159:I160)=ROWS(I$159:I$163),SUMIFS(I$148:I$155,$D$148:$D$155,"&gt;="&amp;ROWS(I$159:I160)),
SUMIFS(I$148:I$155,$D$148:$D$155,ROWS(I$159:I160))))</f>
        <v>0</v>
      </c>
      <c r="J160" s="17">
        <f ca="1">IF(ROWS(J$159:J160)&gt;ROWS(J$148:J$155),0,
IF(ROWS(J$159:J160)=ROWS(J$159:J$163),SUMIFS(J$148:J$155,$D$148:$D$155,"&gt;="&amp;ROWS(J$159:J160)),
SUMIFS(J$148:J$155,$D$148:$D$155,ROWS(J$159:J160))))</f>
        <v>0</v>
      </c>
      <c r="K160" s="17">
        <f ca="1">IF(ROWS(K$159:K160)&gt;ROWS(K$148:K$155),0,
IF(ROWS(K$159:K160)=ROWS(K$159:K$163),SUMIFS(K$148:K$155,$D$148:$D$155,"&gt;="&amp;ROWS(K$159:K160)),
SUMIFS(K$148:K$155,$D$148:$D$155,ROWS(K$159:K160))))</f>
        <v>1115.1000000000001</v>
      </c>
      <c r="L160" s="17">
        <f ca="1">IF(ROWS(L$159:L160)&gt;ROWS(L$148:L$155),0,
IF(ROWS(L$159:L160)=ROWS(L$159:L$163),SUMIFS(L$148:L$155,$D$148:$D$155,"&gt;="&amp;ROWS(L$159:L160)),
SUMIFS(L$148:L$155,$D$148:$D$155,ROWS(L$159:L160))))</f>
        <v>1115.1000000000001</v>
      </c>
      <c r="M160" s="17">
        <f ca="1">IF(ROWS(M$159:M160)&gt;ROWS(M$148:M$155),0,
IF(ROWS(M$159:M160)=ROWS(M$159:M$163),SUMIFS(M$148:M$155,$D$148:$D$155,"&gt;="&amp;ROWS(M$159:M160)),
SUMIFS(M$148:M$155,$D$148:$D$155,ROWS(M$159:M160))))</f>
        <v>1168.2</v>
      </c>
      <c r="N160" s="17">
        <f ca="1">IF(ROWS(N$159:N160)&gt;ROWS(N$148:N$155),0,
IF(ROWS(N$159:N160)=ROWS(N$159:N$163),SUMIFS(N$148:N$155,$D$148:$D$155,"&gt;="&amp;ROWS(N$159:N160)),
SUMIFS(N$148:N$155,$D$148:$D$155,ROWS(N$159:N160))))</f>
        <v>1221.3</v>
      </c>
      <c r="O160" s="17">
        <f ca="1">IF(ROWS(O$159:O160)&gt;ROWS(O$148:O$155),0,
IF(ROWS(O$159:O160)=ROWS(O$159:O$163),SUMIFS(O$148:O$155,$D$148:$D$155,"&gt;="&amp;ROWS(O$159:O160)),
SUMIFS(O$148:O$155,$D$148:$D$155,ROWS(O$159:O160))))</f>
        <v>1062</v>
      </c>
      <c r="P160" s="17">
        <f ca="1">IF(ROWS(P$159:P160)&gt;ROWS(P$148:P$155),0,
IF(ROWS(P$159:P160)=ROWS(P$159:P$163),SUMIFS(P$148:P$155,$D$148:$D$155,"&gt;="&amp;ROWS(P$159:P160)),
SUMIFS(P$148:P$155,$D$148:$D$155,ROWS(P$159:P160))))</f>
        <v>1221.3</v>
      </c>
      <c r="Q160" s="280">
        <f ca="1">SUM(E160:P160)</f>
        <v>6903.0000000000009</v>
      </c>
    </row>
    <row r="161" spans="2:34" x14ac:dyDescent="0.15">
      <c r="B161" s="107" t="str">
        <f ca="1">IF(AND(ROWS(B$159:B$163)-ROWS(B$148:B$155)=1,ROWS(B$159:B161)=ROWS(B$148:B$155)+1),"Other Expenses",
IF(AND(ROWS(B$159:B161)&gt;ROWS(B$148:B$155),ROWS(B$159:B$163)&gt;ROWS(B$148:B$155)),"Other Expense "&amp;ROWS(B$159:B161)-ROWS(B$148:B$155),
IF(AND(ROWS(B$159:B$163)&lt;&gt;ROWS(B$148:B$155),ROWS(B$159:B161)=ROWS(B$159:B$163)),"Other",
INDEX(B$148:B$155,MATCH(ROWS(B$159:B161),D$148:D$155,0)))))</f>
        <v>Rates</v>
      </c>
      <c r="E161" s="17">
        <f ca="1">IF(ROWS(E$159:E161)&gt;ROWS(E$148:E$155),0,
IF(ROWS(E$159:E161)=ROWS(E$159:E$163),SUMIFS(E$148:E$155,$D$148:$D$155,"&gt;="&amp;ROWS(E$159:E161)),
SUMIFS(E$148:E$155,$D$148:$D$155,ROWS(E$159:E161))))</f>
        <v>227.08333333333337</v>
      </c>
      <c r="F161" s="17">
        <f ca="1">IF(ROWS(F$159:F161)&gt;ROWS(F$148:F$155),0,
IF(ROWS(F$159:F161)=ROWS(F$159:F$163),SUMIFS(F$148:F$155,$D$148:$D$155,"&gt;="&amp;ROWS(F$159:F161)),
SUMIFS(F$148:F$155,$D$148:$D$155,ROWS(F$159:F161))))</f>
        <v>227.08333333333337</v>
      </c>
      <c r="G161" s="17">
        <f ca="1">IF(ROWS(G$159:G161)&gt;ROWS(G$148:G$155),0,
IF(ROWS(G$159:G161)=ROWS(G$159:G$163),SUMIFS(G$148:G$155,$D$148:$D$155,"&gt;="&amp;ROWS(G$159:G161)),
SUMIFS(G$148:G$155,$D$148:$D$155,ROWS(G$159:G161))))</f>
        <v>227.08333333333337</v>
      </c>
      <c r="H161" s="17">
        <f ca="1">IF(ROWS(H$159:H161)&gt;ROWS(H$148:H$155),0,
IF(ROWS(H$159:H161)=ROWS(H$159:H$163),SUMIFS(H$148:H$155,$D$148:$D$155,"&gt;="&amp;ROWS(H$159:H161)),
SUMIFS(H$148:H$155,$D$148:$D$155,ROWS(H$159:H161))))</f>
        <v>227.08333333333337</v>
      </c>
      <c r="I161" s="17">
        <f ca="1">IF(ROWS(I$159:I161)&gt;ROWS(I$148:I$155),0,
IF(ROWS(I$159:I161)=ROWS(I$159:I$163),SUMIFS(I$148:I$155,$D$148:$D$155,"&gt;="&amp;ROWS(I$159:I161)),
SUMIFS(I$148:I$155,$D$148:$D$155,ROWS(I$159:I161))))</f>
        <v>227.08333333333337</v>
      </c>
      <c r="J161" s="17">
        <f ca="1">IF(ROWS(J$159:J161)&gt;ROWS(J$148:J$155),0,
IF(ROWS(J$159:J161)=ROWS(J$159:J$163),SUMIFS(J$148:J$155,$D$148:$D$155,"&gt;="&amp;ROWS(J$159:J161)),
SUMIFS(J$148:J$155,$D$148:$D$155,ROWS(J$159:J161))))</f>
        <v>227.08333333333337</v>
      </c>
      <c r="K161" s="17">
        <f ca="1">IF(ROWS(K$159:K161)&gt;ROWS(K$148:K$155),0,
IF(ROWS(K$159:K161)=ROWS(K$159:K$163),SUMIFS(K$148:K$155,$D$148:$D$155,"&gt;="&amp;ROWS(K$159:K161)),
SUMIFS(K$148:K$155,$D$148:$D$155,ROWS(K$159:K161))))</f>
        <v>227.08333333333337</v>
      </c>
      <c r="L161" s="17">
        <f ca="1">IF(ROWS(L$159:L161)&gt;ROWS(L$148:L$155),0,
IF(ROWS(L$159:L161)=ROWS(L$159:L$163),SUMIFS(L$148:L$155,$D$148:$D$155,"&gt;="&amp;ROWS(L$159:L161)),
SUMIFS(L$148:L$155,$D$148:$D$155,ROWS(L$159:L161))))</f>
        <v>227.08333333333337</v>
      </c>
      <c r="M161" s="17">
        <f ca="1">IF(ROWS(M$159:M161)&gt;ROWS(M$148:M$155),0,
IF(ROWS(M$159:M161)=ROWS(M$159:M$163),SUMIFS(M$148:M$155,$D$148:$D$155,"&gt;="&amp;ROWS(M$159:M161)),
SUMIFS(M$148:M$155,$D$148:$D$155,ROWS(M$159:M161))))</f>
        <v>227.08333333333337</v>
      </c>
      <c r="N161" s="17">
        <f ca="1">IF(ROWS(N$159:N161)&gt;ROWS(N$148:N$155),0,
IF(ROWS(N$159:N161)=ROWS(N$159:N$163),SUMIFS(N$148:N$155,$D$148:$D$155,"&gt;="&amp;ROWS(N$159:N161)),
SUMIFS(N$148:N$155,$D$148:$D$155,ROWS(N$159:N161))))</f>
        <v>227.08333333333337</v>
      </c>
      <c r="O161" s="17">
        <f ca="1">IF(ROWS(O$159:O161)&gt;ROWS(O$148:O$155),0,
IF(ROWS(O$159:O161)=ROWS(O$159:O$163),SUMIFS(O$148:O$155,$D$148:$D$155,"&gt;="&amp;ROWS(O$159:O161)),
SUMIFS(O$148:O$155,$D$148:$D$155,ROWS(O$159:O161))))</f>
        <v>227.08333333333337</v>
      </c>
      <c r="P161" s="17">
        <f ca="1">IF(ROWS(P$159:P161)&gt;ROWS(P$148:P$155),0,
IF(ROWS(P$159:P161)=ROWS(P$159:P$163),SUMIFS(P$148:P$155,$D$148:$D$155,"&gt;="&amp;ROWS(P$159:P161)),
SUMIFS(P$148:P$155,$D$148:$D$155,ROWS(P$159:P161))))</f>
        <v>227.08333333333337</v>
      </c>
      <c r="Q161" s="280">
        <f ca="1">SUM(E161:P161)</f>
        <v>2725.0000000000014</v>
      </c>
    </row>
    <row r="162" spans="2:34" x14ac:dyDescent="0.15">
      <c r="B162" s="107" t="str">
        <f ca="1">IF(AND(ROWS(B$159:B$163)-ROWS(B$148:B$155)=1,ROWS(B$159:B162)=ROWS(B$148:B$155)+1),"Other Expenses",
IF(AND(ROWS(B$159:B162)&gt;ROWS(B$148:B$155),ROWS(B$159:B$163)&gt;ROWS(B$148:B$155)),"Other Expense "&amp;ROWS(B$159:B162)-ROWS(B$148:B$155),
IF(AND(ROWS(B$159:B$163)&lt;&gt;ROWS(B$148:B$155),ROWS(B$159:B162)=ROWS(B$159:B$163)),"Other",
INDEX(B$148:B$155,MATCH(ROWS(B$159:B162),D$148:D$155,0)))))</f>
        <v>Cleaning &amp; Other</v>
      </c>
      <c r="E162" s="17">
        <f ca="1">IF(ROWS(E$159:E162)&gt;ROWS(E$148:E$155),0,
IF(ROWS(E$159:E162)=ROWS(E$159:E$163),SUMIFS(E$148:E$155,$D$148:$D$155,"&gt;="&amp;ROWS(E$159:E162)),
SUMIFS(E$148:E$155,$D$148:$D$155,ROWS(E$159:E162))))</f>
        <v>200</v>
      </c>
      <c r="F162" s="17">
        <f ca="1">IF(ROWS(F$159:F162)&gt;ROWS(F$148:F$155),0,
IF(ROWS(F$159:F162)=ROWS(F$159:F$163),SUMIFS(F$148:F$155,$D$148:$D$155,"&gt;="&amp;ROWS(F$159:F162)),
SUMIFS(F$148:F$155,$D$148:$D$155,ROWS(F$159:F162))))</f>
        <v>200</v>
      </c>
      <c r="G162" s="17">
        <f ca="1">IF(ROWS(G$159:G162)&gt;ROWS(G$148:G$155),0,
IF(ROWS(G$159:G162)=ROWS(G$159:G$163),SUMIFS(G$148:G$155,$D$148:$D$155,"&gt;="&amp;ROWS(G$159:G162)),
SUMIFS(G$148:G$155,$D$148:$D$155,ROWS(G$159:G162))))</f>
        <v>200</v>
      </c>
      <c r="H162" s="17">
        <f ca="1">IF(ROWS(H$159:H162)&gt;ROWS(H$148:H$155),0,
IF(ROWS(H$159:H162)=ROWS(H$159:H$163),SUMIFS(H$148:H$155,$D$148:$D$155,"&gt;="&amp;ROWS(H$159:H162)),
SUMIFS(H$148:H$155,$D$148:$D$155,ROWS(H$159:H162))))</f>
        <v>200</v>
      </c>
      <c r="I162" s="17">
        <f ca="1">IF(ROWS(I$159:I162)&gt;ROWS(I$148:I$155),0,
IF(ROWS(I$159:I162)=ROWS(I$159:I$163),SUMIFS(I$148:I$155,$D$148:$D$155,"&gt;="&amp;ROWS(I$159:I162)),
SUMIFS(I$148:I$155,$D$148:$D$155,ROWS(I$159:I162))))</f>
        <v>200</v>
      </c>
      <c r="J162" s="17">
        <f ca="1">IF(ROWS(J$159:J162)&gt;ROWS(J$148:J$155),0,
IF(ROWS(J$159:J162)=ROWS(J$159:J$163),SUMIFS(J$148:J$155,$D$148:$D$155,"&gt;="&amp;ROWS(J$159:J162)),
SUMIFS(J$148:J$155,$D$148:$D$155,ROWS(J$159:J162))))</f>
        <v>200</v>
      </c>
      <c r="K162" s="17">
        <f ca="1">IF(ROWS(K$159:K162)&gt;ROWS(K$148:K$155),0,
IF(ROWS(K$159:K162)=ROWS(K$159:K$163),SUMIFS(K$148:K$155,$D$148:$D$155,"&gt;="&amp;ROWS(K$159:K162)),
SUMIFS(K$148:K$155,$D$148:$D$155,ROWS(K$159:K162))))</f>
        <v>200</v>
      </c>
      <c r="L162" s="17">
        <f ca="1">IF(ROWS(L$159:L162)&gt;ROWS(L$148:L$155),0,
IF(ROWS(L$159:L162)=ROWS(L$159:L$163),SUMIFS(L$148:L$155,$D$148:$D$155,"&gt;="&amp;ROWS(L$159:L162)),
SUMIFS(L$148:L$155,$D$148:$D$155,ROWS(L$159:L162))))</f>
        <v>200</v>
      </c>
      <c r="M162" s="17">
        <f ca="1">IF(ROWS(M$159:M162)&gt;ROWS(M$148:M$155),0,
IF(ROWS(M$159:M162)=ROWS(M$159:M$163),SUMIFS(M$148:M$155,$D$148:$D$155,"&gt;="&amp;ROWS(M$159:M162)),
SUMIFS(M$148:M$155,$D$148:$D$155,ROWS(M$159:M162))))</f>
        <v>200</v>
      </c>
      <c r="N162" s="17">
        <f ca="1">IF(ROWS(N$159:N162)&gt;ROWS(N$148:N$155),0,
IF(ROWS(N$159:N162)=ROWS(N$159:N$163),SUMIFS(N$148:N$155,$D$148:$D$155,"&gt;="&amp;ROWS(N$159:N162)),
SUMIFS(N$148:N$155,$D$148:$D$155,ROWS(N$159:N162))))</f>
        <v>200</v>
      </c>
      <c r="O162" s="17">
        <f ca="1">IF(ROWS(O$159:O162)&gt;ROWS(O$148:O$155),0,
IF(ROWS(O$159:O162)=ROWS(O$159:O$163),SUMIFS(O$148:O$155,$D$148:$D$155,"&gt;="&amp;ROWS(O$159:O162)),
SUMIFS(O$148:O$155,$D$148:$D$155,ROWS(O$159:O162))))</f>
        <v>200</v>
      </c>
      <c r="P162" s="17">
        <f ca="1">IF(ROWS(P$159:P162)&gt;ROWS(P$148:P$155),0,
IF(ROWS(P$159:P162)=ROWS(P$159:P$163),SUMIFS(P$148:P$155,$D$148:$D$155,"&gt;="&amp;ROWS(P$159:P162)),
SUMIFS(P$148:P$155,$D$148:$D$155,ROWS(P$159:P162))))</f>
        <v>200</v>
      </c>
      <c r="Q162" s="280">
        <f ca="1">SUM(E162:P162)</f>
        <v>2400</v>
      </c>
    </row>
    <row r="163" spans="2:34" x14ac:dyDescent="0.15">
      <c r="B163" s="107" t="str">
        <f>IF(AND(ROWS(B$159:B$163)-ROWS(B$148:B$155)=1,ROWS(B$159:B163)=ROWS(B$148:B$155)+1),"Other Expenses",
IF(AND(ROWS(B$159:B163)&gt;ROWS(B$148:B$155),ROWS(B$159:B$163)&gt;ROWS(B$148:B$155)),"Other Expense "&amp;ROWS(B$159:B163)-ROWS(B$148:B$155),
IF(AND(ROWS(B$159:B$163)&lt;&gt;ROWS(B$148:B$155),ROWS(B$159:B163)=ROWS(B$159:B$163)),"Other",
INDEX(B$148:B$155,MATCH(ROWS(B$159:B163),D$148:D$155,0)))))</f>
        <v>Other</v>
      </c>
      <c r="E163" s="102">
        <f ca="1">IF(ROWS(E$159:E163)&gt;ROWS(E$148:E$155),0,
IF(ROWS(E$159:E163)=ROWS(E$159:E$163),SUMIFS(E$148:E$155,$D$148:$D$155,"&gt;="&amp;ROWS(E$159:E163)),
SUMIFS(E$148:E$155,$D$148:$D$155,ROWS(E$159:E163))))</f>
        <v>415.83002924731181</v>
      </c>
      <c r="F163" s="102">
        <f ca="1">IF(ROWS(F$159:F163)&gt;ROWS(F$148:F$155),0,
IF(ROWS(F$159:F163)=ROWS(F$159:F$163),SUMIFS(F$148:F$155,$D$148:$D$155,"&gt;="&amp;ROWS(F$159:F163)),
SUMIFS(F$148:F$155,$D$148:$D$155,ROWS(F$159:F163))))</f>
        <v>464.29656387999989</v>
      </c>
      <c r="G163" s="102">
        <f ca="1">IF(ROWS(G$159:G163)&gt;ROWS(G$148:G$155),0,
IF(ROWS(G$159:G163)=ROWS(G$159:G$163),SUMIFS(G$148:G$155,$D$148:$D$155,"&gt;="&amp;ROWS(G$159:G163)),
SUMIFS(G$148:G$155,$D$148:$D$155,ROWS(G$159:G163))))</f>
        <v>471.1491446021505</v>
      </c>
      <c r="H163" s="102">
        <f ca="1">IF(ROWS(H$159:H163)&gt;ROWS(H$148:H$155),0,
IF(ROWS(H$159:H163)=ROWS(H$159:H$163),SUMIFS(H$148:H$155,$D$148:$D$155,"&gt;="&amp;ROWS(H$159:H163)),
SUMIFS(H$148:H$155,$D$148:$D$155,ROWS(H$159:H163))))</f>
        <v>497.40481533333332</v>
      </c>
      <c r="I163" s="102">
        <f ca="1">IF(ROWS(I$159:I163)&gt;ROWS(I$148:I$155),0,
IF(ROWS(I$159:I163)=ROWS(I$159:I$163),SUMIFS(I$148:I$155,$D$148:$D$155,"&gt;="&amp;ROWS(I$159:I163)),
SUMIFS(I$148:I$155,$D$148:$D$155,ROWS(I$159:I163))))</f>
        <v>415.42614247741932</v>
      </c>
      <c r="J163" s="102">
        <f ca="1">IF(ROWS(J$159:J163)&gt;ROWS(J$148:J$155),0,
IF(ROWS(J$159:J163)=ROWS(J$159:J$163),SUMIFS(J$148:J$155,$D$148:$D$155,"&gt;="&amp;ROWS(J$159:J163)),
SUMIFS(J$148:J$155,$D$148:$D$155,ROWS(J$159:J163))))</f>
        <v>469.9860435053763</v>
      </c>
      <c r="K163" s="102">
        <f ca="1">IF(ROWS(K$159:K163)&gt;ROWS(K$148:K$155),0,
IF(ROWS(K$159:K163)=ROWS(K$159:K$163),SUMIFS(K$148:K$155,$D$148:$D$155,"&gt;="&amp;ROWS(K$159:K163)),
SUMIFS(K$148:K$155,$D$148:$D$155,ROWS(K$159:K163))))</f>
        <v>490.3067637333333</v>
      </c>
      <c r="L163" s="102">
        <f ca="1">IF(ROWS(L$159:L163)&gt;ROWS(L$148:L$155),0,
IF(ROWS(L$159:L163)=ROWS(L$159:L$163),SUMIFS(L$148:L$155,$D$148:$D$155,"&gt;="&amp;ROWS(L$159:L163)),
SUMIFS(L$148:L$155,$D$148:$D$155,ROWS(L$159:L163))))</f>
        <v>492.15311454193545</v>
      </c>
      <c r="M163" s="102">
        <f ca="1">IF(ROWS(M$159:M163)&gt;ROWS(M$148:M$155),0,
IF(ROWS(M$159:M163)=ROWS(M$159:M$163),SUMIFS(M$148:M$155,$D$148:$D$155,"&gt;="&amp;ROWS(M$159:M163)),
SUMIFS(M$148:M$155,$D$148:$D$155,ROWS(M$159:M163))))</f>
        <v>469.5209749866666</v>
      </c>
      <c r="N163" s="102">
        <f ca="1">IF(ROWS(N$159:N163)&gt;ROWS(N$148:N$155),0,
IF(ROWS(N$159:N163)=ROWS(N$159:N$163),SUMIFS(N$148:N$155,$D$148:$D$155,"&gt;="&amp;ROWS(N$159:N163)),
SUMIFS(N$148:N$155,$D$148:$D$155,ROWS(N$159:N163))))</f>
        <v>489.44580467526873</v>
      </c>
      <c r="O163" s="102">
        <f ca="1">IF(ROWS(O$159:O163)&gt;ROWS(O$148:O$155),0,
IF(ROWS(O$159:O163)=ROWS(O$159:O$163),SUMIFS(O$148:O$155,$D$148:$D$155,"&gt;="&amp;ROWS(O$159:O163)),
SUMIFS(O$148:O$155,$D$148:$D$155,ROWS(O$159:O163))))</f>
        <v>490.28583999999995</v>
      </c>
      <c r="P163" s="102">
        <f ca="1">IF(ROWS(P$159:P163)&gt;ROWS(P$148:P$155),0,
IF(ROWS(P$159:P163)=ROWS(P$159:P$163),SUMIFS(P$148:P$155,$D$148:$D$155,"&gt;="&amp;ROWS(P$159:P163)),
SUMIFS(P$148:P$155,$D$148:$D$155,ROWS(P$159:P163))))</f>
        <v>483.76708070537632</v>
      </c>
      <c r="Q163" s="280">
        <f ca="1">SUM(E163:P163)</f>
        <v>5649.5723176881711</v>
      </c>
    </row>
    <row r="164" spans="2:34" x14ac:dyDescent="0.15">
      <c r="B164" s="16" t="str">
        <f>B156</f>
        <v>Total Expenses</v>
      </c>
      <c r="E164" s="228">
        <f t="shared" ref="E164:P164" ca="1" si="57">SUM(E159:E163)</f>
        <v>6676.2466959139783</v>
      </c>
      <c r="F164" s="228">
        <f t="shared" ca="1" si="57"/>
        <v>6724.7132305466666</v>
      </c>
      <c r="G164" s="228">
        <f t="shared" ca="1" si="57"/>
        <v>6731.5658112688179</v>
      </c>
      <c r="H164" s="228">
        <f t="shared" ca="1" si="57"/>
        <v>6757.8214820000003</v>
      </c>
      <c r="I164" s="228">
        <f t="shared" ca="1" si="57"/>
        <v>6675.8428091440865</v>
      </c>
      <c r="J164" s="228">
        <f t="shared" ca="1" si="57"/>
        <v>6730.402710172043</v>
      </c>
      <c r="K164" s="228">
        <f t="shared" ca="1" si="57"/>
        <v>7865.8234304000007</v>
      </c>
      <c r="L164" s="228">
        <f t="shared" ca="1" si="57"/>
        <v>7867.6697812086031</v>
      </c>
      <c r="M164" s="228">
        <f t="shared" ca="1" si="57"/>
        <v>7898.137641653333</v>
      </c>
      <c r="N164" s="228">
        <f t="shared" ca="1" si="57"/>
        <v>7971.162471341936</v>
      </c>
      <c r="O164" s="228">
        <f t="shared" ca="1" si="57"/>
        <v>7812.7025066666665</v>
      </c>
      <c r="P164" s="228">
        <f t="shared" ca="1" si="57"/>
        <v>7965.4837473720436</v>
      </c>
      <c r="Q164" s="281">
        <f ca="1">SUM(Q159:Q163)</f>
        <v>87677.572317688187</v>
      </c>
    </row>
    <row r="166" spans="2:34" x14ac:dyDescent="0.15">
      <c r="B166" s="108" t="s">
        <v>161</v>
      </c>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row>
    <row r="168" spans="2:34" x14ac:dyDescent="0.15">
      <c r="B168" s="16" t="s">
        <v>162</v>
      </c>
      <c r="E168" s="62" t="str">
        <f t="shared" ref="E168:P168" si="58">E$95</f>
        <v>Aug-23</v>
      </c>
      <c r="F168" s="62" t="str">
        <f t="shared" si="58"/>
        <v>Sep-23</v>
      </c>
      <c r="G168" s="62" t="str">
        <f t="shared" si="58"/>
        <v>Oct-23</v>
      </c>
      <c r="H168" s="62" t="str">
        <f t="shared" si="58"/>
        <v>Nov-23</v>
      </c>
      <c r="I168" s="62" t="str">
        <f t="shared" si="58"/>
        <v>Dec-23</v>
      </c>
      <c r="J168" s="62" t="str">
        <f t="shared" si="58"/>
        <v>Jan-24</v>
      </c>
      <c r="K168" s="62" t="str">
        <f t="shared" si="58"/>
        <v>Feb-24</v>
      </c>
      <c r="L168" s="62" t="str">
        <f t="shared" si="58"/>
        <v>Mar-24</v>
      </c>
      <c r="M168" s="62" t="str">
        <f t="shared" si="58"/>
        <v>Apr-24</v>
      </c>
      <c r="N168" s="62" t="str">
        <f t="shared" si="58"/>
        <v>May-24</v>
      </c>
      <c r="O168" s="62" t="str">
        <f t="shared" si="58"/>
        <v>Jun-24</v>
      </c>
      <c r="P168" s="62" t="str">
        <f t="shared" si="58"/>
        <v>Jul-24</v>
      </c>
    </row>
    <row r="169" spans="2:34" x14ac:dyDescent="0.15">
      <c r="B169" s="107" t="s">
        <v>89</v>
      </c>
      <c r="E169" s="17">
        <f t="shared" ref="E169:P169" ca="1" si="59">E31</f>
        <v>56366.869850494637</v>
      </c>
      <c r="F169" s="17">
        <f t="shared" ca="1" si="59"/>
        <v>44565.745398407664</v>
      </c>
      <c r="G169" s="17">
        <f t="shared" ca="1" si="59"/>
        <v>93791.017492155705</v>
      </c>
      <c r="H169" s="17">
        <f t="shared" ca="1" si="59"/>
        <v>99434.209346422373</v>
      </c>
      <c r="I169" s="17">
        <f t="shared" ca="1" si="59"/>
        <v>77892.898421634411</v>
      </c>
      <c r="J169" s="17">
        <f t="shared" ca="1" si="59"/>
        <v>86016.935079136339</v>
      </c>
      <c r="K169" s="17">
        <f t="shared" ca="1" si="59"/>
        <v>90029.52162581333</v>
      </c>
      <c r="L169" s="17">
        <f t="shared" ca="1" si="59"/>
        <v>69976.570193967302</v>
      </c>
      <c r="M169" s="17">
        <f t="shared" ca="1" si="59"/>
        <v>76726.490789144591</v>
      </c>
      <c r="N169" s="17">
        <f t="shared" ca="1" si="59"/>
        <v>79679.59382603319</v>
      </c>
      <c r="O169" s="17">
        <f t="shared" ca="1" si="59"/>
        <v>59829.112587495554</v>
      </c>
      <c r="P169" s="17">
        <f t="shared" ca="1" si="59"/>
        <v>66932.032226762138</v>
      </c>
    </row>
    <row r="170" spans="2:34" x14ac:dyDescent="0.15">
      <c r="B170" s="107" t="s">
        <v>90</v>
      </c>
      <c r="E170" s="17">
        <f t="shared" ref="E170:P170" ca="1" si="60">E32</f>
        <v>0</v>
      </c>
      <c r="F170" s="17">
        <f t="shared" ca="1" si="60"/>
        <v>0</v>
      </c>
      <c r="G170" s="17">
        <f t="shared" ca="1" si="60"/>
        <v>0</v>
      </c>
      <c r="H170" s="17">
        <f t="shared" ca="1" si="60"/>
        <v>0</v>
      </c>
      <c r="I170" s="17">
        <f t="shared" ca="1" si="60"/>
        <v>0</v>
      </c>
      <c r="J170" s="17">
        <f t="shared" ca="1" si="60"/>
        <v>0</v>
      </c>
      <c r="K170" s="17">
        <f t="shared" ca="1" si="60"/>
        <v>0</v>
      </c>
      <c r="L170" s="17">
        <f t="shared" ca="1" si="60"/>
        <v>0</v>
      </c>
      <c r="M170" s="17">
        <f t="shared" ca="1" si="60"/>
        <v>0</v>
      </c>
      <c r="N170" s="17">
        <f t="shared" ca="1" si="60"/>
        <v>0</v>
      </c>
      <c r="O170" s="17">
        <f t="shared" ca="1" si="60"/>
        <v>0</v>
      </c>
      <c r="P170" s="17">
        <f t="shared" ca="1" si="60"/>
        <v>0</v>
      </c>
    </row>
    <row r="171" spans="2:34" x14ac:dyDescent="0.15">
      <c r="B171" s="107" t="s">
        <v>92</v>
      </c>
      <c r="E171" s="17">
        <f t="shared" ref="E171:P171" ca="1" si="61">E35-SUM(E169:E170)</f>
        <v>0</v>
      </c>
      <c r="F171" s="17">
        <f t="shared" ca="1" si="61"/>
        <v>0</v>
      </c>
      <c r="G171" s="17">
        <f t="shared" ca="1" si="61"/>
        <v>0</v>
      </c>
      <c r="H171" s="17">
        <f t="shared" ca="1" si="61"/>
        <v>0</v>
      </c>
      <c r="I171" s="17">
        <f t="shared" ca="1" si="61"/>
        <v>0</v>
      </c>
      <c r="J171" s="17">
        <f t="shared" ca="1" si="61"/>
        <v>0</v>
      </c>
      <c r="K171" s="17">
        <f t="shared" ca="1" si="61"/>
        <v>0</v>
      </c>
      <c r="L171" s="17">
        <f t="shared" ca="1" si="61"/>
        <v>0</v>
      </c>
      <c r="M171" s="17">
        <f t="shared" ca="1" si="61"/>
        <v>0</v>
      </c>
      <c r="N171" s="17">
        <f t="shared" ca="1" si="61"/>
        <v>0</v>
      </c>
      <c r="O171" s="17">
        <f t="shared" ca="1" si="61"/>
        <v>0</v>
      </c>
      <c r="P171" s="17">
        <f t="shared" ca="1" si="61"/>
        <v>0</v>
      </c>
    </row>
    <row r="172" spans="2:34" x14ac:dyDescent="0.15">
      <c r="B172" s="107" t="s">
        <v>94</v>
      </c>
      <c r="E172" s="17">
        <f t="shared" ref="E172:P172" ca="1" si="62">E36</f>
        <v>209585.02777777778</v>
      </c>
      <c r="F172" s="17">
        <f t="shared" ca="1" si="62"/>
        <v>203784.83333333331</v>
      </c>
      <c r="G172" s="17">
        <f t="shared" ca="1" si="62"/>
        <v>197984.63888888888</v>
      </c>
      <c r="H172" s="17">
        <f t="shared" ca="1" si="62"/>
        <v>192184.44444444441</v>
      </c>
      <c r="I172" s="17">
        <f t="shared" ca="1" si="62"/>
        <v>186384.24999999997</v>
      </c>
      <c r="J172" s="17">
        <f t="shared" ca="1" si="62"/>
        <v>180584.05555555553</v>
      </c>
      <c r="K172" s="17">
        <f t="shared" ca="1" si="62"/>
        <v>174783.86111111107</v>
      </c>
      <c r="L172" s="17">
        <f t="shared" ca="1" si="62"/>
        <v>168983.66666666663</v>
      </c>
      <c r="M172" s="17">
        <f t="shared" ca="1" si="62"/>
        <v>163183.47222222216</v>
      </c>
      <c r="N172" s="17">
        <f t="shared" ca="1" si="62"/>
        <v>157383.27777777772</v>
      </c>
      <c r="O172" s="17">
        <f t="shared" ca="1" si="62"/>
        <v>151583.08333333326</v>
      </c>
      <c r="P172" s="17">
        <f t="shared" ca="1" si="62"/>
        <v>145782.88888888882</v>
      </c>
    </row>
    <row r="173" spans="2:34" x14ac:dyDescent="0.15">
      <c r="B173" s="107" t="s">
        <v>95</v>
      </c>
      <c r="E173" s="17">
        <f t="shared" ref="E173:P173" ca="1" si="63">E38-E172</f>
        <v>0</v>
      </c>
      <c r="F173" s="17">
        <f t="shared" ca="1" si="63"/>
        <v>0</v>
      </c>
      <c r="G173" s="17">
        <f t="shared" ca="1" si="63"/>
        <v>0</v>
      </c>
      <c r="H173" s="17">
        <f t="shared" ca="1" si="63"/>
        <v>0</v>
      </c>
      <c r="I173" s="17">
        <f t="shared" ca="1" si="63"/>
        <v>0</v>
      </c>
      <c r="J173" s="17">
        <f t="shared" ca="1" si="63"/>
        <v>0</v>
      </c>
      <c r="K173" s="17">
        <f t="shared" ca="1" si="63"/>
        <v>0</v>
      </c>
      <c r="L173" s="17">
        <f t="shared" ca="1" si="63"/>
        <v>0</v>
      </c>
      <c r="M173" s="17">
        <f t="shared" ca="1" si="63"/>
        <v>0</v>
      </c>
      <c r="N173" s="17">
        <f t="shared" ca="1" si="63"/>
        <v>0</v>
      </c>
      <c r="O173" s="17">
        <f t="shared" ca="1" si="63"/>
        <v>0</v>
      </c>
      <c r="P173" s="17">
        <f t="shared" ca="1" si="63"/>
        <v>0</v>
      </c>
    </row>
    <row r="174" spans="2:34" x14ac:dyDescent="0.15">
      <c r="B174" s="107" t="s">
        <v>107</v>
      </c>
      <c r="E174" s="17">
        <f t="shared" ref="E174:P174" ca="1" si="64">-E47</f>
        <v>-300000</v>
      </c>
      <c r="F174" s="17">
        <f t="shared" ca="1" si="64"/>
        <v>-300000</v>
      </c>
      <c r="G174" s="17">
        <f t="shared" ca="1" si="64"/>
        <v>-300000</v>
      </c>
      <c r="H174" s="17">
        <f t="shared" ca="1" si="64"/>
        <v>-300000</v>
      </c>
      <c r="I174" s="17">
        <f t="shared" ca="1" si="64"/>
        <v>-300000</v>
      </c>
      <c r="J174" s="17">
        <f t="shared" ca="1" si="64"/>
        <v>-300000</v>
      </c>
      <c r="K174" s="17">
        <f t="shared" ca="1" si="64"/>
        <v>-300000</v>
      </c>
      <c r="L174" s="17">
        <f t="shared" ca="1" si="64"/>
        <v>-300000</v>
      </c>
      <c r="M174" s="17">
        <f t="shared" ca="1" si="64"/>
        <v>-300000</v>
      </c>
      <c r="N174" s="17">
        <f t="shared" ca="1" si="64"/>
        <v>-300000</v>
      </c>
      <c r="O174" s="17">
        <f t="shared" ca="1" si="64"/>
        <v>-300000</v>
      </c>
      <c r="P174" s="17">
        <f t="shared" ca="1" si="64"/>
        <v>-300000</v>
      </c>
    </row>
    <row r="175" spans="2:34" x14ac:dyDescent="0.15">
      <c r="B175" s="107" t="s">
        <v>108</v>
      </c>
      <c r="E175" s="17">
        <f t="shared" ref="E175:P175" ca="1" si="65">-E49-E174</f>
        <v>0</v>
      </c>
      <c r="F175" s="17">
        <f t="shared" ca="1" si="65"/>
        <v>0</v>
      </c>
      <c r="G175" s="17">
        <f t="shared" ca="1" si="65"/>
        <v>0</v>
      </c>
      <c r="H175" s="17">
        <f t="shared" ca="1" si="65"/>
        <v>0</v>
      </c>
      <c r="I175" s="17">
        <f t="shared" ca="1" si="65"/>
        <v>0</v>
      </c>
      <c r="J175" s="17">
        <f t="shared" ca="1" si="65"/>
        <v>0</v>
      </c>
      <c r="K175" s="17">
        <f t="shared" ca="1" si="65"/>
        <v>0</v>
      </c>
      <c r="L175" s="17">
        <f t="shared" ca="1" si="65"/>
        <v>0</v>
      </c>
      <c r="M175" s="17">
        <f t="shared" ca="1" si="65"/>
        <v>0</v>
      </c>
      <c r="N175" s="17">
        <f t="shared" ca="1" si="65"/>
        <v>0</v>
      </c>
      <c r="O175" s="17">
        <f t="shared" ca="1" si="65"/>
        <v>0</v>
      </c>
      <c r="P175" s="17">
        <f t="shared" ca="1" si="65"/>
        <v>0</v>
      </c>
    </row>
    <row r="176" spans="2:34" x14ac:dyDescent="0.15">
      <c r="B176" s="107" t="s">
        <v>163</v>
      </c>
      <c r="E176" s="17">
        <f t="shared" ref="E176:P176" ca="1" si="66">-E40-E41-E42-E43-E44</f>
        <v>34338.630521978492</v>
      </c>
      <c r="F176" s="17">
        <f t="shared" ca="1" si="66"/>
        <v>44057.22531862546</v>
      </c>
      <c r="G176" s="17">
        <f t="shared" ca="1" si="66"/>
        <v>-7097.3175904344062</v>
      </c>
      <c r="H176" s="17">
        <f t="shared" ca="1" si="66"/>
        <v>-13632.853294034405</v>
      </c>
      <c r="I176" s="17">
        <f t="shared" ca="1" si="66"/>
        <v>3343.8686011277464</v>
      </c>
      <c r="J176" s="17">
        <f t="shared" ca="1" si="66"/>
        <v>-7134.5102106537615</v>
      </c>
      <c r="K176" s="17">
        <f t="shared" ca="1" si="66"/>
        <v>-13767.150685864084</v>
      </c>
      <c r="L176" s="17">
        <f t="shared" ca="1" si="66"/>
        <v>3633.1017650012923</v>
      </c>
      <c r="M176" s="17">
        <f t="shared" ca="1" si="66"/>
        <v>-6961.3258050026643</v>
      </c>
      <c r="N176" s="17">
        <f t="shared" ca="1" si="66"/>
        <v>-13085.974794605247</v>
      </c>
      <c r="O176" s="17">
        <f t="shared" ca="1" si="66"/>
        <v>3775.9005239323901</v>
      </c>
      <c r="P176" s="17">
        <f t="shared" ca="1" si="66"/>
        <v>-6974.4940032137602</v>
      </c>
    </row>
    <row r="177" spans="2:34" x14ac:dyDescent="0.15">
      <c r="B177" s="107" t="s">
        <v>105</v>
      </c>
      <c r="E177" s="284">
        <f t="shared" ref="E177:P177" ca="1" si="67">-E46-E176</f>
        <v>0</v>
      </c>
      <c r="F177" s="284">
        <f t="shared" ca="1" si="67"/>
        <v>0</v>
      </c>
      <c r="G177" s="284">
        <f t="shared" ca="1" si="67"/>
        <v>0</v>
      </c>
      <c r="H177" s="284">
        <f t="shared" ca="1" si="67"/>
        <v>0</v>
      </c>
      <c r="I177" s="284">
        <f t="shared" ca="1" si="67"/>
        <v>0</v>
      </c>
      <c r="J177" s="284">
        <f t="shared" ca="1" si="67"/>
        <v>0</v>
      </c>
      <c r="K177" s="284">
        <f t="shared" ca="1" si="67"/>
        <v>0</v>
      </c>
      <c r="L177" s="284">
        <f t="shared" ca="1" si="67"/>
        <v>0</v>
      </c>
      <c r="M177" s="284">
        <f t="shared" ca="1" si="67"/>
        <v>0</v>
      </c>
      <c r="N177" s="284">
        <f t="shared" ca="1" si="67"/>
        <v>0</v>
      </c>
      <c r="O177" s="284">
        <f t="shared" ca="1" si="67"/>
        <v>0</v>
      </c>
      <c r="P177" s="284">
        <f t="shared" ca="1" si="67"/>
        <v>0</v>
      </c>
    </row>
    <row r="178" spans="2:34" x14ac:dyDescent="0.15">
      <c r="B178" s="16" t="s">
        <v>103</v>
      </c>
      <c r="E178" s="238">
        <f t="shared" ref="E178:P178" ca="1" si="68">E51</f>
        <v>290.5281502509024</v>
      </c>
      <c r="F178" s="238">
        <f t="shared" ca="1" si="68"/>
        <v>-7592.1959496335767</v>
      </c>
      <c r="G178" s="238">
        <f t="shared" ca="1" si="68"/>
        <v>-15321.6612093898</v>
      </c>
      <c r="H178" s="238">
        <f t="shared" ca="1" si="68"/>
        <v>-22014.199503167649</v>
      </c>
      <c r="I178" s="238">
        <f t="shared" ca="1" si="68"/>
        <v>-32378.982977237843</v>
      </c>
      <c r="J178" s="238">
        <f t="shared" ca="1" si="68"/>
        <v>-40533.519575961865</v>
      </c>
      <c r="K178" s="238">
        <f t="shared" ca="1" si="68"/>
        <v>-48953.767948939698</v>
      </c>
      <c r="L178" s="238">
        <f t="shared" ca="1" si="68"/>
        <v>-57406.661374364747</v>
      </c>
      <c r="M178" s="238">
        <f t="shared" ca="1" si="68"/>
        <v>-67051.362793635897</v>
      </c>
      <c r="N178" s="238">
        <f t="shared" ca="1" si="68"/>
        <v>-76023.103190794296</v>
      </c>
      <c r="O178" s="238">
        <f t="shared" ca="1" si="68"/>
        <v>-84811.903555238765</v>
      </c>
      <c r="P178" s="238">
        <f t="shared" ca="1" si="68"/>
        <v>-94259.572887562797</v>
      </c>
    </row>
    <row r="180" spans="2:34" x14ac:dyDescent="0.15">
      <c r="G180" s="329" t="s">
        <v>164</v>
      </c>
      <c r="H180" s="329"/>
      <c r="I180" s="329"/>
      <c r="J180" s="329"/>
      <c r="K180" s="329" t="s">
        <v>165</v>
      </c>
      <c r="L180" s="329"/>
      <c r="M180" s="177" t="s">
        <v>63</v>
      </c>
    </row>
    <row r="181" spans="2:34" x14ac:dyDescent="0.15">
      <c r="B181" s="16" t="s">
        <v>166</v>
      </c>
      <c r="E181" s="285" t="s">
        <v>167</v>
      </c>
      <c r="F181" s="285" t="s">
        <v>168</v>
      </c>
      <c r="G181" s="285" t="s">
        <v>169</v>
      </c>
      <c r="H181" s="285" t="s">
        <v>170</v>
      </c>
      <c r="I181" s="285" t="s">
        <v>171</v>
      </c>
      <c r="J181" s="285" t="s">
        <v>172</v>
      </c>
      <c r="K181" s="285" t="s">
        <v>173</v>
      </c>
      <c r="L181" s="285" t="s">
        <v>174</v>
      </c>
      <c r="M181" s="285" t="s">
        <v>175</v>
      </c>
    </row>
    <row r="182" spans="2:34" x14ac:dyDescent="0.15">
      <c r="B182" s="107" t="s">
        <v>93</v>
      </c>
      <c r="E182" s="17">
        <f ca="1">Q35</f>
        <v>66932.032226762138</v>
      </c>
      <c r="F182" s="17">
        <f ca="1">SUM(E$182:E182)</f>
        <v>66932.032226762138</v>
      </c>
      <c r="G182" s="42">
        <v>0</v>
      </c>
      <c r="H182" s="42">
        <f ca="1">IF(E182&gt;0,MAX(0,F182),0)</f>
        <v>66932.032226762138</v>
      </c>
      <c r="I182" s="42">
        <v>0</v>
      </c>
      <c r="J182" s="42">
        <f ca="1">IF(E182&gt;0,MIN(0,F182),0)</f>
        <v>0</v>
      </c>
      <c r="K182" s="42">
        <f ca="1">IF(E182&lt;0,MAX(0,F182),0)</f>
        <v>0</v>
      </c>
      <c r="L182" s="42">
        <f ca="1">IF(E182&lt;0,MIN(0,F182),0)</f>
        <v>0</v>
      </c>
      <c r="M182" s="42">
        <v>0</v>
      </c>
    </row>
    <row r="183" spans="2:34" x14ac:dyDescent="0.15">
      <c r="B183" s="107" t="s">
        <v>96</v>
      </c>
      <c r="E183" s="17">
        <f ca="1">Q38</f>
        <v>145782.88888888882</v>
      </c>
      <c r="F183" s="17">
        <f ca="1">SUM(E$182:E183)</f>
        <v>212714.92111565097</v>
      </c>
      <c r="G183" s="17">
        <f ca="1">IF(SIGN(F183)&lt;&gt;SIGN(OFFSET(F183,-1,0)),0,
IF(OFFSET(F183,-1,0)&gt;0,IF(E183&lt;0,F183,OFFSET(F183,-1,0)),0))</f>
        <v>66932.032226762138</v>
      </c>
      <c r="H183" s="17">
        <f ca="1">IF(E183&gt;0,
IF(F183=0,-MIN(E183,0),
IF(SIGN(OFFSET(F183,-1,0))&lt;&gt;SIGN(F183),MAX(OFFSET(F183,-1,0),F183),
IF(F183&gt;0,ABS(E183),0))),
0)</f>
        <v>145782.88888888882</v>
      </c>
      <c r="I183" s="17">
        <f ca="1">IF(SIGN(OFFSET(F183,-1,0))&lt;&gt;SIGN(F183),0,
IF(OFFSET(F183,-1,0)&lt;0,IF(E183&gt;0,F183,OFFSET(F183,-1,0)),0))</f>
        <v>0</v>
      </c>
      <c r="J183" s="17">
        <f ca="1">IF(E183&gt;0,
IF(F183=0,-MAX(E183,0),
IF(SIGN(OFFSET(F183,-1,0))&lt;&gt;SIGN(F183),MIN(OFFSET(F183,-1,0),F183),
IF(F183&lt;0,-ABS(E183),0))),
0)</f>
        <v>0</v>
      </c>
      <c r="K183" s="17">
        <f ca="1">IF(E183&lt;0,
IF(F183=0,-MIN(E183,0),
IF(SIGN(OFFSET(F183,-1,0))&lt;&gt;SIGN(F183),MAX(OFFSET(F183,-1,0),F183),
IF(F183&gt;0,ABS(E183),0))),
0)</f>
        <v>0</v>
      </c>
      <c r="L183" s="17">
        <f ca="1">IF(E183&lt;0,
IF(F183=0,-MAX(E183,0),
IF(SIGN(OFFSET(F183,-1,0))&lt;&gt;SIGN(F183),MIN(OFFSET(F183,-1,0),F183),
IF(F183&lt;0,-ABS(E183),0))),
0)</f>
        <v>0</v>
      </c>
      <c r="M183" s="17">
        <v>0</v>
      </c>
    </row>
    <row r="184" spans="2:34" x14ac:dyDescent="0.15">
      <c r="B184" s="107" t="s">
        <v>106</v>
      </c>
      <c r="E184" s="17">
        <f ca="1">-Q46</f>
        <v>-6974.4940032137602</v>
      </c>
      <c r="F184" s="17">
        <f ca="1">SUM(E$182:E184)</f>
        <v>205740.4271124372</v>
      </c>
      <c r="G184" s="17">
        <f ca="1">IF(SIGN(F184)&lt;&gt;SIGN(OFFSET(F184,-1,0)),0,
IF(OFFSET(F184,-1,0)&gt;0,IF(E184&lt;0,F184,OFFSET(F184,-1,0)),0))</f>
        <v>205740.4271124372</v>
      </c>
      <c r="H184" s="17">
        <f ca="1">IF(E184&gt;0,
IF(F184=0,-MIN(E184,0),
IF(SIGN(OFFSET(F184,-1,0))&lt;&gt;SIGN(F184),MAX(OFFSET(F184,-1,0),F184),
IF(F184&gt;0,ABS(E184),0))),
0)</f>
        <v>0</v>
      </c>
      <c r="I184" s="17">
        <f ca="1">IF(SIGN(OFFSET(F184,-1,0))&lt;&gt;SIGN(F184),0,
IF(OFFSET(F184,-1,0)&lt;0,IF(E184&gt;0,F184,OFFSET(F184,-1,0)),0))</f>
        <v>0</v>
      </c>
      <c r="J184" s="17">
        <f ca="1">IF(E184&gt;0,
IF(F184=0,-MAX(E184,0),
IF(SIGN(OFFSET(F184,-1,0))&lt;&gt;SIGN(F184),MIN(OFFSET(F184,-1,0),F184),
IF(F184&lt;0,-ABS(E184),0))),
0)</f>
        <v>0</v>
      </c>
      <c r="K184" s="17">
        <f ca="1">IF(E184&lt;0,
IF(F184=0,-MIN(E184,0),
IF(SIGN(OFFSET(F184,-1,0))&lt;&gt;SIGN(F184),MAX(OFFSET(F184,-1,0),F184),
IF(F184&gt;0,ABS(E184),0))),
0)</f>
        <v>6974.4940032137602</v>
      </c>
      <c r="L184" s="17">
        <f ca="1">IF(E184&lt;0,
IF(F184=0,-MAX(E184,0),
IF(SIGN(OFFSET(F184,-1,0))&lt;&gt;SIGN(F184),MIN(OFFSET(F184,-1,0),F184),
IF(F184&lt;0,-ABS(E184),0))),
0)</f>
        <v>0</v>
      </c>
      <c r="M184" s="17">
        <v>0</v>
      </c>
    </row>
    <row r="185" spans="2:34" x14ac:dyDescent="0.15">
      <c r="B185" s="107" t="s">
        <v>109</v>
      </c>
      <c r="E185" s="17">
        <f ca="1">-Q49</f>
        <v>-300000</v>
      </c>
      <c r="F185" s="17">
        <f ca="1">SUM(E$182:E185)</f>
        <v>-94259.572887562797</v>
      </c>
      <c r="G185" s="17">
        <f ca="1">IF(SIGN(F185)&lt;&gt;SIGN(OFFSET(F185,-1,0)),0,
IF(OFFSET(F185,-1,0)&gt;0,IF(E185&lt;0,F185,OFFSET(F185,-1,0)),0))</f>
        <v>0</v>
      </c>
      <c r="H185" s="17">
        <f ca="1">IF(E185&gt;0,
IF(F185=0,-MIN(E185,0),
IF(SIGN(OFFSET(F185,-1,0))&lt;&gt;SIGN(F185),MAX(OFFSET(F185,-1,0),F185),
IF(F185&gt;0,ABS(E185),0))),
0)</f>
        <v>0</v>
      </c>
      <c r="I185" s="17">
        <f ca="1">IF(SIGN(OFFSET(F185,-1,0))&lt;&gt;SIGN(F185),0,
IF(OFFSET(F185,-1,0)&lt;0,IF(E185&gt;0,F185,OFFSET(F185,-1,0)),0))</f>
        <v>0</v>
      </c>
      <c r="J185" s="17">
        <f ca="1">IF(E185&gt;0,
IF(F185=0,-MAX(E185,0),
IF(SIGN(OFFSET(F185,-1,0))&lt;&gt;SIGN(F185),MIN(OFFSET(F185,-1,0),F185),
IF(F185&lt;0,-ABS(E185),0))),
0)</f>
        <v>0</v>
      </c>
      <c r="K185" s="17">
        <f ca="1">IF(E185&lt;0,
IF(F185=0,-MIN(E185,0),
IF(SIGN(OFFSET(F185,-1,0))&lt;&gt;SIGN(F185),MAX(OFFSET(F185,-1,0),F185),
IF(F185&gt;0,ABS(E185),0))),
0)</f>
        <v>205740.4271124372</v>
      </c>
      <c r="L185" s="17">
        <f ca="1">IF(E185&lt;0,
IF(F185=0,-MAX(E185,0),
IF(SIGN(OFFSET(F185,-1,0))&lt;&gt;SIGN(F185),MIN(OFFSET(F185,-1,0),F185),
IF(F185&lt;0,-ABS(E185),0))),
0)</f>
        <v>-94259.572887562797</v>
      </c>
      <c r="M185" s="17">
        <v>0</v>
      </c>
    </row>
    <row r="186" spans="2:34" x14ac:dyDescent="0.15">
      <c r="B186" s="16" t="s">
        <v>103</v>
      </c>
      <c r="E186" s="238">
        <f ca="1">SUM(E182:E185)</f>
        <v>-94259.572887562797</v>
      </c>
      <c r="F186" s="238">
        <f ca="1">SUM(E182:E185)</f>
        <v>-94259.572887562797</v>
      </c>
      <c r="G186" s="286">
        <v>0</v>
      </c>
      <c r="H186" s="286">
        <v>0</v>
      </c>
      <c r="I186" s="286">
        <v>0</v>
      </c>
      <c r="J186" s="286">
        <v>0</v>
      </c>
      <c r="K186" s="286">
        <v>0</v>
      </c>
      <c r="L186" s="286">
        <v>0</v>
      </c>
      <c r="M186" s="286">
        <f ca="1">F186</f>
        <v>-94259.572887562797</v>
      </c>
    </row>
    <row r="188" spans="2:34" x14ac:dyDescent="0.15">
      <c r="B188" s="108" t="s">
        <v>118</v>
      </c>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row>
    <row r="190" spans="2:34" x14ac:dyDescent="0.15">
      <c r="B190" s="16" t="s">
        <v>88</v>
      </c>
    </row>
    <row r="191" spans="2:34" x14ac:dyDescent="0.15">
      <c r="B191" s="107" t="s">
        <v>176</v>
      </c>
      <c r="E191" s="17">
        <f ca="1">IF(E$97,OFFSET(Financials!J84,0,$E$92),0)</f>
        <v>11206</v>
      </c>
    </row>
    <row r="192" spans="2:34" x14ac:dyDescent="0.15">
      <c r="B192" s="107" t="s">
        <v>177</v>
      </c>
      <c r="E192" s="17">
        <f ca="1">OFFSET(E31,0,MIN(Ts_Term-E92,COLUMNS($E$96:$P$96))-1)</f>
        <v>66932.032226762138</v>
      </c>
    </row>
    <row r="193" spans="2:13" x14ac:dyDescent="0.15">
      <c r="B193" s="107" t="s">
        <v>144</v>
      </c>
      <c r="E193" s="287">
        <f ca="1">E192-E191</f>
        <v>55726.032226762138</v>
      </c>
    </row>
    <row r="194" spans="2:13" x14ac:dyDescent="0.15">
      <c r="G194" s="329" t="s">
        <v>164</v>
      </c>
      <c r="H194" s="329"/>
      <c r="I194" s="329"/>
      <c r="J194" s="329"/>
      <c r="K194" s="329" t="s">
        <v>165</v>
      </c>
      <c r="L194" s="329"/>
      <c r="M194" s="177" t="s">
        <v>63</v>
      </c>
    </row>
    <row r="195" spans="2:13" x14ac:dyDescent="0.15">
      <c r="B195" s="4" t="b">
        <v>1</v>
      </c>
    </row>
    <row r="197" spans="2:13" x14ac:dyDescent="0.15">
      <c r="B197" s="16" t="s">
        <v>178</v>
      </c>
      <c r="E197" s="174" t="s">
        <v>179</v>
      </c>
      <c r="F197" s="285" t="s">
        <v>168</v>
      </c>
      <c r="G197" s="285" t="s">
        <v>169</v>
      </c>
      <c r="H197" s="285" t="s">
        <v>180</v>
      </c>
      <c r="I197" s="285" t="s">
        <v>181</v>
      </c>
      <c r="J197" s="285" t="s">
        <v>182</v>
      </c>
      <c r="K197" s="285" t="s">
        <v>183</v>
      </c>
      <c r="L197" s="285" t="s">
        <v>184</v>
      </c>
      <c r="M197" s="285" t="s">
        <v>185</v>
      </c>
    </row>
    <row r="198" spans="2:13" x14ac:dyDescent="0.15">
      <c r="B198" s="107" t="str">
        <f>S64</f>
        <v>Cash at Start</v>
      </c>
      <c r="E198" s="17">
        <f ca="1">IF(B195,E191,0)</f>
        <v>11206</v>
      </c>
      <c r="F198" s="17">
        <f ca="1">SUM(E198:E$198)</f>
        <v>11206</v>
      </c>
      <c r="G198" s="42">
        <v>0</v>
      </c>
      <c r="H198" s="42">
        <v>0</v>
      </c>
      <c r="I198" s="42">
        <v>0</v>
      </c>
      <c r="J198" s="42">
        <v>0</v>
      </c>
      <c r="K198" s="42">
        <v>0</v>
      </c>
      <c r="L198" s="42">
        <v>0</v>
      </c>
      <c r="M198" s="42">
        <f ca="1">E198</f>
        <v>11206</v>
      </c>
    </row>
    <row r="199" spans="2:13" x14ac:dyDescent="0.15">
      <c r="B199" s="107" t="str">
        <f>B60</f>
        <v>Revenue</v>
      </c>
      <c r="E199" s="17">
        <f ca="1">Q60</f>
        <v>62935.105349462356</v>
      </c>
      <c r="F199" s="17">
        <f ca="1">SUM(E$198:E199)</f>
        <v>74141.105349462363</v>
      </c>
      <c r="G199" s="17">
        <f t="shared" ref="G199:G220" ca="1" si="69">IF(SIGN(F199)&lt;&gt;SIGN(OFFSET(F199,-1,0)),0,
IF(OFFSET(F199,-1,0)&gt;0,IF(E199&lt;0,F199,OFFSET(F199,-1,0)),0))</f>
        <v>11206</v>
      </c>
      <c r="H199" s="17">
        <f t="shared" ref="H199:H220" ca="1" si="70">IF(E199&gt;0,
IF(F199=0,-MIN(E199,0),
IF(SIGN(OFFSET(F199,-1,0))&lt;&gt;SIGN(F199),MAX(OFFSET(F199,-1,0),F199),
IF(F199&gt;0,ABS(E199),0))),
0)</f>
        <v>62935.105349462356</v>
      </c>
      <c r="I199" s="17">
        <f t="shared" ref="I199:I220" ca="1" si="71">IF(SIGN(OFFSET(F199,-1,0))&lt;&gt;SIGN(F199),0,
IF(OFFSET(F199,-1,0)&lt;0,IF(E199&gt;0,F199,OFFSET(F199,-1,0)),0))</f>
        <v>0</v>
      </c>
      <c r="J199" s="17">
        <f t="shared" ref="J199:J220" ca="1" si="72">IF(E199&gt;0,
IF(F199=0,-MAX(E199,0),
IF(SIGN(OFFSET(F199,-1,0))&lt;&gt;SIGN(F199),MIN(OFFSET(F199,-1,0),F199),
IF(F199&lt;0,-ABS(E199),0))),
0)</f>
        <v>0</v>
      </c>
      <c r="K199" s="17">
        <f t="shared" ref="K199:K220" ca="1" si="73">IF(E199&lt;0,
IF(F199=0,-MIN(E199,0),
IF(SIGN(OFFSET(F199,-1,0))&lt;&gt;SIGN(F199),MAX(OFFSET(F199,-1,0),F199),
IF(F199&gt;0,ABS(E199),0))),
0)</f>
        <v>0</v>
      </c>
      <c r="L199" s="17">
        <f t="shared" ref="L199:L220" ca="1" si="74">IF(E199&lt;0,
IF(F199=0,-MAX(E199,0),
IF(SIGN(OFFSET(F199,-1,0))&lt;&gt;SIGN(F199),MIN(OFFSET(F199,-1,0),F199),
IF(F199&lt;0,-ABS(E199),0))),
0)</f>
        <v>0</v>
      </c>
      <c r="M199" s="17">
        <v>0</v>
      </c>
    </row>
    <row r="200" spans="2:13" x14ac:dyDescent="0.15">
      <c r="B200" s="107" t="str">
        <f>B61</f>
        <v>Decrease in Debtors</v>
      </c>
      <c r="E200" s="17">
        <f ca="1">Q61</f>
        <v>35</v>
      </c>
      <c r="F200" s="17">
        <f ca="1">SUM(E$198:E200)</f>
        <v>74176.105349462363</v>
      </c>
      <c r="G200" s="17">
        <f t="shared" ca="1" si="69"/>
        <v>74141.105349462363</v>
      </c>
      <c r="H200" s="17">
        <f t="shared" ca="1" si="70"/>
        <v>35</v>
      </c>
      <c r="I200" s="17">
        <f t="shared" ca="1" si="71"/>
        <v>0</v>
      </c>
      <c r="J200" s="17">
        <f t="shared" ca="1" si="72"/>
        <v>0</v>
      </c>
      <c r="K200" s="17">
        <f t="shared" ca="1" si="73"/>
        <v>0</v>
      </c>
      <c r="L200" s="17">
        <f t="shared" ca="1" si="74"/>
        <v>0</v>
      </c>
      <c r="M200" s="17">
        <v>0</v>
      </c>
    </row>
    <row r="201" spans="2:13" x14ac:dyDescent="0.15">
      <c r="B201" s="107" t="str">
        <f>B62</f>
        <v>Other Cash Receipts</v>
      </c>
      <c r="E201" s="17">
        <f ca="1">Q62</f>
        <v>0</v>
      </c>
      <c r="F201" s="17">
        <f ca="1">SUM(E$198:E201)</f>
        <v>74176.105349462363</v>
      </c>
      <c r="G201" s="17">
        <f t="shared" ca="1" si="69"/>
        <v>74176.105349462363</v>
      </c>
      <c r="H201" s="17">
        <f t="shared" ca="1" si="70"/>
        <v>0</v>
      </c>
      <c r="I201" s="17">
        <f t="shared" ca="1" si="71"/>
        <v>0</v>
      </c>
      <c r="J201" s="17">
        <f t="shared" ca="1" si="72"/>
        <v>0</v>
      </c>
      <c r="K201" s="17">
        <f t="shared" ca="1" si="73"/>
        <v>0</v>
      </c>
      <c r="L201" s="17">
        <f t="shared" ca="1" si="74"/>
        <v>0</v>
      </c>
      <c r="M201" s="17">
        <v>0</v>
      </c>
    </row>
    <row r="202" spans="2:13" x14ac:dyDescent="0.15">
      <c r="B202" s="107" t="str">
        <f t="shared" ref="B202:B207" si="75">B64</f>
        <v>Cost of Goods Sold</v>
      </c>
      <c r="E202" s="17">
        <f t="shared" ref="E202:E207" ca="1" si="76">Q64</f>
        <v>-10164.994808225807</v>
      </c>
      <c r="F202" s="17">
        <f ca="1">SUM(E$198:E202)</f>
        <v>64011.110541236558</v>
      </c>
      <c r="G202" s="17">
        <f t="shared" ca="1" si="69"/>
        <v>64011.110541236558</v>
      </c>
      <c r="H202" s="17">
        <f t="shared" ca="1" si="70"/>
        <v>0</v>
      </c>
      <c r="I202" s="17">
        <f t="shared" ca="1" si="71"/>
        <v>0</v>
      </c>
      <c r="J202" s="17">
        <f t="shared" ca="1" si="72"/>
        <v>0</v>
      </c>
      <c r="K202" s="17">
        <f t="shared" ca="1" si="73"/>
        <v>10164.994808225807</v>
      </c>
      <c r="L202" s="17">
        <f t="shared" ca="1" si="74"/>
        <v>0</v>
      </c>
      <c r="M202" s="17">
        <v>0</v>
      </c>
    </row>
    <row r="203" spans="2:13" x14ac:dyDescent="0.15">
      <c r="B203" s="107" t="str">
        <f t="shared" si="75"/>
        <v>Operating Expenditure</v>
      </c>
      <c r="E203" s="17">
        <f t="shared" ca="1" si="76"/>
        <v>-87677.572317688173</v>
      </c>
      <c r="F203" s="17">
        <f ca="1">SUM(E$198:E203)</f>
        <v>-23666.461776451615</v>
      </c>
      <c r="G203" s="17">
        <f t="shared" ca="1" si="69"/>
        <v>0</v>
      </c>
      <c r="H203" s="17">
        <f t="shared" ca="1" si="70"/>
        <v>0</v>
      </c>
      <c r="I203" s="17">
        <f t="shared" ca="1" si="71"/>
        <v>0</v>
      </c>
      <c r="J203" s="17">
        <f t="shared" ca="1" si="72"/>
        <v>0</v>
      </c>
      <c r="K203" s="17">
        <f t="shared" ca="1" si="73"/>
        <v>64011.110541236558</v>
      </c>
      <c r="L203" s="17">
        <f t="shared" ca="1" si="74"/>
        <v>-23666.461776451615</v>
      </c>
      <c r="M203" s="17">
        <v>0</v>
      </c>
    </row>
    <row r="204" spans="2:13" x14ac:dyDescent="0.15">
      <c r="B204" s="107" t="str">
        <f t="shared" si="75"/>
        <v>Decrease in Inventory</v>
      </c>
      <c r="E204" s="17">
        <f t="shared" ca="1" si="76"/>
        <v>279</v>
      </c>
      <c r="F204" s="17">
        <f ca="1">SUM(E$198:E204)</f>
        <v>-23387.461776451615</v>
      </c>
      <c r="G204" s="17">
        <f t="shared" ca="1" si="69"/>
        <v>0</v>
      </c>
      <c r="H204" s="17">
        <f t="shared" ca="1" si="70"/>
        <v>0</v>
      </c>
      <c r="I204" s="17">
        <f t="shared" ca="1" si="71"/>
        <v>-23387.461776451615</v>
      </c>
      <c r="J204" s="17">
        <f t="shared" ca="1" si="72"/>
        <v>-279</v>
      </c>
      <c r="K204" s="17">
        <f t="shared" ca="1" si="73"/>
        <v>0</v>
      </c>
      <c r="L204" s="17">
        <f t="shared" ca="1" si="74"/>
        <v>0</v>
      </c>
      <c r="M204" s="17">
        <v>0</v>
      </c>
    </row>
    <row r="205" spans="2:13" x14ac:dyDescent="0.15">
      <c r="B205" s="107" t="str">
        <f t="shared" si="75"/>
        <v>Increase in Creditors</v>
      </c>
      <c r="E205" s="17">
        <f t="shared" ca="1" si="76"/>
        <v>1696.757419354838</v>
      </c>
      <c r="F205" s="17">
        <f ca="1">SUM(E$198:E205)</f>
        <v>-21690.704357096776</v>
      </c>
      <c r="G205" s="17">
        <f t="shared" ca="1" si="69"/>
        <v>0</v>
      </c>
      <c r="H205" s="17">
        <f t="shared" ca="1" si="70"/>
        <v>0</v>
      </c>
      <c r="I205" s="17">
        <f t="shared" ca="1" si="71"/>
        <v>-21690.704357096776</v>
      </c>
      <c r="J205" s="17">
        <f t="shared" ca="1" si="72"/>
        <v>-1696.757419354838</v>
      </c>
      <c r="K205" s="17">
        <f t="shared" ca="1" si="73"/>
        <v>0</v>
      </c>
      <c r="L205" s="17">
        <f t="shared" ca="1" si="74"/>
        <v>0</v>
      </c>
      <c r="M205" s="17">
        <v>0</v>
      </c>
    </row>
    <row r="206" spans="2:13" x14ac:dyDescent="0.15">
      <c r="B206" s="107" t="str">
        <f t="shared" si="75"/>
        <v>Increase in Inventory Payables</v>
      </c>
      <c r="E206" s="17">
        <f t="shared" ca="1" si="76"/>
        <v>0</v>
      </c>
      <c r="F206" s="17">
        <f ca="1">SUM(E$198:E206)</f>
        <v>-21690.704357096776</v>
      </c>
      <c r="G206" s="17">
        <f t="shared" ca="1" si="69"/>
        <v>0</v>
      </c>
      <c r="H206" s="17">
        <f t="shared" ca="1" si="70"/>
        <v>0</v>
      </c>
      <c r="I206" s="17">
        <f t="shared" ca="1" si="71"/>
        <v>-21690.704357096776</v>
      </c>
      <c r="J206" s="17">
        <f t="shared" ca="1" si="72"/>
        <v>0</v>
      </c>
      <c r="K206" s="17">
        <f t="shared" ca="1" si="73"/>
        <v>0</v>
      </c>
      <c r="L206" s="17">
        <f t="shared" ca="1" si="74"/>
        <v>0</v>
      </c>
      <c r="M206" s="17">
        <v>0</v>
      </c>
    </row>
    <row r="207" spans="2:13" x14ac:dyDescent="0.15">
      <c r="B207" s="107" t="str">
        <f t="shared" si="75"/>
        <v>Other Cash Payments</v>
      </c>
      <c r="E207" s="17">
        <f t="shared" ca="1" si="76"/>
        <v>0</v>
      </c>
      <c r="F207" s="17">
        <f ca="1">SUM(E$198:E207)</f>
        <v>-21690.704357096776</v>
      </c>
      <c r="G207" s="17">
        <f t="shared" ca="1" si="69"/>
        <v>0</v>
      </c>
      <c r="H207" s="17">
        <f t="shared" ca="1" si="70"/>
        <v>0</v>
      </c>
      <c r="I207" s="17">
        <f t="shared" ca="1" si="71"/>
        <v>-21690.704357096776</v>
      </c>
      <c r="J207" s="17">
        <f t="shared" ca="1" si="72"/>
        <v>0</v>
      </c>
      <c r="K207" s="17">
        <f t="shared" ca="1" si="73"/>
        <v>0</v>
      </c>
      <c r="L207" s="17">
        <f t="shared" ca="1" si="74"/>
        <v>0</v>
      </c>
      <c r="M207" s="17">
        <v>0</v>
      </c>
    </row>
    <row r="208" spans="2:13" x14ac:dyDescent="0.15">
      <c r="B208" s="107" t="str">
        <f>B71</f>
        <v>Interest on Cash</v>
      </c>
      <c r="E208" s="17">
        <f ca="1">Q71</f>
        <v>0</v>
      </c>
      <c r="F208" s="17">
        <f ca="1">SUM(E$198:E208)</f>
        <v>-21690.704357096776</v>
      </c>
      <c r="G208" s="17">
        <f t="shared" ca="1" si="69"/>
        <v>0</v>
      </c>
      <c r="H208" s="17">
        <f t="shared" ca="1" si="70"/>
        <v>0</v>
      </c>
      <c r="I208" s="17">
        <f t="shared" ca="1" si="71"/>
        <v>-21690.704357096776</v>
      </c>
      <c r="J208" s="17">
        <f t="shared" ca="1" si="72"/>
        <v>0</v>
      </c>
      <c r="K208" s="17">
        <f t="shared" ca="1" si="73"/>
        <v>0</v>
      </c>
      <c r="L208" s="17">
        <f t="shared" ca="1" si="74"/>
        <v>0</v>
      </c>
      <c r="M208" s="17">
        <v>0</v>
      </c>
    </row>
    <row r="209" spans="2:13" x14ac:dyDescent="0.15">
      <c r="B209" s="107" t="str">
        <f>B72</f>
        <v>Increase in VAT Payable</v>
      </c>
      <c r="E209" s="17">
        <f ca="1">Q72</f>
        <v>-1377.2634161410788</v>
      </c>
      <c r="F209" s="17">
        <f ca="1">SUM(E$198:E209)</f>
        <v>-23067.967773237855</v>
      </c>
      <c r="G209" s="17">
        <f t="shared" ca="1" si="69"/>
        <v>0</v>
      </c>
      <c r="H209" s="17">
        <f t="shared" ca="1" si="70"/>
        <v>0</v>
      </c>
      <c r="I209" s="17">
        <f t="shared" ca="1" si="71"/>
        <v>-21690.704357096776</v>
      </c>
      <c r="J209" s="17">
        <f t="shared" ca="1" si="72"/>
        <v>0</v>
      </c>
      <c r="K209" s="17">
        <f t="shared" ca="1" si="73"/>
        <v>0</v>
      </c>
      <c r="L209" s="17">
        <f t="shared" ca="1" si="74"/>
        <v>-1377.2634161410788</v>
      </c>
      <c r="M209" s="17">
        <v>0</v>
      </c>
    </row>
    <row r="210" spans="2:13" x14ac:dyDescent="0.15">
      <c r="B210" s="107" t="str">
        <f>B73</f>
        <v>Interest Paid</v>
      </c>
      <c r="E210" s="17">
        <f ca="1">Q73</f>
        <v>0</v>
      </c>
      <c r="F210" s="17">
        <f ca="1">SUM(E$198:E210)</f>
        <v>-23067.967773237855</v>
      </c>
      <c r="G210" s="17">
        <f t="shared" ca="1" si="69"/>
        <v>0</v>
      </c>
      <c r="H210" s="17">
        <f t="shared" ca="1" si="70"/>
        <v>0</v>
      </c>
      <c r="I210" s="17">
        <f t="shared" ca="1" si="71"/>
        <v>-23067.967773237855</v>
      </c>
      <c r="J210" s="17">
        <f t="shared" ca="1" si="72"/>
        <v>0</v>
      </c>
      <c r="K210" s="17">
        <f t="shared" ca="1" si="73"/>
        <v>0</v>
      </c>
      <c r="L210" s="17">
        <f t="shared" ca="1" si="74"/>
        <v>0</v>
      </c>
      <c r="M210" s="17">
        <v>0</v>
      </c>
    </row>
    <row r="211" spans="2:13" x14ac:dyDescent="0.15">
      <c r="B211" s="107" t="str">
        <f>B74</f>
        <v>Corporate Tax Paid</v>
      </c>
      <c r="E211" s="17">
        <f ca="1">Q74</f>
        <v>0</v>
      </c>
      <c r="F211" s="17">
        <f ca="1">SUM(E$198:E211)</f>
        <v>-23067.967773237855</v>
      </c>
      <c r="G211" s="17">
        <f t="shared" ca="1" si="69"/>
        <v>0</v>
      </c>
      <c r="H211" s="17">
        <f t="shared" ca="1" si="70"/>
        <v>0</v>
      </c>
      <c r="I211" s="17">
        <f t="shared" ca="1" si="71"/>
        <v>-23067.967773237855</v>
      </c>
      <c r="J211" s="17">
        <f t="shared" ca="1" si="72"/>
        <v>0</v>
      </c>
      <c r="K211" s="17">
        <f t="shared" ca="1" si="73"/>
        <v>0</v>
      </c>
      <c r="L211" s="17">
        <f t="shared" ca="1" si="74"/>
        <v>0</v>
      </c>
      <c r="M211" s="17">
        <v>0</v>
      </c>
    </row>
    <row r="212" spans="2:13" x14ac:dyDescent="0.15">
      <c r="B212" s="107" t="str">
        <f>B75</f>
        <v>Other Operating Cash Flows</v>
      </c>
      <c r="E212" s="17">
        <f ca="1">Q75</f>
        <v>1.8189894035458565E-12</v>
      </c>
      <c r="F212" s="17">
        <f ca="1">SUM(E$198:E212)</f>
        <v>-23067.967773237855</v>
      </c>
      <c r="G212" s="17">
        <f t="shared" ca="1" si="69"/>
        <v>0</v>
      </c>
      <c r="H212" s="17">
        <f t="shared" ca="1" si="70"/>
        <v>0</v>
      </c>
      <c r="I212" s="17">
        <f t="shared" ca="1" si="71"/>
        <v>-23067.967773237855</v>
      </c>
      <c r="J212" s="17">
        <f t="shared" ca="1" si="72"/>
        <v>-1.8189894035458565E-12</v>
      </c>
      <c r="K212" s="17">
        <f t="shared" ca="1" si="73"/>
        <v>0</v>
      </c>
      <c r="L212" s="17">
        <f t="shared" ca="1" si="74"/>
        <v>0</v>
      </c>
      <c r="M212" s="17">
        <v>0</v>
      </c>
    </row>
    <row r="213" spans="2:13" x14ac:dyDescent="0.15">
      <c r="B213" s="107" t="str">
        <f>B77</f>
        <v>Fixed Assets Capital Expenditure</v>
      </c>
      <c r="E213" s="17">
        <f ca="1">Q77</f>
        <v>-210000</v>
      </c>
      <c r="F213" s="17">
        <f ca="1">SUM(E$198:E213)</f>
        <v>-233067.96777323785</v>
      </c>
      <c r="G213" s="17">
        <f t="shared" ca="1" si="69"/>
        <v>0</v>
      </c>
      <c r="H213" s="17">
        <f t="shared" ca="1" si="70"/>
        <v>0</v>
      </c>
      <c r="I213" s="17">
        <f t="shared" ca="1" si="71"/>
        <v>-23067.967773237855</v>
      </c>
      <c r="J213" s="17">
        <f t="shared" ca="1" si="72"/>
        <v>0</v>
      </c>
      <c r="K213" s="17">
        <f t="shared" ca="1" si="73"/>
        <v>0</v>
      </c>
      <c r="L213" s="17">
        <f t="shared" ca="1" si="74"/>
        <v>-210000</v>
      </c>
      <c r="M213" s="17">
        <v>0</v>
      </c>
    </row>
    <row r="214" spans="2:13" x14ac:dyDescent="0.15">
      <c r="B214" s="107" t="str">
        <f>B78</f>
        <v>Other Investing Cash Flows</v>
      </c>
      <c r="E214" s="17">
        <f ca="1">Q78</f>
        <v>0</v>
      </c>
      <c r="F214" s="17">
        <f ca="1">SUM(E$198:E214)</f>
        <v>-233067.96777323785</v>
      </c>
      <c r="G214" s="17">
        <f t="shared" ca="1" si="69"/>
        <v>0</v>
      </c>
      <c r="H214" s="17">
        <f t="shared" ca="1" si="70"/>
        <v>0</v>
      </c>
      <c r="I214" s="17">
        <f t="shared" ca="1" si="71"/>
        <v>-233067.96777323785</v>
      </c>
      <c r="J214" s="17">
        <f t="shared" ca="1" si="72"/>
        <v>0</v>
      </c>
      <c r="K214" s="17">
        <f t="shared" ca="1" si="73"/>
        <v>0</v>
      </c>
      <c r="L214" s="17">
        <f t="shared" ca="1" si="74"/>
        <v>0</v>
      </c>
      <c r="M214" s="17">
        <v>0</v>
      </c>
    </row>
    <row r="215" spans="2:13" x14ac:dyDescent="0.15">
      <c r="B215" s="107" t="str">
        <f t="shared" ref="B215:B220" si="77">B80</f>
        <v>Debt Drawdowns</v>
      </c>
      <c r="E215" s="17">
        <f t="shared" ref="E215:E220" ca="1" si="78">Q80</f>
        <v>300000</v>
      </c>
      <c r="F215" s="17">
        <f ca="1">SUM(E$198:E215)</f>
        <v>66932.032226762152</v>
      </c>
      <c r="G215" s="17">
        <f t="shared" ca="1" si="69"/>
        <v>0</v>
      </c>
      <c r="H215" s="17">
        <f t="shared" ca="1" si="70"/>
        <v>66932.032226762152</v>
      </c>
      <c r="I215" s="17">
        <f t="shared" ca="1" si="71"/>
        <v>0</v>
      </c>
      <c r="J215" s="17">
        <f t="shared" ca="1" si="72"/>
        <v>-233067.96777323785</v>
      </c>
      <c r="K215" s="17">
        <f t="shared" ca="1" si="73"/>
        <v>0</v>
      </c>
      <c r="L215" s="17">
        <f t="shared" ca="1" si="74"/>
        <v>0</v>
      </c>
      <c r="M215" s="17">
        <v>0</v>
      </c>
    </row>
    <row r="216" spans="2:13" x14ac:dyDescent="0.15">
      <c r="B216" s="107" t="str">
        <f t="shared" si="77"/>
        <v>Debt Repayments</v>
      </c>
      <c r="E216" s="17">
        <f t="shared" ca="1" si="78"/>
        <v>0</v>
      </c>
      <c r="F216" s="17">
        <f ca="1">SUM(E$198:E216)</f>
        <v>66932.032226762152</v>
      </c>
      <c r="G216" s="17">
        <f t="shared" ca="1" si="69"/>
        <v>66932.032226762152</v>
      </c>
      <c r="H216" s="17">
        <f t="shared" ca="1" si="70"/>
        <v>0</v>
      </c>
      <c r="I216" s="17">
        <f t="shared" ca="1" si="71"/>
        <v>0</v>
      </c>
      <c r="J216" s="17">
        <f t="shared" ca="1" si="72"/>
        <v>0</v>
      </c>
      <c r="K216" s="17">
        <f t="shared" ca="1" si="73"/>
        <v>0</v>
      </c>
      <c r="L216" s="17">
        <f t="shared" ca="1" si="74"/>
        <v>0</v>
      </c>
      <c r="M216" s="17">
        <v>0</v>
      </c>
    </row>
    <row r="217" spans="2:13" x14ac:dyDescent="0.15">
      <c r="B217" s="107" t="str">
        <f t="shared" si="77"/>
        <v>Ordinary Equity Raisings</v>
      </c>
      <c r="E217" s="17">
        <f t="shared" ca="1" si="78"/>
        <v>0</v>
      </c>
      <c r="F217" s="17">
        <f ca="1">SUM(E$198:E217)</f>
        <v>66932.032226762152</v>
      </c>
      <c r="G217" s="17">
        <f t="shared" ca="1" si="69"/>
        <v>66932.032226762152</v>
      </c>
      <c r="H217" s="17">
        <f t="shared" ca="1" si="70"/>
        <v>0</v>
      </c>
      <c r="I217" s="17">
        <f t="shared" ca="1" si="71"/>
        <v>0</v>
      </c>
      <c r="J217" s="17">
        <f t="shared" ca="1" si="72"/>
        <v>0</v>
      </c>
      <c r="K217" s="17">
        <f t="shared" ca="1" si="73"/>
        <v>0</v>
      </c>
      <c r="L217" s="17">
        <f t="shared" ca="1" si="74"/>
        <v>0</v>
      </c>
      <c r="M217" s="17">
        <v>0</v>
      </c>
    </row>
    <row r="218" spans="2:13" x14ac:dyDescent="0.15">
      <c r="B218" s="107" t="str">
        <f t="shared" si="77"/>
        <v>Ordinary Equity Buybacks</v>
      </c>
      <c r="E218" s="17">
        <f t="shared" ca="1" si="78"/>
        <v>0</v>
      </c>
      <c r="F218" s="17">
        <f ca="1">SUM(E$198:E218)</f>
        <v>66932.032226762152</v>
      </c>
      <c r="G218" s="17">
        <f t="shared" ca="1" si="69"/>
        <v>66932.032226762152</v>
      </c>
      <c r="H218" s="17">
        <f t="shared" ca="1" si="70"/>
        <v>0</v>
      </c>
      <c r="I218" s="17">
        <f t="shared" ca="1" si="71"/>
        <v>0</v>
      </c>
      <c r="J218" s="17">
        <f t="shared" ca="1" si="72"/>
        <v>0</v>
      </c>
      <c r="K218" s="17">
        <f t="shared" ca="1" si="73"/>
        <v>0</v>
      </c>
      <c r="L218" s="17">
        <f t="shared" ca="1" si="74"/>
        <v>0</v>
      </c>
      <c r="M218" s="17">
        <v>0</v>
      </c>
    </row>
    <row r="219" spans="2:13" x14ac:dyDescent="0.15">
      <c r="B219" s="107" t="str">
        <f t="shared" si="77"/>
        <v>Ordinary Equity Dividends Paid</v>
      </c>
      <c r="E219" s="17">
        <f t="shared" ca="1" si="78"/>
        <v>0</v>
      </c>
      <c r="F219" s="17">
        <f ca="1">SUM(E$198:E219)</f>
        <v>66932.032226762152</v>
      </c>
      <c r="G219" s="17">
        <f t="shared" ca="1" si="69"/>
        <v>66932.032226762152</v>
      </c>
      <c r="H219" s="17">
        <f t="shared" ca="1" si="70"/>
        <v>0</v>
      </c>
      <c r="I219" s="17">
        <f t="shared" ca="1" si="71"/>
        <v>0</v>
      </c>
      <c r="J219" s="17">
        <f t="shared" ca="1" si="72"/>
        <v>0</v>
      </c>
      <c r="K219" s="17">
        <f t="shared" ca="1" si="73"/>
        <v>0</v>
      </c>
      <c r="L219" s="17">
        <f t="shared" ca="1" si="74"/>
        <v>0</v>
      </c>
      <c r="M219" s="17">
        <v>0</v>
      </c>
    </row>
    <row r="220" spans="2:13" x14ac:dyDescent="0.15">
      <c r="B220" s="107" t="str">
        <f t="shared" si="77"/>
        <v>Other Financing Cash Flows</v>
      </c>
      <c r="E220" s="17">
        <f t="shared" ca="1" si="78"/>
        <v>0</v>
      </c>
      <c r="F220" s="17">
        <f ca="1">SUM(E$198:E220)</f>
        <v>66932.032226762152</v>
      </c>
      <c r="G220" s="17">
        <f t="shared" ca="1" si="69"/>
        <v>66932.032226762152</v>
      </c>
      <c r="H220" s="17">
        <f t="shared" ca="1" si="70"/>
        <v>0</v>
      </c>
      <c r="I220" s="17">
        <f t="shared" ca="1" si="71"/>
        <v>0</v>
      </c>
      <c r="J220" s="17">
        <f t="shared" ca="1" si="72"/>
        <v>0</v>
      </c>
      <c r="K220" s="17">
        <f t="shared" ca="1" si="73"/>
        <v>0</v>
      </c>
      <c r="L220" s="17">
        <f t="shared" ca="1" si="74"/>
        <v>0</v>
      </c>
      <c r="M220" s="17">
        <v>0</v>
      </c>
    </row>
    <row r="221" spans="2:13" x14ac:dyDescent="0.15">
      <c r="B221" s="16" t="str">
        <f>S87</f>
        <v>Cash at End</v>
      </c>
      <c r="F221" s="17">
        <f ca="1">SUM(E198:E220)</f>
        <v>66932.032226762152</v>
      </c>
      <c r="G221" s="41">
        <v>0</v>
      </c>
      <c r="H221" s="41">
        <v>0</v>
      </c>
      <c r="I221" s="41">
        <v>0</v>
      </c>
      <c r="J221" s="41">
        <v>0</v>
      </c>
      <c r="K221" s="41">
        <v>0</v>
      </c>
      <c r="L221" s="41">
        <v>0</v>
      </c>
      <c r="M221" s="41">
        <f ca="1">F221</f>
        <v>66932.032226762152</v>
      </c>
    </row>
    <row r="223" spans="2:13" x14ac:dyDescent="0.15">
      <c r="B223" s="16" t="s">
        <v>186</v>
      </c>
      <c r="E223" s="288" t="s">
        <v>179</v>
      </c>
      <c r="F223" s="285" t="s">
        <v>180</v>
      </c>
      <c r="G223" s="285" t="s">
        <v>184</v>
      </c>
    </row>
    <row r="224" spans="2:13" x14ac:dyDescent="0.15">
      <c r="B224" s="107" t="s">
        <v>187</v>
      </c>
      <c r="E224" s="17">
        <f ca="1">Q76</f>
        <v>-34273.967773237855</v>
      </c>
      <c r="F224" s="17">
        <f ca="1">MAX(E224,0)</f>
        <v>0</v>
      </c>
      <c r="G224" s="17">
        <f ca="1">MIN(E224,0)</f>
        <v>-34273.967773237855</v>
      </c>
    </row>
    <row r="225" spans="2:34" x14ac:dyDescent="0.15">
      <c r="B225" s="107" t="s">
        <v>188</v>
      </c>
      <c r="E225" s="17">
        <f ca="1">Q79</f>
        <v>-210000</v>
      </c>
      <c r="F225" s="17">
        <f ca="1">MAX(E225,0)</f>
        <v>0</v>
      </c>
      <c r="G225" s="17">
        <f ca="1">MIN(E225,0)</f>
        <v>-210000</v>
      </c>
    </row>
    <row r="226" spans="2:34" x14ac:dyDescent="0.15">
      <c r="B226" s="107" t="s">
        <v>189</v>
      </c>
      <c r="E226" s="17">
        <f ca="1">Q86</f>
        <v>300000</v>
      </c>
      <c r="F226" s="17">
        <f ca="1">MAX(E226,0)</f>
        <v>300000</v>
      </c>
      <c r="G226" s="17">
        <f ca="1">MIN(E226,0)</f>
        <v>0</v>
      </c>
    </row>
    <row r="227" spans="2:34" x14ac:dyDescent="0.15">
      <c r="B227" s="107" t="s">
        <v>190</v>
      </c>
      <c r="E227" s="17">
        <f ca="1">Q87</f>
        <v>55726.032226762138</v>
      </c>
      <c r="F227" s="17">
        <f ca="1">MAX(E227,0)</f>
        <v>55726.032226762138</v>
      </c>
      <c r="G227" s="17">
        <f ca="1">MIN(E227,0)</f>
        <v>0</v>
      </c>
    </row>
    <row r="229" spans="2:34" x14ac:dyDescent="0.15">
      <c r="B229" s="108" t="s">
        <v>191</v>
      </c>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row>
    <row r="231" spans="2:34" x14ac:dyDescent="0.15">
      <c r="B231" s="107" t="s">
        <v>192</v>
      </c>
      <c r="E231" s="17">
        <f t="shared" ref="E231:P231" ca="1" si="79">IF(ISERROR(E25+E51+E55+E87),1,0)</f>
        <v>0</v>
      </c>
      <c r="F231" s="17">
        <f t="shared" ca="1" si="79"/>
        <v>0</v>
      </c>
      <c r="G231" s="17">
        <f t="shared" ca="1" si="79"/>
        <v>0</v>
      </c>
      <c r="H231" s="17">
        <f t="shared" ca="1" si="79"/>
        <v>0</v>
      </c>
      <c r="I231" s="17">
        <f t="shared" ca="1" si="79"/>
        <v>0</v>
      </c>
      <c r="J231" s="17">
        <f t="shared" ca="1" si="79"/>
        <v>0</v>
      </c>
      <c r="K231" s="17">
        <f t="shared" ca="1" si="79"/>
        <v>0</v>
      </c>
      <c r="L231" s="17">
        <f t="shared" ca="1" si="79"/>
        <v>0</v>
      </c>
      <c r="M231" s="17">
        <f t="shared" ca="1" si="79"/>
        <v>0</v>
      </c>
      <c r="N231" s="17">
        <f t="shared" ca="1" si="79"/>
        <v>0</v>
      </c>
      <c r="O231" s="17">
        <f t="shared" ca="1" si="79"/>
        <v>0</v>
      </c>
      <c r="P231" s="17">
        <f t="shared" ca="1" si="79"/>
        <v>0</v>
      </c>
    </row>
    <row r="232" spans="2:34" x14ac:dyDescent="0.15">
      <c r="B232" s="107" t="s">
        <v>193</v>
      </c>
      <c r="E232" s="17">
        <f t="shared" ref="E232:P232" ca="1" si="80">IF(E231&lt;&gt;0,0,IF(ROUND(E11-E106,5)&lt;&gt;0,1,0))</f>
        <v>0</v>
      </c>
      <c r="F232" s="17">
        <f t="shared" ca="1" si="80"/>
        <v>0</v>
      </c>
      <c r="G232" s="17">
        <f t="shared" ca="1" si="80"/>
        <v>0</v>
      </c>
      <c r="H232" s="17">
        <f t="shared" ca="1" si="80"/>
        <v>0</v>
      </c>
      <c r="I232" s="17">
        <f t="shared" ca="1" si="80"/>
        <v>0</v>
      </c>
      <c r="J232" s="17">
        <f t="shared" ca="1" si="80"/>
        <v>0</v>
      </c>
      <c r="K232" s="17">
        <f t="shared" ca="1" si="80"/>
        <v>0</v>
      </c>
      <c r="L232" s="17">
        <f t="shared" ca="1" si="80"/>
        <v>0</v>
      </c>
      <c r="M232" s="17">
        <f t="shared" ca="1" si="80"/>
        <v>0</v>
      </c>
      <c r="N232" s="17">
        <f t="shared" ca="1" si="80"/>
        <v>0</v>
      </c>
      <c r="O232" s="17">
        <f t="shared" ca="1" si="80"/>
        <v>0</v>
      </c>
      <c r="P232" s="17">
        <f t="shared" ca="1" si="80"/>
        <v>0</v>
      </c>
    </row>
    <row r="233" spans="2:34" x14ac:dyDescent="0.15">
      <c r="B233" s="107" t="s">
        <v>194</v>
      </c>
      <c r="E233" s="17">
        <f t="shared" ref="E233:P233" ca="1" si="81">IF(E231&lt;&gt;0,0,IF(ROUND(E16-E107,5)&lt;&gt;0,1,0))</f>
        <v>0</v>
      </c>
      <c r="F233" s="17">
        <f t="shared" ca="1" si="81"/>
        <v>0</v>
      </c>
      <c r="G233" s="17">
        <f t="shared" ca="1" si="81"/>
        <v>0</v>
      </c>
      <c r="H233" s="17">
        <f t="shared" ca="1" si="81"/>
        <v>0</v>
      </c>
      <c r="I233" s="17">
        <f t="shared" ca="1" si="81"/>
        <v>0</v>
      </c>
      <c r="J233" s="17">
        <f t="shared" ca="1" si="81"/>
        <v>0</v>
      </c>
      <c r="K233" s="17">
        <f t="shared" ca="1" si="81"/>
        <v>0</v>
      </c>
      <c r="L233" s="17">
        <f t="shared" ca="1" si="81"/>
        <v>0</v>
      </c>
      <c r="M233" s="17">
        <f t="shared" ca="1" si="81"/>
        <v>0</v>
      </c>
      <c r="N233" s="17">
        <f t="shared" ca="1" si="81"/>
        <v>0</v>
      </c>
      <c r="O233" s="17">
        <f t="shared" ca="1" si="81"/>
        <v>0</v>
      </c>
      <c r="P233" s="17">
        <f t="shared" ca="1" si="81"/>
        <v>0</v>
      </c>
    </row>
    <row r="234" spans="2:34" x14ac:dyDescent="0.15">
      <c r="B234" s="107" t="s">
        <v>195</v>
      </c>
      <c r="E234" s="17">
        <f t="shared" ref="E234:P234" ca="1" si="82">IF(E231&lt;&gt;0,0,IF(ROUND(E19-E108,5)&lt;&gt;0,1,0))</f>
        <v>0</v>
      </c>
      <c r="F234" s="17">
        <f t="shared" ca="1" si="82"/>
        <v>0</v>
      </c>
      <c r="G234" s="17">
        <f t="shared" ca="1" si="82"/>
        <v>0</v>
      </c>
      <c r="H234" s="17">
        <f t="shared" ca="1" si="82"/>
        <v>0</v>
      </c>
      <c r="I234" s="17">
        <f t="shared" ca="1" si="82"/>
        <v>0</v>
      </c>
      <c r="J234" s="17">
        <f t="shared" ca="1" si="82"/>
        <v>0</v>
      </c>
      <c r="K234" s="17">
        <f t="shared" ca="1" si="82"/>
        <v>0</v>
      </c>
      <c r="L234" s="17">
        <f t="shared" ca="1" si="82"/>
        <v>0</v>
      </c>
      <c r="M234" s="17">
        <f t="shared" ca="1" si="82"/>
        <v>0</v>
      </c>
      <c r="N234" s="17">
        <f t="shared" ca="1" si="82"/>
        <v>0</v>
      </c>
      <c r="O234" s="17">
        <f t="shared" ca="1" si="82"/>
        <v>0</v>
      </c>
      <c r="P234" s="17">
        <f t="shared" ca="1" si="82"/>
        <v>0</v>
      </c>
    </row>
    <row r="235" spans="2:34" x14ac:dyDescent="0.15">
      <c r="B235" s="107" t="s">
        <v>196</v>
      </c>
      <c r="E235" s="17">
        <f t="shared" ref="E235:P235" ca="1" si="83">IF(E231&lt;&gt;0,0,IF(ROUND(E22-E109,5)&lt;&gt;0,1,0))</f>
        <v>0</v>
      </c>
      <c r="F235" s="17">
        <f t="shared" ca="1" si="83"/>
        <v>0</v>
      </c>
      <c r="G235" s="17">
        <f t="shared" ca="1" si="83"/>
        <v>0</v>
      </c>
      <c r="H235" s="17">
        <f t="shared" ca="1" si="83"/>
        <v>0</v>
      </c>
      <c r="I235" s="17">
        <f t="shared" ca="1" si="83"/>
        <v>0</v>
      </c>
      <c r="J235" s="17">
        <f t="shared" ca="1" si="83"/>
        <v>0</v>
      </c>
      <c r="K235" s="17">
        <f t="shared" ca="1" si="83"/>
        <v>0</v>
      </c>
      <c r="L235" s="17">
        <f t="shared" ca="1" si="83"/>
        <v>0</v>
      </c>
      <c r="M235" s="17">
        <f t="shared" ca="1" si="83"/>
        <v>0</v>
      </c>
      <c r="N235" s="17">
        <f t="shared" ca="1" si="83"/>
        <v>0</v>
      </c>
      <c r="O235" s="17">
        <f t="shared" ca="1" si="83"/>
        <v>0</v>
      </c>
      <c r="P235" s="17">
        <f t="shared" ca="1" si="83"/>
        <v>0</v>
      </c>
    </row>
    <row r="236" spans="2:34" x14ac:dyDescent="0.15">
      <c r="B236" s="107" t="s">
        <v>197</v>
      </c>
      <c r="E236" s="17">
        <f t="shared" ref="E236:P236" ca="1" si="84">IF(E231&lt;&gt;0,0,IF(ROUND(E25-E110,5)&lt;&gt;0,1,0))</f>
        <v>0</v>
      </c>
      <c r="F236" s="17">
        <f t="shared" ca="1" si="84"/>
        <v>0</v>
      </c>
      <c r="G236" s="17">
        <f t="shared" ca="1" si="84"/>
        <v>0</v>
      </c>
      <c r="H236" s="17">
        <f t="shared" ca="1" si="84"/>
        <v>0</v>
      </c>
      <c r="I236" s="17">
        <f t="shared" ca="1" si="84"/>
        <v>0</v>
      </c>
      <c r="J236" s="17">
        <f t="shared" ca="1" si="84"/>
        <v>0</v>
      </c>
      <c r="K236" s="17">
        <f t="shared" ca="1" si="84"/>
        <v>0</v>
      </c>
      <c r="L236" s="17">
        <f t="shared" ca="1" si="84"/>
        <v>0</v>
      </c>
      <c r="M236" s="17">
        <f t="shared" ca="1" si="84"/>
        <v>0</v>
      </c>
      <c r="N236" s="17">
        <f t="shared" ca="1" si="84"/>
        <v>0</v>
      </c>
      <c r="O236" s="17">
        <f t="shared" ca="1" si="84"/>
        <v>0</v>
      </c>
      <c r="P236" s="17">
        <f t="shared" ca="1" si="84"/>
        <v>0</v>
      </c>
    </row>
    <row r="237" spans="2:34" x14ac:dyDescent="0.15">
      <c r="B237" s="107" t="s">
        <v>198</v>
      </c>
      <c r="E237" s="17">
        <f t="shared" ref="E237:P237" ca="1" si="85">IF(E231&lt;&gt;0,0,IF(ROUND(E35-E113,5)&lt;&gt;0,1,0))</f>
        <v>0</v>
      </c>
      <c r="F237" s="17">
        <f t="shared" ca="1" si="85"/>
        <v>0</v>
      </c>
      <c r="G237" s="17">
        <f t="shared" ca="1" si="85"/>
        <v>0</v>
      </c>
      <c r="H237" s="17">
        <f t="shared" ca="1" si="85"/>
        <v>0</v>
      </c>
      <c r="I237" s="17">
        <f t="shared" ca="1" si="85"/>
        <v>0</v>
      </c>
      <c r="J237" s="17">
        <f t="shared" ca="1" si="85"/>
        <v>0</v>
      </c>
      <c r="K237" s="17">
        <f t="shared" ca="1" si="85"/>
        <v>0</v>
      </c>
      <c r="L237" s="17">
        <f t="shared" ca="1" si="85"/>
        <v>0</v>
      </c>
      <c r="M237" s="17">
        <f t="shared" ca="1" si="85"/>
        <v>0</v>
      </c>
      <c r="N237" s="17">
        <f t="shared" ca="1" si="85"/>
        <v>0</v>
      </c>
      <c r="O237" s="17">
        <f t="shared" ca="1" si="85"/>
        <v>0</v>
      </c>
      <c r="P237" s="17">
        <f t="shared" ca="1" si="85"/>
        <v>0</v>
      </c>
    </row>
    <row r="238" spans="2:34" x14ac:dyDescent="0.15">
      <c r="B238" s="107" t="s">
        <v>199</v>
      </c>
      <c r="E238" s="17">
        <f t="shared" ref="E238:P238" ca="1" si="86">IF(E231&lt;&gt;0,0,IF(ROUND(E38-E114,5)&lt;&gt;0,1,0))</f>
        <v>0</v>
      </c>
      <c r="F238" s="17">
        <f t="shared" ca="1" si="86"/>
        <v>0</v>
      </c>
      <c r="G238" s="17">
        <f t="shared" ca="1" si="86"/>
        <v>0</v>
      </c>
      <c r="H238" s="17">
        <f t="shared" ca="1" si="86"/>
        <v>0</v>
      </c>
      <c r="I238" s="17">
        <f t="shared" ca="1" si="86"/>
        <v>0</v>
      </c>
      <c r="J238" s="17">
        <f t="shared" ca="1" si="86"/>
        <v>0</v>
      </c>
      <c r="K238" s="17">
        <f t="shared" ca="1" si="86"/>
        <v>0</v>
      </c>
      <c r="L238" s="17">
        <f t="shared" ca="1" si="86"/>
        <v>0</v>
      </c>
      <c r="M238" s="17">
        <f t="shared" ca="1" si="86"/>
        <v>0</v>
      </c>
      <c r="N238" s="17">
        <f t="shared" ca="1" si="86"/>
        <v>0</v>
      </c>
      <c r="O238" s="17">
        <f t="shared" ca="1" si="86"/>
        <v>0</v>
      </c>
      <c r="P238" s="17">
        <f t="shared" ca="1" si="86"/>
        <v>0</v>
      </c>
    </row>
    <row r="239" spans="2:34" x14ac:dyDescent="0.15">
      <c r="B239" s="107" t="s">
        <v>200</v>
      </c>
      <c r="E239" s="17">
        <f t="shared" ref="E239:P239" ca="1" si="87">IF(E231&lt;&gt;0,0,IF(ROUND(E39-E115,5)&lt;&gt;0,1,0))</f>
        <v>0</v>
      </c>
      <c r="F239" s="17">
        <f t="shared" ca="1" si="87"/>
        <v>0</v>
      </c>
      <c r="G239" s="17">
        <f t="shared" ca="1" si="87"/>
        <v>0</v>
      </c>
      <c r="H239" s="17">
        <f t="shared" ca="1" si="87"/>
        <v>0</v>
      </c>
      <c r="I239" s="17">
        <f t="shared" ca="1" si="87"/>
        <v>0</v>
      </c>
      <c r="J239" s="17">
        <f t="shared" ca="1" si="87"/>
        <v>0</v>
      </c>
      <c r="K239" s="17">
        <f t="shared" ca="1" si="87"/>
        <v>0</v>
      </c>
      <c r="L239" s="17">
        <f t="shared" ca="1" si="87"/>
        <v>0</v>
      </c>
      <c r="M239" s="17">
        <f t="shared" ca="1" si="87"/>
        <v>0</v>
      </c>
      <c r="N239" s="17">
        <f t="shared" ca="1" si="87"/>
        <v>0</v>
      </c>
      <c r="O239" s="17">
        <f t="shared" ca="1" si="87"/>
        <v>0</v>
      </c>
      <c r="P239" s="17">
        <f t="shared" ca="1" si="87"/>
        <v>0</v>
      </c>
    </row>
    <row r="240" spans="2:34" x14ac:dyDescent="0.15">
      <c r="B240" s="107" t="s">
        <v>201</v>
      </c>
      <c r="E240" s="17">
        <f t="shared" ref="E240:P240" ca="1" si="88">IF(E231&lt;&gt;0,0,IF(ROUND(E50-E116,5)&lt;&gt;0,1,0))</f>
        <v>0</v>
      </c>
      <c r="F240" s="17">
        <f t="shared" ca="1" si="88"/>
        <v>0</v>
      </c>
      <c r="G240" s="17">
        <f t="shared" ca="1" si="88"/>
        <v>0</v>
      </c>
      <c r="H240" s="17">
        <f t="shared" ca="1" si="88"/>
        <v>0</v>
      </c>
      <c r="I240" s="17">
        <f t="shared" ca="1" si="88"/>
        <v>0</v>
      </c>
      <c r="J240" s="17">
        <f t="shared" ca="1" si="88"/>
        <v>0</v>
      </c>
      <c r="K240" s="17">
        <f t="shared" ca="1" si="88"/>
        <v>0</v>
      </c>
      <c r="L240" s="17">
        <f t="shared" ca="1" si="88"/>
        <v>0</v>
      </c>
      <c r="M240" s="17">
        <f t="shared" ca="1" si="88"/>
        <v>0</v>
      </c>
      <c r="N240" s="17">
        <f t="shared" ca="1" si="88"/>
        <v>0</v>
      </c>
      <c r="O240" s="17">
        <f t="shared" ca="1" si="88"/>
        <v>0</v>
      </c>
      <c r="P240" s="17">
        <f t="shared" ca="1" si="88"/>
        <v>0</v>
      </c>
    </row>
    <row r="241" spans="2:16" x14ac:dyDescent="0.15">
      <c r="B241" s="107" t="s">
        <v>202</v>
      </c>
      <c r="E241" s="17">
        <f t="shared" ref="E241:P241" ca="1" si="89">IF(E231&lt;&gt;0,0,IF(ROUND(E51-E117,5)&lt;&gt;0,1,0))</f>
        <v>0</v>
      </c>
      <c r="F241" s="17">
        <f t="shared" ca="1" si="89"/>
        <v>0</v>
      </c>
      <c r="G241" s="17">
        <f t="shared" ca="1" si="89"/>
        <v>0</v>
      </c>
      <c r="H241" s="17">
        <f t="shared" ca="1" si="89"/>
        <v>0</v>
      </c>
      <c r="I241" s="17">
        <f t="shared" ca="1" si="89"/>
        <v>0</v>
      </c>
      <c r="J241" s="17">
        <f t="shared" ca="1" si="89"/>
        <v>0</v>
      </c>
      <c r="K241" s="17">
        <f t="shared" ca="1" si="89"/>
        <v>0</v>
      </c>
      <c r="L241" s="17">
        <f t="shared" ca="1" si="89"/>
        <v>0</v>
      </c>
      <c r="M241" s="17">
        <f t="shared" ca="1" si="89"/>
        <v>0</v>
      </c>
      <c r="N241" s="17">
        <f t="shared" ca="1" si="89"/>
        <v>0</v>
      </c>
      <c r="O241" s="17">
        <f t="shared" ca="1" si="89"/>
        <v>0</v>
      </c>
      <c r="P241" s="17">
        <f t="shared" ca="1" si="89"/>
        <v>0</v>
      </c>
    </row>
    <row r="242" spans="2:16" x14ac:dyDescent="0.15">
      <c r="B242" s="107" t="s">
        <v>203</v>
      </c>
      <c r="E242" s="17">
        <f t="shared" ref="E242:P242" ca="1" si="90">IF(E231&lt;&gt;0,0,IF(ROUND(E51-E55,5)&lt;&gt;0,1,0))</f>
        <v>0</v>
      </c>
      <c r="F242" s="17">
        <f t="shared" ca="1" si="90"/>
        <v>0</v>
      </c>
      <c r="G242" s="17">
        <f t="shared" ca="1" si="90"/>
        <v>0</v>
      </c>
      <c r="H242" s="17">
        <f t="shared" ca="1" si="90"/>
        <v>0</v>
      </c>
      <c r="I242" s="17">
        <f t="shared" ca="1" si="90"/>
        <v>0</v>
      </c>
      <c r="J242" s="17">
        <f t="shared" ca="1" si="90"/>
        <v>0</v>
      </c>
      <c r="K242" s="17">
        <f t="shared" ca="1" si="90"/>
        <v>0</v>
      </c>
      <c r="L242" s="17">
        <f t="shared" ca="1" si="90"/>
        <v>0</v>
      </c>
      <c r="M242" s="17">
        <f t="shared" ca="1" si="90"/>
        <v>0</v>
      </c>
      <c r="N242" s="17">
        <f t="shared" ca="1" si="90"/>
        <v>0</v>
      </c>
      <c r="O242" s="17">
        <f t="shared" ca="1" si="90"/>
        <v>0</v>
      </c>
      <c r="P242" s="17">
        <f t="shared" ca="1" si="90"/>
        <v>0</v>
      </c>
    </row>
    <row r="243" spans="2:16" x14ac:dyDescent="0.15">
      <c r="B243" s="107" t="s">
        <v>204</v>
      </c>
      <c r="E243" s="17">
        <f t="shared" ref="E243:P243" ca="1" si="91">IF(E231&lt;&gt;0,0,IF(ROUND(E87-E125,5)&lt;&gt;0,1,0))</f>
        <v>0</v>
      </c>
      <c r="F243" s="17">
        <f t="shared" ca="1" si="91"/>
        <v>0</v>
      </c>
      <c r="G243" s="17">
        <f t="shared" ca="1" si="91"/>
        <v>0</v>
      </c>
      <c r="H243" s="17">
        <f t="shared" ca="1" si="91"/>
        <v>0</v>
      </c>
      <c r="I243" s="17">
        <f t="shared" ca="1" si="91"/>
        <v>0</v>
      </c>
      <c r="J243" s="17">
        <f t="shared" ca="1" si="91"/>
        <v>0</v>
      </c>
      <c r="K243" s="17">
        <f t="shared" ca="1" si="91"/>
        <v>0</v>
      </c>
      <c r="L243" s="17">
        <f t="shared" ca="1" si="91"/>
        <v>0</v>
      </c>
      <c r="M243" s="17">
        <f t="shared" ca="1" si="91"/>
        <v>0</v>
      </c>
      <c r="N243" s="17">
        <f t="shared" ca="1" si="91"/>
        <v>0</v>
      </c>
      <c r="O243" s="17">
        <f t="shared" ca="1" si="91"/>
        <v>0</v>
      </c>
      <c r="P243" s="17">
        <f t="shared" ca="1" si="91"/>
        <v>0</v>
      </c>
    </row>
    <row r="244" spans="2:16" x14ac:dyDescent="0.15">
      <c r="B244" s="107" t="s">
        <v>162</v>
      </c>
      <c r="E244" s="17">
        <f t="shared" ref="E244:P244" ca="1" si="92">IF(E231&lt;&gt;0,0,IF(ROUND(E178-SUM(E169:E177),5)&lt;&gt;0,1,0))</f>
        <v>0</v>
      </c>
      <c r="F244" s="17">
        <f t="shared" ca="1" si="92"/>
        <v>0</v>
      </c>
      <c r="G244" s="17">
        <f t="shared" ca="1" si="92"/>
        <v>0</v>
      </c>
      <c r="H244" s="17">
        <f t="shared" ca="1" si="92"/>
        <v>0</v>
      </c>
      <c r="I244" s="17">
        <f t="shared" ca="1" si="92"/>
        <v>0</v>
      </c>
      <c r="J244" s="17">
        <f t="shared" ca="1" si="92"/>
        <v>0</v>
      </c>
      <c r="K244" s="17">
        <f t="shared" ca="1" si="92"/>
        <v>0</v>
      </c>
      <c r="L244" s="17">
        <f t="shared" ca="1" si="92"/>
        <v>0</v>
      </c>
      <c r="M244" s="17">
        <f t="shared" ca="1" si="92"/>
        <v>0</v>
      </c>
      <c r="N244" s="17">
        <f t="shared" ca="1" si="92"/>
        <v>0</v>
      </c>
      <c r="O244" s="17">
        <f t="shared" ca="1" si="92"/>
        <v>0</v>
      </c>
      <c r="P244" s="17">
        <f t="shared" ca="1" si="92"/>
        <v>0</v>
      </c>
    </row>
    <row r="245" spans="2:16" x14ac:dyDescent="0.15">
      <c r="B245" s="107" t="s">
        <v>205</v>
      </c>
      <c r="E245" s="17">
        <f ca="1">IF(ROUND(E193-SUM(E199:E220),5)&lt;&gt;0,1,0)</f>
        <v>0</v>
      </c>
      <c r="F245" s="17">
        <v>0</v>
      </c>
      <c r="G245" s="17">
        <v>0</v>
      </c>
      <c r="H245" s="17">
        <v>0</v>
      </c>
      <c r="I245" s="17">
        <v>0</v>
      </c>
      <c r="J245" s="17">
        <v>0</v>
      </c>
      <c r="K245" s="17">
        <v>0</v>
      </c>
      <c r="L245" s="17">
        <v>0</v>
      </c>
      <c r="M245" s="17">
        <v>0</v>
      </c>
      <c r="N245" s="17">
        <v>0</v>
      </c>
      <c r="O245" s="17">
        <v>0</v>
      </c>
      <c r="P245" s="17">
        <v>0</v>
      </c>
    </row>
    <row r="246" spans="2:16" x14ac:dyDescent="0.15">
      <c r="B246" s="107" t="s">
        <v>206</v>
      </c>
      <c r="E246" s="102">
        <f ca="1">IF(ROUND(SUM(E199:E220)-E227,5)&lt;&gt;0,1,0)</f>
        <v>0</v>
      </c>
      <c r="F246" s="17">
        <v>0</v>
      </c>
      <c r="G246" s="17">
        <v>0</v>
      </c>
      <c r="H246" s="17">
        <v>0</v>
      </c>
      <c r="I246" s="17">
        <v>0</v>
      </c>
      <c r="J246" s="17">
        <v>0</v>
      </c>
      <c r="K246" s="17">
        <v>0</v>
      </c>
      <c r="L246" s="17">
        <v>0</v>
      </c>
      <c r="M246" s="17">
        <v>0</v>
      </c>
      <c r="N246" s="17">
        <v>0</v>
      </c>
      <c r="O246" s="17">
        <v>0</v>
      </c>
      <c r="P246" s="17">
        <v>0</v>
      </c>
    </row>
    <row r="247" spans="2:16" x14ac:dyDescent="0.15">
      <c r="B247" s="107" t="s">
        <v>207</v>
      </c>
      <c r="D247" s="102">
        <f ca="1">IF(ISERROR(SUM(E247:P247)),1,MIN(SUM(E247:P247),1))</f>
        <v>0</v>
      </c>
      <c r="E247" s="103">
        <f t="shared" ref="E247:P247" ca="1" si="93">MIN(SUM(E231:E246),1)</f>
        <v>0</v>
      </c>
      <c r="F247" s="41">
        <f t="shared" ca="1" si="93"/>
        <v>0</v>
      </c>
      <c r="G247" s="41">
        <f t="shared" ca="1" si="93"/>
        <v>0</v>
      </c>
      <c r="H247" s="41">
        <f t="shared" ca="1" si="93"/>
        <v>0</v>
      </c>
      <c r="I247" s="41">
        <f t="shared" ca="1" si="93"/>
        <v>0</v>
      </c>
      <c r="J247" s="41">
        <f t="shared" ca="1" si="93"/>
        <v>0</v>
      </c>
      <c r="K247" s="41">
        <f t="shared" ca="1" si="93"/>
        <v>0</v>
      </c>
      <c r="L247" s="41">
        <f t="shared" ca="1" si="93"/>
        <v>0</v>
      </c>
      <c r="M247" s="41">
        <f t="shared" ca="1" si="93"/>
        <v>0</v>
      </c>
      <c r="N247" s="41">
        <f t="shared" ca="1" si="93"/>
        <v>0</v>
      </c>
      <c r="O247" s="41">
        <f t="shared" ca="1" si="93"/>
        <v>0</v>
      </c>
      <c r="P247" s="41">
        <f t="shared" ca="1" si="93"/>
        <v>0</v>
      </c>
    </row>
  </sheetData>
  <sheetProtection algorithmName="SHA-512" hashValue="kSyajrv+ii+K57K3Vnv40CD35tHXPjNmm8WnZeIPETGTlRexP9XbbQ56v1785PUSq1eGOi6O6Z5ADx6i0DVILg==" saltValue="vcBQxmJyX85VGQTxhEbNpQ==" spinCount="100000" sheet="1" objects="1" scenarios="1" formatColumns="0" formatRows="0"/>
  <mergeCells count="44">
    <mergeCell ref="B4:AH4"/>
    <mergeCell ref="B6:Q6"/>
    <mergeCell ref="S6:AH6"/>
    <mergeCell ref="S16:AH16"/>
    <mergeCell ref="S26:X26"/>
    <mergeCell ref="Y26:AC26"/>
    <mergeCell ref="AD26:AH26"/>
    <mergeCell ref="S68:V68"/>
    <mergeCell ref="B28:Q28"/>
    <mergeCell ref="S44:X44"/>
    <mergeCell ref="Y44:AC44"/>
    <mergeCell ref="AD44:AH44"/>
    <mergeCell ref="AD56:AH56"/>
    <mergeCell ref="B57:Q57"/>
    <mergeCell ref="S61:AC61"/>
    <mergeCell ref="S64:V64"/>
    <mergeCell ref="S65:V65"/>
    <mergeCell ref="S66:V66"/>
    <mergeCell ref="S67:V67"/>
    <mergeCell ref="S79:V79"/>
    <mergeCell ref="S69:V69"/>
    <mergeCell ref="AD69:AH69"/>
    <mergeCell ref="S70:V70"/>
    <mergeCell ref="S71:V71"/>
    <mergeCell ref="S72:V72"/>
    <mergeCell ref="S73:V73"/>
    <mergeCell ref="S74:V74"/>
    <mergeCell ref="S75:V75"/>
    <mergeCell ref="S76:V76"/>
    <mergeCell ref="S77:V77"/>
    <mergeCell ref="S78:V78"/>
    <mergeCell ref="G194:J194"/>
    <mergeCell ref="K194:L194"/>
    <mergeCell ref="S80:V80"/>
    <mergeCell ref="S81:V81"/>
    <mergeCell ref="AD81:AH81"/>
    <mergeCell ref="S82:V82"/>
    <mergeCell ref="S83:V83"/>
    <mergeCell ref="S84:V84"/>
    <mergeCell ref="S85:V85"/>
    <mergeCell ref="S86:V86"/>
    <mergeCell ref="S87:V87"/>
    <mergeCell ref="G180:J180"/>
    <mergeCell ref="K180:L180"/>
  </mergeCells>
  <conditionalFormatting sqref="D247:P247">
    <cfRule type="cellIs" dxfId="197" priority="17" operator="notEqual">
      <formula>0</formula>
    </cfRule>
  </conditionalFormatting>
  <conditionalFormatting sqref="E245:E246">
    <cfRule type="cellIs" dxfId="196" priority="15" operator="notEqual">
      <formula>0</formula>
    </cfRule>
  </conditionalFormatting>
  <conditionalFormatting sqref="E231:P244">
    <cfRule type="cellIs" dxfId="195" priority="1" operator="notEqual">
      <formula>0</formula>
    </cfRule>
  </conditionalFormatting>
  <dataValidations count="2">
    <dataValidation type="custom" showDropDown="1" showErrorMessage="1" errorTitle="Check Box Cell Link" error="The value in a check box cell link must be either &quot;TRUE&quot; or &quot;FALSE&quot;" sqref="B195" xr:uid="{FCCD0BD9-7C3F-4510-A84E-54C58D109A01}">
      <formula1>ISLOGICAL(B195)</formula1>
    </dataValidation>
    <dataValidation type="whole" showDropDown="1" showErrorMessage="1" errorTitle="Drop Down Box Cell Link" error="The value in a drop down box cell link must be a whole number within the control's lookup range rows." sqref="E91" xr:uid="{968C2011-CF86-4108-8C2F-F59B968BFC7B}">
      <formula1>1</formula1>
      <formula2>ROWS(LU_Fs_Sum_First_Disp_Per)</formula2>
    </dataValidation>
  </dataValidations>
  <hyperlinks>
    <hyperlink ref="A1" location="HL_Home" tooltip="Go to Table of Contents" display="HL_Home" xr:uid="{2A5DF7B9-253A-4842-8A57-A698C51EAE9C}"/>
    <hyperlink ref="A2" location="HL_Err_Chk" tooltip="Go to Error Checks" display="HL_Err_Chk" xr:uid="{5A2CAC4C-D247-4C3C-AE30-C86CC9DD441E}"/>
  </hyperlinks>
  <pageMargins left="0.4" right="0.4" top="0.6" bottom="1" header="0" footer="0.3"/>
  <pageSetup paperSize="8" scale="58" orientation="landscape" r:id="rId1"/>
  <headerFooter>
    <oddFooter>&amp;CPage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2" r:id="rId4" name="bpmCheckBoxFs_Sum8">
              <controlPr defaultSize="0" autoFill="0" autoLine="0" autoPict="0">
                <anchor moveWithCells="1" sizeWithCells="1">
                  <from>
                    <xdr:col>1</xdr:col>
                    <xdr:colOff>0</xdr:colOff>
                    <xdr:row>194</xdr:row>
                    <xdr:rowOff>0</xdr:rowOff>
                  </from>
                  <to>
                    <xdr:col>4</xdr:col>
                    <xdr:colOff>0</xdr:colOff>
                    <xdr:row>195</xdr:row>
                    <xdr:rowOff>0</xdr:rowOff>
                  </to>
                </anchor>
              </controlPr>
            </control>
          </mc:Choice>
        </mc:AlternateContent>
        <mc:AlternateContent xmlns:mc="http://schemas.openxmlformats.org/markup-compatibility/2006">
          <mc:Choice Requires="x14">
            <control shapeId="20483" r:id="rId5" name="bpmDropDownFs_Sum9">
              <controlPr defaultSize="0" autoFill="0" autoPict="0">
                <anchor moveWithCells="1" sizeWithCells="1">
                  <from>
                    <xdr:col>4</xdr:col>
                    <xdr:colOff>0</xdr:colOff>
                    <xdr:row>90</xdr:row>
                    <xdr:rowOff>0</xdr:rowOff>
                  </from>
                  <to>
                    <xdr:col>8</xdr:col>
                    <xdr:colOff>0</xdr:colOff>
                    <xdr:row>91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A83D-6C42-4333-BB50-EE58F722ADF8}">
  <sheetPr>
    <pageSetUpPr autoPageBreaks="0"/>
  </sheetPr>
  <dimension ref="A1:AQ76"/>
  <sheetViews>
    <sheetView showGridLines="0" zoomScale="85" zoomScaleNormal="85" workbookViewId="0">
      <pane xSplit="1" ySplit="2" topLeftCell="B3" activePane="bottomRight" state="frozenSplit"/>
      <selection pane="topRight" activeCell="B1" sqref="B1"/>
      <selection pane="bottomLeft" activeCell="A3" sqref="A3"/>
      <selection pane="bottomRight" activeCell="P34" sqref="P34"/>
    </sheetView>
  </sheetViews>
  <sheetFormatPr baseColWidth="10" defaultColWidth="0" defaultRowHeight="12" outlineLevelRow="1" x14ac:dyDescent="0.15"/>
  <cols>
    <col min="1" max="5" width="3.59765625" style="51" customWidth="1"/>
    <col min="6" max="14" width="11.59765625" style="51" customWidth="1"/>
    <col min="15" max="15" width="13.3984375" style="51" customWidth="1"/>
    <col min="16" max="20" width="11.59765625" style="51" customWidth="1"/>
    <col min="21" max="21" width="12" style="51" bestFit="1" customWidth="1"/>
    <col min="22" max="42" width="11.59765625" style="51" customWidth="1"/>
    <col min="43" max="43" width="0" style="51" hidden="1" customWidth="1"/>
    <col min="44" max="16384" width="11.59765625" style="51" hidden="1"/>
  </cols>
  <sheetData>
    <row r="1" spans="1:26" ht="14" x14ac:dyDescent="0.15">
      <c r="A1" s="74" t="s">
        <v>19</v>
      </c>
      <c r="B1" s="53" t="s">
        <v>208</v>
      </c>
    </row>
    <row r="2" spans="1:26" ht="13" x14ac:dyDescent="0.15">
      <c r="A2" s="293" t="s">
        <v>60</v>
      </c>
      <c r="B2" s="52" t="str">
        <f ca="1">Model_Name</f>
        <v>Venue Planning Project (Alert in Inventory)</v>
      </c>
    </row>
    <row r="4" spans="1:26" s="1" customFormat="1" x14ac:dyDescent="0.15">
      <c r="C4" s="1" t="str">
        <f>"Scenario: " &amp; Scenarios_Active_Name</f>
        <v>Scenario: Base Case</v>
      </c>
    </row>
    <row r="6" spans="1:26" s="245" customFormat="1" ht="16" x14ac:dyDescent="0.15">
      <c r="D6" s="245" t="s">
        <v>209</v>
      </c>
      <c r="G6" s="246">
        <v>2500</v>
      </c>
      <c r="H6" s="245" t="s">
        <v>210</v>
      </c>
      <c r="I6" s="245" t="s">
        <v>211</v>
      </c>
      <c r="L6" s="250">
        <f>AVERAGE(Rev_Exp!K32:AS32)</f>
        <v>4</v>
      </c>
      <c r="M6" s="245" t="s">
        <v>212</v>
      </c>
      <c r="N6" s="245" t="s">
        <v>213</v>
      </c>
      <c r="P6" s="250">
        <f>_xlfn.MINIFS( $L$63:$AP$63, L69:AP69, "&gt;0" )</f>
        <v>28</v>
      </c>
      <c r="R6" s="245" t="s">
        <v>214</v>
      </c>
      <c r="U6" s="246">
        <v>0</v>
      </c>
      <c r="V6" s="245" t="s">
        <v>215</v>
      </c>
      <c r="W6" s="245" t="s">
        <v>216</v>
      </c>
      <c r="Y6" s="250">
        <v>250</v>
      </c>
      <c r="Z6" s="245" t="s">
        <v>215</v>
      </c>
    </row>
    <row r="7" spans="1:26" s="245" customFormat="1" ht="16" x14ac:dyDescent="0.15">
      <c r="D7" s="245" t="s">
        <v>217</v>
      </c>
      <c r="G7" s="246">
        <v>28</v>
      </c>
      <c r="H7" s="245" t="s">
        <v>218</v>
      </c>
      <c r="I7" s="245" t="s">
        <v>219</v>
      </c>
      <c r="L7" s="296">
        <f>AVERAGE( Rev_Exp!J29:AS29)</f>
        <v>0.44521845878136213</v>
      </c>
      <c r="N7" s="245" t="s">
        <v>220</v>
      </c>
      <c r="P7" s="250">
        <f ca="1">_xlfn.MINIFS( $L$63:$AP$63, L68:AP68, "&gt;0" )</f>
        <v>28</v>
      </c>
      <c r="R7" s="245" t="s">
        <v>221</v>
      </c>
      <c r="U7" s="246">
        <v>300</v>
      </c>
      <c r="V7" s="245" t="s">
        <v>215</v>
      </c>
    </row>
    <row r="40" spans="21:21" x14ac:dyDescent="0.15">
      <c r="U40" s="51" t="s">
        <v>222</v>
      </c>
    </row>
    <row r="62" spans="3:42" s="1" customFormat="1" x14ac:dyDescent="0.15">
      <c r="C62" s="1" t="s">
        <v>223</v>
      </c>
    </row>
    <row r="63" spans="3:42" outlineLevel="1" x14ac:dyDescent="0.15">
      <c r="G63" s="51">
        <f>Financials!J8</f>
        <v>1</v>
      </c>
      <c r="H63" s="51">
        <f>Financials!K8</f>
        <v>2</v>
      </c>
      <c r="I63" s="51">
        <f>Financials!L8</f>
        <v>3</v>
      </c>
      <c r="J63" s="51">
        <f>Financials!M8</f>
        <v>4</v>
      </c>
      <c r="K63" s="51">
        <f>Financials!N8</f>
        <v>5</v>
      </c>
      <c r="L63" s="51">
        <f>Financials!O8</f>
        <v>6</v>
      </c>
      <c r="M63" s="51">
        <f>Financials!P8</f>
        <v>7</v>
      </c>
      <c r="N63" s="51">
        <f>Financials!Q8</f>
        <v>8</v>
      </c>
      <c r="O63" s="51">
        <f>Financials!R8</f>
        <v>9</v>
      </c>
      <c r="P63" s="51">
        <f>Financials!S8</f>
        <v>10</v>
      </c>
      <c r="Q63" s="51">
        <f>Financials!T8</f>
        <v>11</v>
      </c>
      <c r="R63" s="51">
        <f>Financials!U8</f>
        <v>12</v>
      </c>
      <c r="S63" s="51">
        <f>Financials!V8</f>
        <v>13</v>
      </c>
      <c r="T63" s="51">
        <f>Financials!W8</f>
        <v>14</v>
      </c>
      <c r="U63" s="51">
        <f>Financials!X8</f>
        <v>15</v>
      </c>
      <c r="V63" s="51">
        <f>Financials!Y8</f>
        <v>16</v>
      </c>
      <c r="W63" s="51">
        <f>Financials!Z8</f>
        <v>17</v>
      </c>
      <c r="X63" s="51">
        <f>Financials!AA8</f>
        <v>18</v>
      </c>
      <c r="Y63" s="51">
        <f>Financials!AB8</f>
        <v>19</v>
      </c>
      <c r="Z63" s="51">
        <f>Financials!AC8</f>
        <v>20</v>
      </c>
      <c r="AA63" s="51">
        <f>Financials!AD8</f>
        <v>21</v>
      </c>
      <c r="AB63" s="51">
        <f>Financials!AE8</f>
        <v>22</v>
      </c>
      <c r="AC63" s="51">
        <f>Financials!AF8</f>
        <v>23</v>
      </c>
      <c r="AD63" s="51">
        <f>Financials!AG8</f>
        <v>24</v>
      </c>
      <c r="AE63" s="51">
        <f>Financials!AH8</f>
        <v>25</v>
      </c>
      <c r="AF63" s="51">
        <f>Financials!AI8</f>
        <v>26</v>
      </c>
      <c r="AG63" s="51">
        <f>Financials!AJ8</f>
        <v>27</v>
      </c>
      <c r="AH63" s="51">
        <f>Financials!AK8</f>
        <v>28</v>
      </c>
      <c r="AI63" s="51">
        <f>Financials!AL8</f>
        <v>29</v>
      </c>
      <c r="AJ63" s="51">
        <f>Financials!AM8</f>
        <v>30</v>
      </c>
      <c r="AK63" s="51">
        <f>Financials!AN8</f>
        <v>31</v>
      </c>
      <c r="AL63" s="51">
        <f>Financials!AO8</f>
        <v>32</v>
      </c>
      <c r="AM63" s="51">
        <f>Financials!AP8</f>
        <v>33</v>
      </c>
      <c r="AN63" s="51">
        <f>Financials!AQ8</f>
        <v>34</v>
      </c>
      <c r="AO63" s="51">
        <f>Financials!AR8</f>
        <v>35</v>
      </c>
      <c r="AP63" s="51">
        <f>Financials!AS8</f>
        <v>36</v>
      </c>
    </row>
    <row r="64" spans="3:42" outlineLevel="1" x14ac:dyDescent="0.15">
      <c r="D64" s="51" t="s">
        <v>224</v>
      </c>
      <c r="G64" s="51" t="str">
        <f>Rev_Exp!J4</f>
        <v>Aug-23</v>
      </c>
      <c r="H64" s="51" t="str">
        <f>Rev_Exp!K4</f>
        <v>Sep-23</v>
      </c>
      <c r="I64" s="51" t="str">
        <f>Rev_Exp!L4</f>
        <v>Oct-23</v>
      </c>
      <c r="J64" s="51" t="str">
        <f>Rev_Exp!M4</f>
        <v>Nov-23</v>
      </c>
      <c r="K64" s="51" t="str">
        <f>Rev_Exp!N4</f>
        <v>Dec-23</v>
      </c>
      <c r="L64" s="51" t="str">
        <f>Rev_Exp!O4</f>
        <v>Jan-24</v>
      </c>
      <c r="M64" s="51" t="str">
        <f>Rev_Exp!P4</f>
        <v>Feb-24</v>
      </c>
      <c r="N64" s="51" t="str">
        <f>Rev_Exp!Q4</f>
        <v>Mar-24</v>
      </c>
      <c r="O64" s="51" t="str">
        <f>Rev_Exp!R4</f>
        <v>Apr-24</v>
      </c>
      <c r="P64" s="51" t="str">
        <f>Rev_Exp!S4</f>
        <v>May-24</v>
      </c>
      <c r="Q64" s="51" t="str">
        <f>Rev_Exp!T4</f>
        <v>Jun-24</v>
      </c>
      <c r="R64" s="51" t="str">
        <f>Rev_Exp!U4</f>
        <v>Jul-24</v>
      </c>
      <c r="S64" s="51" t="str">
        <f>Rev_Exp!V4</f>
        <v>Aug-24</v>
      </c>
      <c r="T64" s="51" t="str">
        <f>Rev_Exp!W4</f>
        <v>Sep-24</v>
      </c>
      <c r="U64" s="51" t="str">
        <f>Rev_Exp!X4</f>
        <v>Oct-24</v>
      </c>
      <c r="V64" s="51" t="str">
        <f>Rev_Exp!Y4</f>
        <v>Nov-24</v>
      </c>
      <c r="W64" s="51" t="str">
        <f>Rev_Exp!Z4</f>
        <v>Dec-24</v>
      </c>
      <c r="X64" s="51" t="str">
        <f>Rev_Exp!AA4</f>
        <v>Jan-25</v>
      </c>
      <c r="Y64" s="51" t="str">
        <f>Rev_Exp!AB4</f>
        <v>Feb-25</v>
      </c>
      <c r="Z64" s="51" t="str">
        <f>Rev_Exp!AC4</f>
        <v>Mar-25</v>
      </c>
      <c r="AA64" s="51" t="str">
        <f>Rev_Exp!AD4</f>
        <v>Apr-25</v>
      </c>
      <c r="AB64" s="51" t="str">
        <f>Rev_Exp!AE4</f>
        <v>May-25</v>
      </c>
      <c r="AC64" s="51" t="str">
        <f>Rev_Exp!AF4</f>
        <v>Jun-25</v>
      </c>
      <c r="AD64" s="51" t="str">
        <f>Rev_Exp!AG4</f>
        <v>Jul-25</v>
      </c>
      <c r="AE64" s="51" t="str">
        <f>Rev_Exp!AH4</f>
        <v>Aug-25</v>
      </c>
      <c r="AF64" s="51" t="str">
        <f>Rev_Exp!AI4</f>
        <v>Sep-25</v>
      </c>
      <c r="AG64" s="51" t="str">
        <f>Rev_Exp!AJ4</f>
        <v>Oct-25</v>
      </c>
      <c r="AH64" s="51" t="str">
        <f>Rev_Exp!AK4</f>
        <v>Nov-25</v>
      </c>
      <c r="AI64" s="51" t="str">
        <f>Rev_Exp!AL4</f>
        <v>Dec-25</v>
      </c>
      <c r="AJ64" s="51" t="str">
        <f>Rev_Exp!AM4</f>
        <v>Jan-26</v>
      </c>
      <c r="AK64" s="51" t="str">
        <f>Rev_Exp!AN4</f>
        <v>Feb-26</v>
      </c>
      <c r="AL64" s="51" t="str">
        <f>Rev_Exp!AO4</f>
        <v>Mar-26</v>
      </c>
      <c r="AM64" s="51" t="str">
        <f>Rev_Exp!AP4</f>
        <v>Apr-26</v>
      </c>
      <c r="AN64" s="51" t="str">
        <f>Rev_Exp!AQ4</f>
        <v>May-26</v>
      </c>
      <c r="AO64" s="51" t="str">
        <f>Rev_Exp!AR4</f>
        <v>Jun-26</v>
      </c>
      <c r="AP64" s="51" t="str">
        <f>Rev_Exp!AS4</f>
        <v>Jul-26</v>
      </c>
    </row>
    <row r="65" spans="4:42" outlineLevel="1" x14ac:dyDescent="0.15">
      <c r="D65" s="51" t="s">
        <v>72</v>
      </c>
      <c r="G65" s="244">
        <f>Financials!J55</f>
        <v>-4159.4996275268823</v>
      </c>
      <c r="H65" s="244">
        <f>Financials!K55</f>
        <v>-2082.529655440002</v>
      </c>
      <c r="I65" s="244">
        <f>Financials!L55</f>
        <v>-1929.2708153118283</v>
      </c>
      <c r="J65" s="244">
        <f>Financials!M55</f>
        <v>-892.34384933333331</v>
      </c>
      <c r="K65" s="244">
        <f>Financials!N55</f>
        <v>-4564.5890296258076</v>
      </c>
      <c r="L65" s="244">
        <f>Financials!O55</f>
        <v>-2354.3421542795713</v>
      </c>
      <c r="M65" s="244">
        <f>Financials!P55</f>
        <v>-2620.0539285333334</v>
      </c>
      <c r="N65" s="244">
        <f>Financials!Q55</f>
        <v>-2652.6989809806464</v>
      </c>
      <c r="O65" s="244">
        <f>Financials!R55</f>
        <v>-3844.5069748266669</v>
      </c>
      <c r="P65" s="244">
        <f>Financials!S55</f>
        <v>-3171.5459527139792</v>
      </c>
      <c r="Q65" s="244">
        <f>Financials!T55</f>
        <v>-2988.6059200000009</v>
      </c>
      <c r="R65" s="244">
        <f>Financials!U55</f>
        <v>-3647.4748878795708</v>
      </c>
      <c r="S65" s="244">
        <f>Financials!V55</f>
        <v>-4118.3165446881721</v>
      </c>
      <c r="T65" s="244">
        <f>Financials!W55</f>
        <v>-1115.6185543200008</v>
      </c>
      <c r="U65" s="244">
        <f>Financials!X55</f>
        <v>-811.14888034408796</v>
      </c>
      <c r="V65" s="244">
        <f>Financials!Y55</f>
        <v>96.589796666665279</v>
      </c>
      <c r="W65" s="244">
        <f>Financials!Z55</f>
        <v>-4600.74635571613</v>
      </c>
      <c r="X65" s="244">
        <f>Financials!AA55</f>
        <v>-1778.147464318281</v>
      </c>
      <c r="Y65" s="244">
        <f>Financials!AB55</f>
        <v>-922.4245653333337</v>
      </c>
      <c r="Z65" s="244">
        <f>Financials!AC55</f>
        <v>-911.67270454193658</v>
      </c>
      <c r="AA65" s="244">
        <f>Financials!AD55</f>
        <v>-2502.871282666667</v>
      </c>
      <c r="AB65" s="244">
        <f>Financials!AE55</f>
        <v>-1775.5244023913983</v>
      </c>
      <c r="AC65" s="244">
        <f>Financials!AF55</f>
        <v>-1312.7033808000006</v>
      </c>
      <c r="AD65" s="244">
        <f>Financials!AG55</f>
        <v>-2317.3299770150552</v>
      </c>
      <c r="AE65" s="244">
        <f>Financials!AH55</f>
        <v>-2921.3145472688175</v>
      </c>
      <c r="AF65" s="244">
        <f>Financials!AI55</f>
        <v>1242.2364776000013</v>
      </c>
      <c r="AG65" s="244">
        <f>Financials!AJ55</f>
        <v>1353.4523341075273</v>
      </c>
      <c r="AH65" s="244">
        <f>Financials!AK55</f>
        <v>1594.7166666666653</v>
      </c>
      <c r="AI65" s="244">
        <f>Financials!AL55</f>
        <v>-3467.5347416258082</v>
      </c>
      <c r="AJ65" s="244">
        <f>Financials!AM55</f>
        <v>-295.23468271827915</v>
      </c>
      <c r="AK65" s="244">
        <f>Financials!AN55</f>
        <v>418.64762666666593</v>
      </c>
      <c r="AL65" s="244">
        <f>Financials!AO55</f>
        <v>791.93374198709807</v>
      </c>
      <c r="AM65" s="244">
        <f>Financials!AP55</f>
        <v>-1447.275590506666</v>
      </c>
      <c r="AN65" s="244">
        <f>Financials!AQ55</f>
        <v>-762.31341743655958</v>
      </c>
      <c r="AO65" s="244">
        <f>Financials!AR55</f>
        <v>180.10238080000181</v>
      </c>
      <c r="AP65" s="244">
        <f>Financials!AS55</f>
        <v>-1268.4450661505389</v>
      </c>
    </row>
    <row r="66" spans="4:42" outlineLevel="1" x14ac:dyDescent="0.15">
      <c r="D66" s="51" t="s">
        <v>225</v>
      </c>
      <c r="G66" s="244">
        <f ca="1">Financials!J271</f>
        <v>45160.869850494637</v>
      </c>
      <c r="H66" s="244">
        <f ca="1">Financials!K271</f>
        <v>-11801.124452086973</v>
      </c>
      <c r="I66" s="244">
        <f ca="1">Financials!L271</f>
        <v>49225.272093748041</v>
      </c>
      <c r="J66" s="244">
        <f ca="1">Financials!M271</f>
        <v>5643.1918542666654</v>
      </c>
      <c r="K66" s="244">
        <f ca="1">Financials!N271</f>
        <v>-21541.310924787958</v>
      </c>
      <c r="L66" s="244">
        <f ca="1">Financials!O271</f>
        <v>8124.0366575019361</v>
      </c>
      <c r="M66" s="244">
        <f ca="1">Financials!P271</f>
        <v>4012.5865466769901</v>
      </c>
      <c r="N66" s="244">
        <f ca="1">Financials!Q271</f>
        <v>-20052.951431846024</v>
      </c>
      <c r="O66" s="244">
        <f ca="1">Financials!R271</f>
        <v>6749.9205951772892</v>
      </c>
      <c r="P66" s="244">
        <f ca="1">Financials!S271</f>
        <v>2953.1030368886022</v>
      </c>
      <c r="Q66" s="244">
        <f ca="1">Financials!T271</f>
        <v>-19850.481238537635</v>
      </c>
      <c r="R66" s="244">
        <f ca="1">Financials!U271</f>
        <v>7102.9196392665808</v>
      </c>
      <c r="S66" s="244">
        <f ca="1">Financials!V271</f>
        <v>1850.9538972215059</v>
      </c>
      <c r="T66" s="244">
        <f ca="1">Financials!W271</f>
        <v>-17846.528074192091</v>
      </c>
      <c r="U66" s="244">
        <f ca="1">Financials!X271</f>
        <v>10048.92769301961</v>
      </c>
      <c r="V66" s="244">
        <f ca="1">Financials!Y271</f>
        <v>6549.2970672150523</v>
      </c>
      <c r="W66" s="244">
        <f ca="1">Financials!Z271</f>
        <v>-21934.795859120866</v>
      </c>
      <c r="X66" s="244">
        <f ca="1">Financials!AA271</f>
        <v>9109.553637593548</v>
      </c>
      <c r="Y66" s="244">
        <f ca="1">Financials!AB271</f>
        <v>5873.3150038021504</v>
      </c>
      <c r="Z66" s="244">
        <f ca="1">Financials!AC271</f>
        <v>-18152.415983412469</v>
      </c>
      <c r="AA66" s="244">
        <f ca="1">Financials!AD271</f>
        <v>8115.2105396645175</v>
      </c>
      <c r="AB66" s="244">
        <f ca="1">Financials!AE271</f>
        <v>4604.758287447743</v>
      </c>
      <c r="AC66" s="244">
        <f ca="1">Financials!AF271</f>
        <v>-18480.817347700642</v>
      </c>
      <c r="AD66" s="244">
        <f ca="1">Financials!AG271</f>
        <v>8493.2383109522543</v>
      </c>
      <c r="AE66" s="244">
        <f ca="1">Financials!AH271</f>
        <v>3186.8271065118288</v>
      </c>
      <c r="AF66" s="244">
        <f ca="1">Financials!AI271</f>
        <v>-15688.97531112344</v>
      </c>
      <c r="AG66" s="244">
        <f ca="1">Financials!AJ271</f>
        <v>12161.713043563876</v>
      </c>
      <c r="AH66" s="244">
        <f ca="1">Financials!AK271</f>
        <v>8192.8064086021495</v>
      </c>
      <c r="AI66" s="244">
        <f ca="1">Financials!AL271</f>
        <v>-20894.242543523444</v>
      </c>
      <c r="AJ66" s="244">
        <f ca="1">Financials!AM271</f>
        <v>10615.572425868388</v>
      </c>
      <c r="AK66" s="244">
        <f ca="1">Financials!AN271</f>
        <v>7406.3741526021504</v>
      </c>
      <c r="AL66" s="244">
        <f ca="1">Financials!AO271</f>
        <v>-16818.072341304087</v>
      </c>
      <c r="AM66" s="244">
        <f ca="1">Financials!AP271</f>
        <v>9192.5300080691632</v>
      </c>
      <c r="AN66" s="244">
        <f ca="1">Financials!AQ271</f>
        <v>5683.7302883415068</v>
      </c>
      <c r="AO66" s="244">
        <f ca="1">Financials!AR271</f>
        <v>-17155.747541546669</v>
      </c>
      <c r="AP66" s="244">
        <f ca="1">Financials!AS271</f>
        <v>9648.8869740185801</v>
      </c>
    </row>
    <row r="67" spans="4:42" outlineLevel="1" x14ac:dyDescent="0.15">
      <c r="D67" s="51" t="s">
        <v>226</v>
      </c>
      <c r="G67" s="244">
        <f ca="1">Financials!J86</f>
        <v>56366.869850494637</v>
      </c>
      <c r="H67" s="244">
        <f ca="1">Financials!K86</f>
        <v>44565.745398407664</v>
      </c>
      <c r="I67" s="244">
        <f ca="1">Financials!L86</f>
        <v>93791.017492155705</v>
      </c>
      <c r="J67" s="244">
        <f ca="1">Financials!M86</f>
        <v>99434.209346422373</v>
      </c>
      <c r="K67" s="244">
        <f ca="1">Financials!N86</f>
        <v>77892.898421634411</v>
      </c>
      <c r="L67" s="244">
        <f ca="1">Financials!O86</f>
        <v>86016.935079136339</v>
      </c>
      <c r="M67" s="244">
        <f ca="1">Financials!P86</f>
        <v>90029.52162581333</v>
      </c>
      <c r="N67" s="244">
        <f ca="1">Financials!Q86</f>
        <v>69976.570193967302</v>
      </c>
      <c r="O67" s="244">
        <f ca="1">Financials!R86</f>
        <v>76726.490789144591</v>
      </c>
      <c r="P67" s="244">
        <f ca="1">Financials!S86</f>
        <v>79679.59382603319</v>
      </c>
      <c r="Q67" s="244">
        <f ca="1">Financials!T86</f>
        <v>59829.112587495554</v>
      </c>
      <c r="R67" s="244">
        <f ca="1">Financials!U86</f>
        <v>66932.032226762138</v>
      </c>
      <c r="S67" s="244">
        <f ca="1">Financials!V86</f>
        <v>68782.986123983646</v>
      </c>
      <c r="T67" s="244">
        <f ca="1">Financials!W86</f>
        <v>50936.458049791559</v>
      </c>
      <c r="U67" s="244">
        <f ca="1">Financials!X86</f>
        <v>60985.385742811166</v>
      </c>
      <c r="V67" s="244">
        <f ca="1">Financials!Y86</f>
        <v>67534.682810026221</v>
      </c>
      <c r="W67" s="244">
        <f ca="1">Financials!Z86</f>
        <v>45599.886950905355</v>
      </c>
      <c r="X67" s="244">
        <f ca="1">Financials!AA86</f>
        <v>54709.440588498903</v>
      </c>
      <c r="Y67" s="244">
        <f ca="1">Financials!AB86</f>
        <v>60582.755592301051</v>
      </c>
      <c r="Z67" s="244">
        <f ca="1">Financials!AC86</f>
        <v>42430.339608888578</v>
      </c>
      <c r="AA67" s="244">
        <f ca="1">Financials!AD86</f>
        <v>50545.550148553099</v>
      </c>
      <c r="AB67" s="244">
        <f ca="1">Financials!AE86</f>
        <v>55150.308436000843</v>
      </c>
      <c r="AC67" s="244">
        <f ca="1">Financials!AF86</f>
        <v>36669.491088300201</v>
      </c>
      <c r="AD67" s="244">
        <f ca="1">Financials!AG86</f>
        <v>45162.729399252457</v>
      </c>
      <c r="AE67" s="244">
        <f ca="1">Financials!AH86</f>
        <v>48349.556505764289</v>
      </c>
      <c r="AF67" s="244">
        <f ca="1">Financials!AI86</f>
        <v>32660.58119464085</v>
      </c>
      <c r="AG67" s="244">
        <f ca="1">Financials!AJ86</f>
        <v>44822.294238204726</v>
      </c>
      <c r="AH67" s="244">
        <f ca="1">Financials!AK86</f>
        <v>53015.100646806874</v>
      </c>
      <c r="AI67" s="244">
        <f ca="1">Financials!AL86</f>
        <v>32120.85810328343</v>
      </c>
      <c r="AJ67" s="244">
        <f ca="1">Financials!AM86</f>
        <v>42736.430529151818</v>
      </c>
      <c r="AK67" s="244">
        <f ca="1">Financials!AN86</f>
        <v>50142.804681753965</v>
      </c>
      <c r="AL67" s="244">
        <f ca="1">Financials!AO86</f>
        <v>33324.732340449875</v>
      </c>
      <c r="AM67" s="244">
        <f ca="1">Financials!AP86</f>
        <v>42517.262348519042</v>
      </c>
      <c r="AN67" s="244">
        <f ca="1">Financials!AQ86</f>
        <v>48200.992636860552</v>
      </c>
      <c r="AO67" s="244">
        <f ca="1">Financials!AR86</f>
        <v>31045.245095313883</v>
      </c>
      <c r="AP67" s="244">
        <f ca="1">Financials!AS86</f>
        <v>40694.132069332467</v>
      </c>
    </row>
    <row r="68" spans="4:42" outlineLevel="1" x14ac:dyDescent="0.15">
      <c r="D68" s="51" t="s">
        <v>227</v>
      </c>
      <c r="G68" s="244"/>
      <c r="H68" s="244"/>
      <c r="I68" s="244">
        <f ca="1">SUM(G66:I66)</f>
        <v>82585.017492155705</v>
      </c>
      <c r="J68" s="244">
        <f t="shared" ref="J68:AP68" ca="1" si="0">SUM(H66:J66)</f>
        <v>43067.339495927736</v>
      </c>
      <c r="K68" s="244">
        <f t="shared" ca="1" si="0"/>
        <v>33327.153023226754</v>
      </c>
      <c r="L68" s="244">
        <f t="shared" ca="1" si="0"/>
        <v>-7774.0824130193578</v>
      </c>
      <c r="M68" s="244">
        <f t="shared" ca="1" si="0"/>
        <v>-9404.6877206090321</v>
      </c>
      <c r="N68" s="244">
        <f t="shared" ca="1" si="0"/>
        <v>-7916.328227667098</v>
      </c>
      <c r="O68" s="244">
        <f t="shared" ca="1" si="0"/>
        <v>-9290.4442899917449</v>
      </c>
      <c r="P68" s="244">
        <f t="shared" ca="1" si="0"/>
        <v>-10349.927799780133</v>
      </c>
      <c r="Q68" s="244">
        <f t="shared" ca="1" si="0"/>
        <v>-10147.457606471744</v>
      </c>
      <c r="R68" s="244">
        <f t="shared" ca="1" si="0"/>
        <v>-9794.4585623824532</v>
      </c>
      <c r="S68" s="244">
        <f t="shared" ca="1" si="0"/>
        <v>-10896.60770204955</v>
      </c>
      <c r="T68" s="244">
        <f t="shared" ca="1" si="0"/>
        <v>-8892.6545377040038</v>
      </c>
      <c r="U68" s="244">
        <f t="shared" ca="1" si="0"/>
        <v>-5946.6464839509754</v>
      </c>
      <c r="V68" s="244">
        <f t="shared" ca="1" si="0"/>
        <v>-1248.3033139574281</v>
      </c>
      <c r="W68" s="244">
        <f t="shared" ca="1" si="0"/>
        <v>-5336.5710988862047</v>
      </c>
      <c r="X68" s="244">
        <f t="shared" ca="1" si="0"/>
        <v>-6275.9451543122668</v>
      </c>
      <c r="Y68" s="244">
        <f t="shared" ca="1" si="0"/>
        <v>-6951.9272177251678</v>
      </c>
      <c r="Z68" s="244">
        <f t="shared" ca="1" si="0"/>
        <v>-3169.5473420167709</v>
      </c>
      <c r="AA68" s="244">
        <f t="shared" ca="1" si="0"/>
        <v>-4163.8904399458015</v>
      </c>
      <c r="AB68" s="244">
        <f t="shared" ca="1" si="0"/>
        <v>-5432.4471563002098</v>
      </c>
      <c r="AC68" s="244">
        <f t="shared" ca="1" si="0"/>
        <v>-5760.8485205883808</v>
      </c>
      <c r="AD68" s="244">
        <f t="shared" ca="1" si="0"/>
        <v>-5382.8207493006448</v>
      </c>
      <c r="AE68" s="244">
        <f t="shared" ca="1" si="0"/>
        <v>-6800.751930236559</v>
      </c>
      <c r="AF68" s="244">
        <f t="shared" ca="1" si="0"/>
        <v>-4008.9098936593564</v>
      </c>
      <c r="AG68" s="244">
        <f t="shared" ca="1" si="0"/>
        <v>-340.43516104773516</v>
      </c>
      <c r="AH68" s="244">
        <f t="shared" ca="1" si="0"/>
        <v>4665.5441410425847</v>
      </c>
      <c r="AI68" s="244">
        <f t="shared" ca="1" si="0"/>
        <v>-539.72309135742034</v>
      </c>
      <c r="AJ68" s="244">
        <f t="shared" ca="1" si="0"/>
        <v>-2085.8637090529064</v>
      </c>
      <c r="AK68" s="244">
        <f t="shared" ca="1" si="0"/>
        <v>-2872.2959650529056</v>
      </c>
      <c r="AL68" s="244">
        <f t="shared" ca="1" si="0"/>
        <v>1203.8742371664521</v>
      </c>
      <c r="AM68" s="244">
        <f t="shared" ca="1" si="0"/>
        <v>-219.16818063277242</v>
      </c>
      <c r="AN68" s="244">
        <f t="shared" ca="1" si="0"/>
        <v>-1941.8120448934169</v>
      </c>
      <c r="AO68" s="244">
        <f t="shared" ca="1" si="0"/>
        <v>-2279.4872451359988</v>
      </c>
      <c r="AP68" s="244">
        <f t="shared" ca="1" si="0"/>
        <v>-1823.1302791865819</v>
      </c>
    </row>
    <row r="69" spans="4:42" outlineLevel="1" x14ac:dyDescent="0.15">
      <c r="D69" s="51" t="s">
        <v>812</v>
      </c>
      <c r="G69" s="244"/>
      <c r="H69" s="244"/>
      <c r="I69" s="244">
        <f>SUM( G65:I65)</f>
        <v>-8171.3000982787125</v>
      </c>
      <c r="J69" s="244">
        <f t="shared" ref="J69:AP69" si="1">SUM( H65:J65)</f>
        <v>-4904.1443200851636</v>
      </c>
      <c r="K69" s="244">
        <f t="shared" si="1"/>
        <v>-7386.2036942709692</v>
      </c>
      <c r="L69" s="244">
        <f t="shared" si="1"/>
        <v>-7811.2750332387122</v>
      </c>
      <c r="M69" s="244">
        <f t="shared" si="1"/>
        <v>-9538.9851124387133</v>
      </c>
      <c r="N69" s="244">
        <f t="shared" si="1"/>
        <v>-7627.0950637935512</v>
      </c>
      <c r="O69" s="244">
        <f t="shared" si="1"/>
        <v>-9117.2598843406467</v>
      </c>
      <c r="P69" s="244">
        <f t="shared" si="1"/>
        <v>-9668.7519085212916</v>
      </c>
      <c r="Q69" s="244">
        <f t="shared" si="1"/>
        <v>-10004.658847540646</v>
      </c>
      <c r="R69" s="244">
        <f t="shared" si="1"/>
        <v>-9807.62676059355</v>
      </c>
      <c r="S69" s="244">
        <f t="shared" si="1"/>
        <v>-10754.397352567743</v>
      </c>
      <c r="T69" s="244">
        <f t="shared" si="1"/>
        <v>-8881.4099868877438</v>
      </c>
      <c r="U69" s="244">
        <f t="shared" si="1"/>
        <v>-6045.0839793522609</v>
      </c>
      <c r="V69" s="244">
        <f t="shared" si="1"/>
        <v>-1830.1776379974235</v>
      </c>
      <c r="W69" s="244">
        <f t="shared" si="1"/>
        <v>-5315.3054393935527</v>
      </c>
      <c r="X69" s="244">
        <f t="shared" si="1"/>
        <v>-6282.3040233677457</v>
      </c>
      <c r="Y69" s="244">
        <f t="shared" si="1"/>
        <v>-7301.3183853677447</v>
      </c>
      <c r="Z69" s="244">
        <f t="shared" si="1"/>
        <v>-3612.2447341935513</v>
      </c>
      <c r="AA69" s="244">
        <f t="shared" si="1"/>
        <v>-4336.9685525419372</v>
      </c>
      <c r="AB69" s="244">
        <f t="shared" si="1"/>
        <v>-5190.0683896000019</v>
      </c>
      <c r="AC69" s="244">
        <f t="shared" si="1"/>
        <v>-5591.0990658580658</v>
      </c>
      <c r="AD69" s="244">
        <f t="shared" si="1"/>
        <v>-5405.5577602064541</v>
      </c>
      <c r="AE69" s="244">
        <f t="shared" si="1"/>
        <v>-6551.3479050838732</v>
      </c>
      <c r="AF69" s="244">
        <f t="shared" si="1"/>
        <v>-3996.4080466838714</v>
      </c>
      <c r="AG69" s="244">
        <f t="shared" si="1"/>
        <v>-325.62573556128882</v>
      </c>
      <c r="AH69" s="244">
        <f t="shared" si="1"/>
        <v>4190.405478374194</v>
      </c>
      <c r="AI69" s="244">
        <f t="shared" si="1"/>
        <v>-519.36574085161556</v>
      </c>
      <c r="AJ69" s="244">
        <f t="shared" si="1"/>
        <v>-2168.0527576774221</v>
      </c>
      <c r="AK69" s="244">
        <f t="shared" si="1"/>
        <v>-3344.1217976774215</v>
      </c>
      <c r="AL69" s="244">
        <f t="shared" si="1"/>
        <v>915.34668593548486</v>
      </c>
      <c r="AM69" s="244">
        <f t="shared" si="1"/>
        <v>-236.69422185290205</v>
      </c>
      <c r="AN69" s="244">
        <f t="shared" si="1"/>
        <v>-1417.6552659561276</v>
      </c>
      <c r="AO69" s="244">
        <f t="shared" si="1"/>
        <v>-2029.4866271432238</v>
      </c>
      <c r="AP69" s="244">
        <f t="shared" si="1"/>
        <v>-1850.6561027870966</v>
      </c>
    </row>
    <row r="71" spans="4:42" x14ac:dyDescent="0.15">
      <c r="D71" s="51" t="s">
        <v>228</v>
      </c>
      <c r="G71" s="247">
        <f>Rev_Exp!J30/Rev_Exp!J14</f>
        <v>35.957419354838713</v>
      </c>
      <c r="H71" s="247">
        <f>Rev_Exp!K30/Rev_Exp!K14</f>
        <v>72.493913333333325</v>
      </c>
      <c r="I71" s="247">
        <f>Rev_Exp!L30/Rev_Exp!L14</f>
        <v>72.019612903225806</v>
      </c>
      <c r="J71" s="247">
        <f>Rev_Exp!M30/Rev_Exp!M14</f>
        <v>88.203499999999991</v>
      </c>
      <c r="K71" s="247">
        <f>Rev_Exp!N30/Rev_Exp!N14</f>
        <v>31.267058064516117</v>
      </c>
      <c r="L71" s="247">
        <f>Rev_Exp!O30/Rev_Exp!O14</f>
        <v>62.674161290322573</v>
      </c>
      <c r="M71" s="247">
        <f>Rev_Exp!P30/Rev_Exp!P14</f>
        <v>74.966399999999993</v>
      </c>
      <c r="N71" s="247">
        <f>Rev_Exp!Q30/Rev_Exp!Q14</f>
        <v>74.309606451612908</v>
      </c>
      <c r="O71" s="247">
        <f>Rev_Exp!R30/Rev_Exp!R14</f>
        <v>53.446493333333336</v>
      </c>
      <c r="P71" s="247">
        <f>Rev_Exp!S30/Rev_Exp!S14</f>
        <v>62.432458064516126</v>
      </c>
      <c r="Q71" s="247">
        <f>Rev_Exp!T30/Rev_Exp!T14</f>
        <v>70.345333333333343</v>
      </c>
      <c r="R71" s="247">
        <f>Rev_Exp!U30/Rev_Exp!U14</f>
        <v>55.059561290322577</v>
      </c>
      <c r="S71" s="247">
        <f>Rev_Exp!V30/Rev_Exp!V14</f>
        <v>50.340387096774194</v>
      </c>
      <c r="T71" s="247">
        <f>Rev_Exp!W30/Rev_Exp!W14</f>
        <v>100.55607333333333</v>
      </c>
      <c r="U71" s="247">
        <f>Rev_Exp!X30/Rev_Exp!X14</f>
        <v>99.026967741935479</v>
      </c>
      <c r="V71" s="247">
        <f>Rev_Exp!Y30/Rev_Exp!Y14</f>
        <v>120.27749999999999</v>
      </c>
      <c r="W71" s="247">
        <f>Rev_Exp!Z30/Rev_Exp!Z14</f>
        <v>42.302490322580638</v>
      </c>
      <c r="X71" s="247">
        <f>Rev_Exp!AA30/Rev_Exp!AA14</f>
        <v>84.162445161290321</v>
      </c>
      <c r="Y71" s="247">
        <f>Rev_Exp!AB30/Rev_Exp!AB14</f>
        <v>99.955199999999991</v>
      </c>
      <c r="Z71" s="247">
        <f>Rev_Exp!AC30/Rev_Exp!AC14</f>
        <v>98.41001935483871</v>
      </c>
      <c r="AA71" s="247">
        <f>Rev_Exp!AD30/Rev_Exp!AD14</f>
        <v>70.324333333333328</v>
      </c>
      <c r="AB71" s="247">
        <f>Rev_Exp!AE30/Rev_Exp!AE14</f>
        <v>81.642445161290311</v>
      </c>
      <c r="AC71" s="247">
        <f>Rev_Exp!AF30/Rev_Exp!AF14</f>
        <v>91.448933333333343</v>
      </c>
      <c r="AD71" s="247">
        <f>Rev_Exp!AG30/Rev_Exp!AG14</f>
        <v>71.174554838709668</v>
      </c>
      <c r="AE71" s="247">
        <f>Rev_Exp!AH30/Rev_Exp!AH14</f>
        <v>64.723354838709682</v>
      </c>
      <c r="AF71" s="247">
        <f>Rev_Exp!AI30/Rev_Exp!AI14</f>
        <v>128.61823333333334</v>
      </c>
      <c r="AG71" s="247">
        <f>Rev_Exp!AJ30/Rev_Exp!AJ14</f>
        <v>126.03432258064517</v>
      </c>
      <c r="AH71" s="247">
        <f>Rev_Exp!AK30/Rev_Exp!AK14</f>
        <v>144</v>
      </c>
      <c r="AI71" s="247">
        <f>Rev_Exp!AL30/Rev_Exp!AL14</f>
        <v>53.337922580645149</v>
      </c>
      <c r="AJ71" s="247">
        <f>Rev_Exp!AM30/Rev_Exp!AM14</f>
        <v>105.65072903225807</v>
      </c>
      <c r="AK71" s="247">
        <f>Rev_Exp!AN30/Rev_Exp!AN14</f>
        <v>124.94399999999999</v>
      </c>
      <c r="AL71" s="247">
        <f>Rev_Exp!AO30/Rev_Exp!AO14</f>
        <v>122.51043225806451</v>
      </c>
      <c r="AM71" s="247">
        <f>Rev_Exp!AP30/Rev_Exp!AP14</f>
        <v>87.202173333333334</v>
      </c>
      <c r="AN71" s="247">
        <f>Rev_Exp!AQ30/Rev_Exp!AQ14</f>
        <v>100.85243225806451</v>
      </c>
      <c r="AO71" s="247">
        <f>Rev_Exp!AR30/Rev_Exp!AR14</f>
        <v>112.55253333333334</v>
      </c>
      <c r="AP71" s="247">
        <f>Rev_Exp!AS30/Rev_Exp!AS14</f>
        <v>87.289548387096772</v>
      </c>
    </row>
    <row r="72" spans="4:42" x14ac:dyDescent="0.15">
      <c r="D72" s="51" t="s">
        <v>229</v>
      </c>
      <c r="G72" s="247">
        <f>Rev_Exp!J34</f>
        <v>7</v>
      </c>
      <c r="H72" s="247">
        <f>Rev_Exp!K34</f>
        <v>7</v>
      </c>
      <c r="I72" s="247">
        <f>Rev_Exp!L34</f>
        <v>7</v>
      </c>
      <c r="J72" s="247">
        <f>Rev_Exp!M34</f>
        <v>7</v>
      </c>
      <c r="K72" s="247">
        <f>Rev_Exp!N34</f>
        <v>7</v>
      </c>
      <c r="L72" s="247">
        <f>Rev_Exp!O34</f>
        <v>7</v>
      </c>
      <c r="M72" s="247">
        <f>Rev_Exp!P34</f>
        <v>7</v>
      </c>
      <c r="N72" s="247">
        <f>Rev_Exp!Q34</f>
        <v>7</v>
      </c>
      <c r="O72" s="247">
        <f>Rev_Exp!R34</f>
        <v>7</v>
      </c>
      <c r="P72" s="247">
        <f>Rev_Exp!S34</f>
        <v>7</v>
      </c>
      <c r="Q72" s="247">
        <f>Rev_Exp!T34</f>
        <v>7</v>
      </c>
      <c r="R72" s="247">
        <f>Rev_Exp!U34</f>
        <v>7</v>
      </c>
      <c r="S72" s="247">
        <f>Rev_Exp!V34</f>
        <v>8</v>
      </c>
      <c r="T72" s="247">
        <f>Rev_Exp!W34</f>
        <v>8</v>
      </c>
      <c r="U72" s="247">
        <f>Rev_Exp!X34</f>
        <v>8</v>
      </c>
      <c r="V72" s="247">
        <f>Rev_Exp!Y34</f>
        <v>8</v>
      </c>
      <c r="W72" s="247">
        <f>Rev_Exp!Z34</f>
        <v>8</v>
      </c>
      <c r="X72" s="247">
        <f>Rev_Exp!AA34</f>
        <v>8</v>
      </c>
      <c r="Y72" s="247">
        <f>Rev_Exp!AB34</f>
        <v>8</v>
      </c>
      <c r="Z72" s="247">
        <f>Rev_Exp!AC34</f>
        <v>9</v>
      </c>
      <c r="AA72" s="247">
        <f>Rev_Exp!AD34</f>
        <v>9</v>
      </c>
      <c r="AB72" s="247">
        <f>Rev_Exp!AE34</f>
        <v>9</v>
      </c>
      <c r="AC72" s="247">
        <f>Rev_Exp!AF34</f>
        <v>9</v>
      </c>
      <c r="AD72" s="247">
        <f>Rev_Exp!AG34</f>
        <v>9</v>
      </c>
      <c r="AE72" s="247">
        <f>Rev_Exp!AH34</f>
        <v>9</v>
      </c>
      <c r="AF72" s="247">
        <f>Rev_Exp!AI34</f>
        <v>9</v>
      </c>
      <c r="AG72" s="247">
        <f>Rev_Exp!AJ34</f>
        <v>9</v>
      </c>
      <c r="AH72" s="247">
        <f>Rev_Exp!AK34</f>
        <v>9</v>
      </c>
      <c r="AI72" s="247">
        <f>Rev_Exp!AL34</f>
        <v>9</v>
      </c>
      <c r="AJ72" s="247">
        <f>Rev_Exp!AM34</f>
        <v>10</v>
      </c>
      <c r="AK72" s="247">
        <f>Rev_Exp!AN34</f>
        <v>10</v>
      </c>
      <c r="AL72" s="247">
        <f>Rev_Exp!AO34</f>
        <v>10</v>
      </c>
      <c r="AM72" s="247">
        <f>Rev_Exp!AP34</f>
        <v>10</v>
      </c>
      <c r="AN72" s="247">
        <f>Rev_Exp!AQ34</f>
        <v>10</v>
      </c>
      <c r="AO72" s="247">
        <f>Rev_Exp!AR34</f>
        <v>10</v>
      </c>
      <c r="AP72" s="247">
        <f>Rev_Exp!AS34</f>
        <v>10</v>
      </c>
    </row>
    <row r="73" spans="4:42" x14ac:dyDescent="0.15">
      <c r="D73" s="51" t="s">
        <v>230</v>
      </c>
      <c r="G73" s="243">
        <f>G71/G72</f>
        <v>5.1367741935483879</v>
      </c>
      <c r="H73" s="243">
        <f t="shared" ref="H73:AP73" si="2">H71/H72</f>
        <v>10.356273333333332</v>
      </c>
      <c r="I73" s="243">
        <f t="shared" si="2"/>
        <v>10.288516129032258</v>
      </c>
      <c r="J73" s="243">
        <f t="shared" si="2"/>
        <v>12.600499999999998</v>
      </c>
      <c r="K73" s="243">
        <f t="shared" si="2"/>
        <v>4.4667225806451594</v>
      </c>
      <c r="L73" s="243">
        <f t="shared" si="2"/>
        <v>8.9534516129032244</v>
      </c>
      <c r="M73" s="243">
        <f t="shared" si="2"/>
        <v>10.709485714285714</v>
      </c>
      <c r="N73" s="243">
        <f t="shared" si="2"/>
        <v>10.615658064516129</v>
      </c>
      <c r="O73" s="243">
        <f t="shared" si="2"/>
        <v>7.6352133333333336</v>
      </c>
      <c r="P73" s="243">
        <f t="shared" si="2"/>
        <v>8.9189225806451606</v>
      </c>
      <c r="Q73" s="243">
        <f t="shared" si="2"/>
        <v>10.049333333333335</v>
      </c>
      <c r="R73" s="243">
        <f t="shared" si="2"/>
        <v>7.8656516129032257</v>
      </c>
      <c r="S73" s="243">
        <f t="shared" si="2"/>
        <v>6.2925483870967742</v>
      </c>
      <c r="T73" s="243">
        <f t="shared" si="2"/>
        <v>12.569509166666666</v>
      </c>
      <c r="U73" s="243">
        <f t="shared" si="2"/>
        <v>12.378370967741935</v>
      </c>
      <c r="V73" s="243">
        <f t="shared" si="2"/>
        <v>15.034687499999999</v>
      </c>
      <c r="W73" s="243">
        <f t="shared" si="2"/>
        <v>5.2878112903225798</v>
      </c>
      <c r="X73" s="243">
        <f t="shared" si="2"/>
        <v>10.52030564516129</v>
      </c>
      <c r="Y73" s="243">
        <f t="shared" si="2"/>
        <v>12.494399999999999</v>
      </c>
      <c r="Z73" s="243">
        <f t="shared" si="2"/>
        <v>10.934446594982079</v>
      </c>
      <c r="AA73" s="243">
        <f t="shared" si="2"/>
        <v>7.8138148148148145</v>
      </c>
      <c r="AB73" s="243">
        <f t="shared" si="2"/>
        <v>9.0713827956989235</v>
      </c>
      <c r="AC73" s="243">
        <f t="shared" si="2"/>
        <v>10.160992592592594</v>
      </c>
      <c r="AD73" s="243">
        <f t="shared" si="2"/>
        <v>7.9082838709677405</v>
      </c>
      <c r="AE73" s="243">
        <f t="shared" si="2"/>
        <v>7.1914838709677422</v>
      </c>
      <c r="AF73" s="243">
        <f t="shared" si="2"/>
        <v>14.290914814814816</v>
      </c>
      <c r="AG73" s="243">
        <f t="shared" si="2"/>
        <v>14.003813620071686</v>
      </c>
      <c r="AH73" s="243">
        <f t="shared" si="2"/>
        <v>16</v>
      </c>
      <c r="AI73" s="243">
        <f t="shared" si="2"/>
        <v>5.9264358422939054</v>
      </c>
      <c r="AJ73" s="243">
        <f t="shared" si="2"/>
        <v>10.565072903225808</v>
      </c>
      <c r="AK73" s="243">
        <f t="shared" si="2"/>
        <v>12.494399999999999</v>
      </c>
      <c r="AL73" s="243">
        <f t="shared" si="2"/>
        <v>12.251043225806452</v>
      </c>
      <c r="AM73" s="243">
        <f t="shared" si="2"/>
        <v>8.7202173333333342</v>
      </c>
      <c r="AN73" s="243">
        <f t="shared" si="2"/>
        <v>10.085243225806451</v>
      </c>
      <c r="AO73" s="243">
        <f t="shared" si="2"/>
        <v>11.255253333333334</v>
      </c>
      <c r="AP73" s="243">
        <f t="shared" si="2"/>
        <v>8.7289548387096776</v>
      </c>
    </row>
    <row r="74" spans="4:42" x14ac:dyDescent="0.15">
      <c r="D74" s="51" t="s">
        <v>231</v>
      </c>
      <c r="G74" s="51">
        <f>Rev_Exp!J31</f>
        <v>16</v>
      </c>
      <c r="H74" s="51">
        <f>Rev_Exp!K31</f>
        <v>16</v>
      </c>
      <c r="I74" s="51">
        <f>Rev_Exp!L31</f>
        <v>16</v>
      </c>
      <c r="J74" s="51">
        <f>Rev_Exp!M31</f>
        <v>16</v>
      </c>
      <c r="K74" s="51">
        <f>Rev_Exp!N31</f>
        <v>16</v>
      </c>
      <c r="L74" s="51">
        <f>Rev_Exp!O31</f>
        <v>16</v>
      </c>
      <c r="M74" s="51">
        <f>Rev_Exp!P31</f>
        <v>16</v>
      </c>
      <c r="N74" s="51">
        <f>Rev_Exp!Q31</f>
        <v>16</v>
      </c>
      <c r="O74" s="51">
        <f>Rev_Exp!R31</f>
        <v>16</v>
      </c>
      <c r="P74" s="51">
        <f>Rev_Exp!S31</f>
        <v>16</v>
      </c>
      <c r="Q74" s="51">
        <f>Rev_Exp!T31</f>
        <v>16</v>
      </c>
      <c r="R74" s="51">
        <f>Rev_Exp!U31</f>
        <v>16</v>
      </c>
      <c r="S74" s="51">
        <f>Rev_Exp!V31</f>
        <v>16</v>
      </c>
      <c r="T74" s="51">
        <f>Rev_Exp!W31</f>
        <v>16</v>
      </c>
      <c r="U74" s="51">
        <f>Rev_Exp!X31</f>
        <v>16</v>
      </c>
      <c r="V74" s="51">
        <f>Rev_Exp!Y31</f>
        <v>16</v>
      </c>
      <c r="W74" s="51">
        <f>Rev_Exp!Z31</f>
        <v>16</v>
      </c>
      <c r="X74" s="51">
        <f>Rev_Exp!AA31</f>
        <v>16</v>
      </c>
      <c r="Y74" s="51">
        <f>Rev_Exp!AB31</f>
        <v>16</v>
      </c>
      <c r="Z74" s="51">
        <f>Rev_Exp!AC31</f>
        <v>16</v>
      </c>
      <c r="AA74" s="51">
        <f>Rev_Exp!AD31</f>
        <v>16</v>
      </c>
      <c r="AB74" s="51">
        <f>Rev_Exp!AE31</f>
        <v>16</v>
      </c>
      <c r="AC74" s="51">
        <f>Rev_Exp!AF31</f>
        <v>16</v>
      </c>
      <c r="AD74" s="51">
        <f>Rev_Exp!AG31</f>
        <v>16</v>
      </c>
      <c r="AE74" s="51">
        <f>Rev_Exp!AH31</f>
        <v>16</v>
      </c>
      <c r="AF74" s="51">
        <f>Rev_Exp!AI31</f>
        <v>16</v>
      </c>
      <c r="AG74" s="51">
        <f>Rev_Exp!AJ31</f>
        <v>16</v>
      </c>
      <c r="AH74" s="51">
        <f>Rev_Exp!AK31</f>
        <v>16</v>
      </c>
      <c r="AI74" s="51">
        <f>Rev_Exp!AL31</f>
        <v>16</v>
      </c>
      <c r="AJ74" s="51">
        <f>Rev_Exp!AM31</f>
        <v>16</v>
      </c>
      <c r="AK74" s="51">
        <f>Rev_Exp!AN31</f>
        <v>16</v>
      </c>
      <c r="AL74" s="51">
        <f>Rev_Exp!AO31</f>
        <v>16</v>
      </c>
      <c r="AM74" s="51">
        <f>Rev_Exp!AP31</f>
        <v>16</v>
      </c>
      <c r="AN74" s="51">
        <f>Rev_Exp!AQ31</f>
        <v>16</v>
      </c>
      <c r="AO74" s="51">
        <f>Rev_Exp!AR31</f>
        <v>16</v>
      </c>
      <c r="AP74" s="51">
        <f>Rev_Exp!AS31</f>
        <v>16</v>
      </c>
    </row>
    <row r="76" spans="4:42" x14ac:dyDescent="0.15">
      <c r="D76" s="51" t="s">
        <v>232</v>
      </c>
      <c r="G76" s="51">
        <f>Rev_Exp!J22</f>
        <v>120</v>
      </c>
      <c r="H76" s="51">
        <f>Rev_Exp!K22</f>
        <v>124</v>
      </c>
      <c r="I76" s="51">
        <f>Rev_Exp!L22</f>
        <v>128</v>
      </c>
      <c r="J76" s="51">
        <f>Rev_Exp!M22</f>
        <v>132</v>
      </c>
      <c r="K76" s="51">
        <f>Rev_Exp!N22</f>
        <v>136</v>
      </c>
      <c r="L76" s="51">
        <f>Rev_Exp!O22</f>
        <v>140</v>
      </c>
      <c r="M76" s="51">
        <f>Rev_Exp!P22</f>
        <v>144</v>
      </c>
      <c r="N76" s="51">
        <f>Rev_Exp!Q22</f>
        <v>148</v>
      </c>
      <c r="O76" s="51">
        <f>Rev_Exp!R22</f>
        <v>152</v>
      </c>
      <c r="P76" s="51">
        <f>Rev_Exp!S22</f>
        <v>156</v>
      </c>
      <c r="Q76" s="51">
        <f>Rev_Exp!T22</f>
        <v>160</v>
      </c>
      <c r="R76" s="51">
        <f>Rev_Exp!U22</f>
        <v>164</v>
      </c>
      <c r="S76" s="51">
        <f>Rev_Exp!V22</f>
        <v>168</v>
      </c>
      <c r="T76" s="51">
        <f>Rev_Exp!W22</f>
        <v>172</v>
      </c>
      <c r="U76" s="51">
        <f>Rev_Exp!X22</f>
        <v>176</v>
      </c>
      <c r="V76" s="51">
        <f>Rev_Exp!Y22</f>
        <v>180</v>
      </c>
      <c r="W76" s="51">
        <f>Rev_Exp!Z22</f>
        <v>184</v>
      </c>
      <c r="X76" s="51">
        <f>Rev_Exp!AA22</f>
        <v>188</v>
      </c>
      <c r="Y76" s="51">
        <f>Rev_Exp!AB22</f>
        <v>192</v>
      </c>
      <c r="Z76" s="51">
        <f>Rev_Exp!AC22</f>
        <v>196</v>
      </c>
      <c r="AA76" s="51">
        <f>Rev_Exp!AD22</f>
        <v>200</v>
      </c>
      <c r="AB76" s="51">
        <f>Rev_Exp!AE22</f>
        <v>204</v>
      </c>
      <c r="AC76" s="51">
        <f>Rev_Exp!AF22</f>
        <v>208</v>
      </c>
      <c r="AD76" s="51">
        <f>Rev_Exp!AG22</f>
        <v>212</v>
      </c>
      <c r="AE76" s="51">
        <f>Rev_Exp!AH22</f>
        <v>216</v>
      </c>
      <c r="AF76" s="51">
        <f>Rev_Exp!AI22</f>
        <v>220</v>
      </c>
      <c r="AG76" s="51">
        <f>Rev_Exp!AJ22</f>
        <v>224</v>
      </c>
      <c r="AH76" s="51">
        <f>Rev_Exp!AK22</f>
        <v>228</v>
      </c>
      <c r="AI76" s="51">
        <f>Rev_Exp!AL22</f>
        <v>232</v>
      </c>
      <c r="AJ76" s="51">
        <f>Rev_Exp!AM22</f>
        <v>236</v>
      </c>
      <c r="AK76" s="51">
        <f>Rev_Exp!AN22</f>
        <v>240</v>
      </c>
      <c r="AL76" s="51">
        <f>Rev_Exp!AO22</f>
        <v>244</v>
      </c>
      <c r="AM76" s="51">
        <f>Rev_Exp!AP22</f>
        <v>248</v>
      </c>
      <c r="AN76" s="51">
        <f>Rev_Exp!AQ22</f>
        <v>252</v>
      </c>
      <c r="AO76" s="51">
        <f>Rev_Exp!AR22</f>
        <v>256</v>
      </c>
      <c r="AP76" s="51">
        <f>Rev_Exp!AS22</f>
        <v>260</v>
      </c>
    </row>
  </sheetData>
  <conditionalFormatting sqref="G73:AP73">
    <cfRule type="cellIs" dxfId="194" priority="1" operator="greaterThan">
      <formula>$G$74</formula>
    </cfRule>
  </conditionalFormatting>
  <hyperlinks>
    <hyperlink ref="A1" location="HL_Home" tooltip="Go to Table of Contents" display="HL_Home" xr:uid="{EAD413D5-0C5C-4A70-B52D-70BC5B5983FE}"/>
    <hyperlink ref="A2" location="HL_Err_Chk" tooltip="Go to Error Checks" display="HL_Err_Chk" xr:uid="{44593FCF-9A61-4BE9-B905-0A3E56CFAD0F}"/>
  </hyperlinks>
  <pageMargins left="0.39370078740157499" right="0.39370078740157499" top="0.59055118110236204" bottom="0.98425196850393704" header="0" footer="0.31496062992126"/>
  <pageSetup paperSize="9" scale="54" orientation="landscape" r:id="rId1"/>
  <headerFooter>
    <oddFooter>&amp;L&amp;F
&amp;A
Printed: &amp;T on &amp;D&amp;CPage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7C8A-55EB-4113-8AB5-0F788B6B365F}">
  <sheetPr codeName="Sheet15">
    <pageSetUpPr autoPageBreaks="0" fitToPage="1"/>
  </sheetPr>
  <dimension ref="A1:AF78"/>
  <sheetViews>
    <sheetView showGridLines="0" workbookViewId="0">
      <pane xSplit="1" ySplit="2" topLeftCell="B35" activePane="bottomRight" state="frozenSplit"/>
      <selection pane="topRight" activeCell="B1" sqref="B1"/>
      <selection pane="bottomLeft" activeCell="A3" sqref="A3"/>
      <selection pane="bottomRight" activeCell="G67" sqref="G67"/>
    </sheetView>
  </sheetViews>
  <sheetFormatPr baseColWidth="10" defaultColWidth="11.59765625" defaultRowHeight="12" outlineLevelRow="1" x14ac:dyDescent="0.15"/>
  <cols>
    <col min="1" max="1" width="3.59765625" style="51" customWidth="1"/>
    <col min="2" max="5" width="11.59765625" style="51" customWidth="1"/>
    <col min="6" max="16" width="11.59765625" style="51"/>
    <col min="17" max="17" width="3.59765625" style="51" customWidth="1"/>
    <col min="18" max="16384" width="11.59765625" style="51"/>
  </cols>
  <sheetData>
    <row r="1" spans="1:32" ht="14" x14ac:dyDescent="0.15">
      <c r="A1" s="74" t="s">
        <v>19</v>
      </c>
      <c r="B1" s="53" t="s">
        <v>233</v>
      </c>
    </row>
    <row r="2" spans="1:32" ht="13" x14ac:dyDescent="0.15">
      <c r="A2" s="293" t="s">
        <v>60</v>
      </c>
      <c r="B2" s="52" t="str">
        <f ca="1">Model_Name</f>
        <v>Venue Planning Project (Alert in Inventory)</v>
      </c>
    </row>
    <row r="4" spans="1:32" x14ac:dyDescent="0.15">
      <c r="A4" s="74" t="s">
        <v>234</v>
      </c>
      <c r="B4" s="336" t="str">
        <f>"Scenarios Summary ("&amp;INDEX(LU_Ts_Denom,DD_Ts_Denom)&amp;") - "&amp;Scenarios!$H$128</f>
        <v>Scenarios Summary (£) - FY2024</v>
      </c>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row>
    <row r="5" spans="1:32" outlineLevel="1" x14ac:dyDescent="0.15"/>
    <row r="6" spans="1:32" outlineLevel="1" x14ac:dyDescent="0.15">
      <c r="B6" s="332" t="s">
        <v>235</v>
      </c>
      <c r="C6" s="332"/>
      <c r="D6" s="332"/>
      <c r="E6" s="332"/>
      <c r="F6" s="332"/>
      <c r="G6" s="332"/>
      <c r="H6" s="332"/>
      <c r="I6" s="332" t="s">
        <v>236</v>
      </c>
      <c r="J6" s="332"/>
      <c r="K6" s="332"/>
      <c r="L6" s="332"/>
      <c r="M6" s="332"/>
      <c r="N6" s="332"/>
      <c r="O6" s="332"/>
      <c r="P6" s="332"/>
      <c r="R6" s="332" t="s">
        <v>237</v>
      </c>
      <c r="S6" s="332"/>
      <c r="T6" s="332"/>
      <c r="U6" s="332"/>
      <c r="V6" s="332"/>
      <c r="W6" s="332"/>
      <c r="X6" s="332"/>
      <c r="Y6" s="332" t="s">
        <v>238</v>
      </c>
      <c r="Z6" s="332"/>
      <c r="AA6" s="332"/>
      <c r="AB6" s="332"/>
      <c r="AC6" s="332"/>
      <c r="AD6" s="332"/>
      <c r="AE6" s="332"/>
      <c r="AF6" s="332"/>
    </row>
    <row r="7" spans="1:32" outlineLevel="1" x14ac:dyDescent="0.15"/>
    <row r="8" spans="1:32" outlineLevel="1" x14ac:dyDescent="0.15"/>
    <row r="9" spans="1:32" outlineLevel="1" x14ac:dyDescent="0.15"/>
    <row r="10" spans="1:32" outlineLevel="1" x14ac:dyDescent="0.15"/>
    <row r="11" spans="1:32" outlineLevel="1" x14ac:dyDescent="0.15"/>
    <row r="12" spans="1:32" outlineLevel="1" x14ac:dyDescent="0.15"/>
    <row r="13" spans="1:32" outlineLevel="1" x14ac:dyDescent="0.15"/>
    <row r="14" spans="1:32" outlineLevel="1" x14ac:dyDescent="0.15"/>
    <row r="15" spans="1:32" outlineLevel="1" x14ac:dyDescent="0.15"/>
    <row r="16" spans="1:32" outlineLevel="1" x14ac:dyDescent="0.15"/>
    <row r="17" spans="2:32" outlineLevel="1" x14ac:dyDescent="0.15"/>
    <row r="18" spans="2:32" outlineLevel="1" x14ac:dyDescent="0.15"/>
    <row r="19" spans="2:32" outlineLevel="1" x14ac:dyDescent="0.15"/>
    <row r="20" spans="2:32" outlineLevel="1" x14ac:dyDescent="0.15">
      <c r="B20" s="332" t="s">
        <v>239</v>
      </c>
      <c r="C20" s="332"/>
      <c r="D20" s="332"/>
      <c r="E20" s="332"/>
      <c r="F20" s="332"/>
      <c r="G20" s="332"/>
      <c r="H20" s="332"/>
      <c r="I20" s="332" t="s">
        <v>240</v>
      </c>
      <c r="J20" s="332"/>
      <c r="K20" s="332"/>
      <c r="L20" s="332"/>
      <c r="M20" s="332"/>
      <c r="N20" s="332"/>
      <c r="O20" s="332"/>
      <c r="P20" s="332"/>
      <c r="R20" s="332" t="s">
        <v>241</v>
      </c>
      <c r="S20" s="332"/>
      <c r="T20" s="332"/>
      <c r="U20" s="332"/>
      <c r="V20" s="332"/>
      <c r="W20" s="332"/>
      <c r="X20" s="332"/>
      <c r="Y20" s="332" t="s">
        <v>242</v>
      </c>
      <c r="Z20" s="332"/>
      <c r="AA20" s="332"/>
      <c r="AB20" s="332"/>
      <c r="AC20" s="332"/>
      <c r="AD20" s="332"/>
      <c r="AE20" s="332"/>
      <c r="AF20" s="332"/>
    </row>
    <row r="21" spans="2:32" outlineLevel="1" x14ac:dyDescent="0.15"/>
    <row r="22" spans="2:32" outlineLevel="1" x14ac:dyDescent="0.15"/>
    <row r="23" spans="2:32" outlineLevel="1" x14ac:dyDescent="0.15"/>
    <row r="24" spans="2:32" outlineLevel="1" x14ac:dyDescent="0.15"/>
    <row r="25" spans="2:32" outlineLevel="1" x14ac:dyDescent="0.15"/>
    <row r="26" spans="2:32" outlineLevel="1" x14ac:dyDescent="0.15"/>
    <row r="27" spans="2:32" outlineLevel="1" x14ac:dyDescent="0.15"/>
    <row r="28" spans="2:32" outlineLevel="1" x14ac:dyDescent="0.15"/>
    <row r="29" spans="2:32" outlineLevel="1" x14ac:dyDescent="0.15"/>
    <row r="30" spans="2:32" outlineLevel="1" x14ac:dyDescent="0.15"/>
    <row r="31" spans="2:32" outlineLevel="1" x14ac:dyDescent="0.15"/>
    <row r="32" spans="2:32" outlineLevel="1" x14ac:dyDescent="0.15"/>
    <row r="33" spans="2:32" outlineLevel="1" x14ac:dyDescent="0.15"/>
    <row r="34" spans="2:32" outlineLevel="1" x14ac:dyDescent="0.15">
      <c r="B34" s="332" t="str">
        <f>"Scenario "&amp;Scenarios!H141&amp;" - "&amp;Lookups!D376</f>
        <v>Scenario 1 - Base Case</v>
      </c>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row>
    <row r="35" spans="2:32" outlineLevel="1" x14ac:dyDescent="0.15"/>
    <row r="36" spans="2:32" outlineLevel="1" x14ac:dyDescent="0.15">
      <c r="B36" s="54" t="s">
        <v>61</v>
      </c>
      <c r="D36" s="83" t="str">
        <f>Scenarios!I$124</f>
        <v>Aug-23</v>
      </c>
      <c r="E36" s="83" t="str">
        <f>Scenarios!J$124</f>
        <v>Sep-23</v>
      </c>
      <c r="F36" s="83" t="str">
        <f>Scenarios!K$124</f>
        <v>Oct-23</v>
      </c>
      <c r="G36" s="83" t="str">
        <f>Scenarios!L$124</f>
        <v>Nov-23</v>
      </c>
      <c r="H36" s="83" t="str">
        <f>Scenarios!M$124</f>
        <v>Dec-23</v>
      </c>
      <c r="I36" s="83" t="str">
        <f>Scenarios!N$124</f>
        <v>Jan-24</v>
      </c>
      <c r="J36" s="83" t="str">
        <f>Scenarios!O$124</f>
        <v>Feb-24</v>
      </c>
      <c r="K36" s="83" t="str">
        <f>Scenarios!P$124</f>
        <v>Mar-24</v>
      </c>
      <c r="L36" s="83" t="str">
        <f>Scenarios!Q$124</f>
        <v>Apr-24</v>
      </c>
      <c r="M36" s="83" t="str">
        <f>Scenarios!R$124</f>
        <v>May-24</v>
      </c>
      <c r="N36" s="83" t="str">
        <f>Scenarios!S$124</f>
        <v>Jun-24</v>
      </c>
      <c r="O36" s="83" t="str">
        <f>Scenarios!T$124</f>
        <v>Jul-24</v>
      </c>
      <c r="P36" s="85" t="s">
        <v>63</v>
      </c>
      <c r="R36" s="54" t="s">
        <v>88</v>
      </c>
      <c r="T36" s="83" t="str">
        <f>Scenarios!I$124</f>
        <v>Aug-23</v>
      </c>
      <c r="U36" s="83" t="str">
        <f>Scenarios!J$124</f>
        <v>Sep-23</v>
      </c>
      <c r="V36" s="83" t="str">
        <f>Scenarios!K$124</f>
        <v>Oct-23</v>
      </c>
      <c r="W36" s="83" t="str">
        <f>Scenarios!L$124</f>
        <v>Nov-23</v>
      </c>
      <c r="X36" s="83" t="str">
        <f>Scenarios!M$124</f>
        <v>Dec-23</v>
      </c>
      <c r="Y36" s="83" t="str">
        <f>Scenarios!N$124</f>
        <v>Jan-24</v>
      </c>
      <c r="Z36" s="83" t="str">
        <f>Scenarios!O$124</f>
        <v>Feb-24</v>
      </c>
      <c r="AA36" s="83" t="str">
        <f>Scenarios!P$124</f>
        <v>Mar-24</v>
      </c>
      <c r="AB36" s="83" t="str">
        <f>Scenarios!Q$124</f>
        <v>Apr-24</v>
      </c>
      <c r="AC36" s="83" t="str">
        <f>Scenarios!R$124</f>
        <v>May-24</v>
      </c>
      <c r="AD36" s="83" t="str">
        <f>Scenarios!S$124</f>
        <v>Jun-24</v>
      </c>
      <c r="AE36" s="83" t="str">
        <f>Scenarios!T$124</f>
        <v>Jul-24</v>
      </c>
      <c r="AF36" s="85" t="str">
        <f>AE36</f>
        <v>Jul-24</v>
      </c>
    </row>
    <row r="37" spans="2:32" outlineLevel="1" x14ac:dyDescent="0.15">
      <c r="B37" s="56" t="s">
        <v>64</v>
      </c>
      <c r="D37" s="84">
        <f>IF(Scen_Db_Data_Tables_Off,Scen_Db_Data_Tables_Status_Off,Scenarios!I141)</f>
        <v>3371.0619354838709</v>
      </c>
      <c r="E37" s="84">
        <f>IF(Scen_Db_Data_Tables_Off,Scen_Db_Data_Tables_Status_Off,Scenarios!J141)</f>
        <v>5460.4498733333321</v>
      </c>
      <c r="F37" s="84">
        <f>IF(Scen_Db_Data_Tables_Off,Scen_Db_Data_Tables_Status_Off,Scenarios!K141)</f>
        <v>5658.2944516129037</v>
      </c>
      <c r="G37" s="84">
        <f>IF(Scen_Db_Data_Tables_Off,Scen_Db_Data_Tables_Status_Off,Scenarios!L141)</f>
        <v>6738.0976666666666</v>
      </c>
      <c r="H37" s="84">
        <f>IF(Scen_Db_Data_Tables_Off,Scen_Db_Data_Tables_Status_Off,Scenarios!M141)</f>
        <v>2898.1579913978489</v>
      </c>
      <c r="I37" s="84">
        <f>IF(Scen_Db_Data_Tables_Off,Scen_Db_Data_Tables_Status_Off,Scenarios!N141)</f>
        <v>5264.5171290322578</v>
      </c>
      <c r="J37" s="84">
        <f>IF(Scen_Db_Data_Tables_Off,Scen_Db_Data_Tables_Status_Off,Scenarios!O141)</f>
        <v>6074.5498666666672</v>
      </c>
      <c r="K37" s="84">
        <f>IF(Scen_Db_Data_Tables_Off,Scen_Db_Data_Tables_Status_Off,Scenarios!P141)</f>
        <v>6044.8385397849461</v>
      </c>
      <c r="L37" s="84">
        <f>IF(Scen_Db_Data_Tables_Off,Scen_Db_Data_Tables_Status_Off,Scenarios!Q141)</f>
        <v>4902.4685600000003</v>
      </c>
      <c r="M37" s="84">
        <f>IF(Scen_Db_Data_Tables_Off,Scen_Db_Data_Tables_Status_Off,Scenarios!R141)</f>
        <v>5694.5062731182788</v>
      </c>
      <c r="N37" s="84">
        <f>IF(Scen_Db_Data_Tables_Off,Scen_Db_Data_Tables_Status_Off,Scenarios!S141)</f>
        <v>5619.0533333333333</v>
      </c>
      <c r="O37" s="84">
        <f>IF(Scen_Db_Data_Tables_Off,Scen_Db_Data_Tables_Status_Off,Scenarios!T141)</f>
        <v>5209.1097290322577</v>
      </c>
      <c r="P37" s="86">
        <f>IF(Scen_Db_Data_Tables_Off,Scen_Db_Data_Tables_Status_Off,SUM(D37:O37))</f>
        <v>62935.105349462356</v>
      </c>
      <c r="R37" s="56" t="s">
        <v>177</v>
      </c>
      <c r="T37" s="81">
        <f>IF(Scen_Db_Data_Tables_Off,Scen_Db_Data_Tables_Status_Off,Scenarios!I197)</f>
        <v>56366.869850494637</v>
      </c>
      <c r="U37" s="81">
        <f>IF(Scen_Db_Data_Tables_Off,Scen_Db_Data_Tables_Status_Off,Scenarios!J197)</f>
        <v>44565.745398407664</v>
      </c>
      <c r="V37" s="81">
        <f>IF(Scen_Db_Data_Tables_Off,Scen_Db_Data_Tables_Status_Off,Scenarios!K197)</f>
        <v>93791.017492155705</v>
      </c>
      <c r="W37" s="81">
        <f>IF(Scen_Db_Data_Tables_Off,Scen_Db_Data_Tables_Status_Off,Scenarios!L197)</f>
        <v>99434.209346422373</v>
      </c>
      <c r="X37" s="81">
        <f>IF(Scen_Db_Data_Tables_Off,Scen_Db_Data_Tables_Status_Off,Scenarios!M197)</f>
        <v>77892.898421634411</v>
      </c>
      <c r="Y37" s="81">
        <f>IF(Scen_Db_Data_Tables_Off,Scen_Db_Data_Tables_Status_Off,Scenarios!N197)</f>
        <v>86016.935079136339</v>
      </c>
      <c r="Z37" s="81">
        <f>IF(Scen_Db_Data_Tables_Off,Scen_Db_Data_Tables_Status_Off,Scenarios!O197)</f>
        <v>90029.52162581333</v>
      </c>
      <c r="AA37" s="81">
        <f>IF(Scen_Db_Data_Tables_Off,Scen_Db_Data_Tables_Status_Off,Scenarios!P197)</f>
        <v>69976.570193967302</v>
      </c>
      <c r="AB37" s="81">
        <f>IF(Scen_Db_Data_Tables_Off,Scen_Db_Data_Tables_Status_Off,Scenarios!Q197)</f>
        <v>76726.490789144591</v>
      </c>
      <c r="AC37" s="81">
        <f>IF(Scen_Db_Data_Tables_Off,Scen_Db_Data_Tables_Status_Off,Scenarios!R197)</f>
        <v>79679.59382603319</v>
      </c>
      <c r="AD37" s="81">
        <f>IF(Scen_Db_Data_Tables_Off,Scen_Db_Data_Tables_Status_Off,Scenarios!S197)</f>
        <v>59829.112587495554</v>
      </c>
      <c r="AE37" s="81">
        <f>IF(Scen_Db_Data_Tables_Off,Scen_Db_Data_Tables_Status_Off,Scenarios!T197)</f>
        <v>66932.032226762138</v>
      </c>
      <c r="AF37" s="86">
        <f>IF(Scen_Db_Data_Tables_Off,Scen_Db_Data_Tables_Status_Off,AE37)</f>
        <v>66932.032226762138</v>
      </c>
    </row>
    <row r="38" spans="2:32" outlineLevel="1" x14ac:dyDescent="0.15">
      <c r="B38" s="56" t="s">
        <v>65</v>
      </c>
      <c r="D38" s="84">
        <f>IF(Scen_Db_Data_Tables_Off,Scen_Db_Data_Tables_Status_Off,-Scenarios!I148)</f>
        <v>-854.31486709677404</v>
      </c>
      <c r="E38" s="84">
        <f>IF(Scen_Db_Data_Tables_Off,Scen_Db_Data_Tables_Status_Off,-Scenarios!J148)</f>
        <v>-818.26629822666655</v>
      </c>
      <c r="F38" s="84">
        <f>IF(Scen_Db_Data_Tables_Off,Scen_Db_Data_Tables_Status_Off,-Scenarios!K148)</f>
        <v>-855.99945565591406</v>
      </c>
      <c r="G38" s="84">
        <f>IF(Scen_Db_Data_Tables_Off,Scen_Db_Data_Tables_Status_Off,-Scenarios!L148)</f>
        <v>-872.62003400000003</v>
      </c>
      <c r="H38" s="84">
        <f>IF(Scen_Db_Data_Tables_Off,Scen_Db_Data_Tables_Status_Off,-Scenarios!M148)</f>
        <v>-786.90421187956986</v>
      </c>
      <c r="I38" s="84">
        <f>IF(Scen_Db_Data_Tables_Off,Scen_Db_Data_Tables_Status_Off,-Scenarios!N148)</f>
        <v>-888.45657313978484</v>
      </c>
      <c r="J38" s="84">
        <f>IF(Scen_Db_Data_Tables_Off,Scen_Db_Data_Tables_Status_Off,-Scenarios!O148)</f>
        <v>-828.78036479999992</v>
      </c>
      <c r="K38" s="84">
        <f>IF(Scen_Db_Data_Tables_Off,Scen_Db_Data_Tables_Status_Off,-Scenarios!P148)</f>
        <v>-829.86773955698914</v>
      </c>
      <c r="L38" s="84">
        <f>IF(Scen_Db_Data_Tables_Off,Scen_Db_Data_Tables_Status_Off,-Scenarios!Q148)</f>
        <v>-848.83789317333333</v>
      </c>
      <c r="M38" s="84">
        <f>IF(Scen_Db_Data_Tables_Off,Scen_Db_Data_Tables_Status_Off,-Scenarios!R148)</f>
        <v>-894.88975449032239</v>
      </c>
      <c r="N38" s="84">
        <f>IF(Scen_Db_Data_Tables_Off,Scen_Db_Data_Tables_Status_Off,-Scenarios!S148)</f>
        <v>-794.95674666666662</v>
      </c>
      <c r="O38" s="84">
        <f>IF(Scen_Db_Data_Tables_Off,Scen_Db_Data_Tables_Status_Off,-Scenarios!T148)</f>
        <v>-891.10086953978475</v>
      </c>
      <c r="P38" s="86">
        <f>IF(Scen_Db_Data_Tables_Off,Scen_Db_Data_Tables_Status_Off,SUM(D38:O38))</f>
        <v>-10164.994808225807</v>
      </c>
      <c r="R38" s="56" t="s">
        <v>93</v>
      </c>
      <c r="T38" s="81">
        <f>IF(Scen_Db_Data_Tables_Off,Scen_Db_Data_Tables_Status_Off,Scenarios!I204)</f>
        <v>56366.869850494637</v>
      </c>
      <c r="U38" s="81">
        <f>IF(Scen_Db_Data_Tables_Off,Scen_Db_Data_Tables_Status_Off,Scenarios!J204)</f>
        <v>44565.745398407664</v>
      </c>
      <c r="V38" s="81">
        <f>IF(Scen_Db_Data_Tables_Off,Scen_Db_Data_Tables_Status_Off,Scenarios!K204)</f>
        <v>93791.017492155705</v>
      </c>
      <c r="W38" s="81">
        <f>IF(Scen_Db_Data_Tables_Off,Scen_Db_Data_Tables_Status_Off,Scenarios!L204)</f>
        <v>99434.209346422373</v>
      </c>
      <c r="X38" s="81">
        <f>IF(Scen_Db_Data_Tables_Off,Scen_Db_Data_Tables_Status_Off,Scenarios!M204)</f>
        <v>77892.898421634411</v>
      </c>
      <c r="Y38" s="81">
        <f>IF(Scen_Db_Data_Tables_Off,Scen_Db_Data_Tables_Status_Off,Scenarios!N204)</f>
        <v>86016.935079136339</v>
      </c>
      <c r="Z38" s="81">
        <f>IF(Scen_Db_Data_Tables_Off,Scen_Db_Data_Tables_Status_Off,Scenarios!O204)</f>
        <v>90029.52162581333</v>
      </c>
      <c r="AA38" s="81">
        <f>IF(Scen_Db_Data_Tables_Off,Scen_Db_Data_Tables_Status_Off,Scenarios!P204)</f>
        <v>69976.570193967302</v>
      </c>
      <c r="AB38" s="81">
        <f>IF(Scen_Db_Data_Tables_Off,Scen_Db_Data_Tables_Status_Off,Scenarios!Q204)</f>
        <v>76726.490789144591</v>
      </c>
      <c r="AC38" s="81">
        <f>IF(Scen_Db_Data_Tables_Off,Scen_Db_Data_Tables_Status_Off,Scenarios!R204)</f>
        <v>79679.59382603319</v>
      </c>
      <c r="AD38" s="81">
        <f>IF(Scen_Db_Data_Tables_Off,Scen_Db_Data_Tables_Status_Off,Scenarios!S204)</f>
        <v>59829.112587495554</v>
      </c>
      <c r="AE38" s="81">
        <f>IF(Scen_Db_Data_Tables_Off,Scen_Db_Data_Tables_Status_Off,Scenarios!T204)</f>
        <v>66932.032226762138</v>
      </c>
      <c r="AF38" s="86">
        <f>IF(Scen_Db_Data_Tables_Off,Scen_Db_Data_Tables_Status_Off,AE38)</f>
        <v>66932.032226762138</v>
      </c>
    </row>
    <row r="39" spans="2:32" outlineLevel="1" x14ac:dyDescent="0.15">
      <c r="B39" s="54" t="s">
        <v>66</v>
      </c>
      <c r="D39" s="88">
        <f t="shared" ref="D39:P39" si="0">IF(Scen_Db_Data_Tables_Off,Scen_Db_Data_Tables_Status_Off,SUM(D37:D38))</f>
        <v>2516.747068387097</v>
      </c>
      <c r="E39" s="88">
        <f t="shared" si="0"/>
        <v>4642.1835751066656</v>
      </c>
      <c r="F39" s="88">
        <f t="shared" si="0"/>
        <v>4802.2949959569896</v>
      </c>
      <c r="G39" s="88">
        <f t="shared" si="0"/>
        <v>5865.477632666667</v>
      </c>
      <c r="H39" s="88">
        <f t="shared" si="0"/>
        <v>2111.2537795182789</v>
      </c>
      <c r="I39" s="88">
        <f t="shared" si="0"/>
        <v>4376.0605558924726</v>
      </c>
      <c r="J39" s="88">
        <f t="shared" si="0"/>
        <v>5245.7695018666673</v>
      </c>
      <c r="K39" s="88">
        <f t="shared" si="0"/>
        <v>5214.9708002279567</v>
      </c>
      <c r="L39" s="88">
        <f t="shared" si="0"/>
        <v>4053.630666826667</v>
      </c>
      <c r="M39" s="88">
        <f t="shared" si="0"/>
        <v>4799.6165186279568</v>
      </c>
      <c r="N39" s="88">
        <f t="shared" si="0"/>
        <v>4824.0965866666666</v>
      </c>
      <c r="O39" s="88">
        <f t="shared" si="0"/>
        <v>4318.0088594924728</v>
      </c>
      <c r="P39" s="89">
        <f t="shared" si="0"/>
        <v>52770.11054123655</v>
      </c>
      <c r="R39" s="56" t="s">
        <v>97</v>
      </c>
      <c r="T39" s="81">
        <f>IF(Scen_Db_Data_Tables_Off,Scen_Db_Data_Tables_Status_Off,Scenarios!I211)</f>
        <v>265951.89762827242</v>
      </c>
      <c r="U39" s="81">
        <f>IF(Scen_Db_Data_Tables_Off,Scen_Db_Data_Tables_Status_Off,Scenarios!J211)</f>
        <v>248350.57873174097</v>
      </c>
      <c r="V39" s="81">
        <f>IF(Scen_Db_Data_Tables_Off,Scen_Db_Data_Tables_Status_Off,Scenarios!K211)</f>
        <v>291775.6563810446</v>
      </c>
      <c r="W39" s="81">
        <f>IF(Scen_Db_Data_Tables_Off,Scen_Db_Data_Tables_Status_Off,Scenarios!L211)</f>
        <v>291618.65379086678</v>
      </c>
      <c r="X39" s="81">
        <f>IF(Scen_Db_Data_Tables_Off,Scen_Db_Data_Tables_Status_Off,Scenarios!M211)</f>
        <v>264277.1484216344</v>
      </c>
      <c r="Y39" s="81">
        <f>IF(Scen_Db_Data_Tables_Off,Scen_Db_Data_Tables_Status_Off,Scenarios!N211)</f>
        <v>266600.9906346919</v>
      </c>
      <c r="Z39" s="81">
        <f>IF(Scen_Db_Data_Tables_Off,Scen_Db_Data_Tables_Status_Off,Scenarios!O211)</f>
        <v>264813.3827369244</v>
      </c>
      <c r="AA39" s="81">
        <f>IF(Scen_Db_Data_Tables_Off,Scen_Db_Data_Tables_Status_Off,Scenarios!P211)</f>
        <v>238960.23686063394</v>
      </c>
      <c r="AB39" s="81">
        <f>IF(Scen_Db_Data_Tables_Off,Scen_Db_Data_Tables_Status_Off,Scenarios!Q211)</f>
        <v>239909.96301136675</v>
      </c>
      <c r="AC39" s="81">
        <f>IF(Scen_Db_Data_Tables_Off,Scen_Db_Data_Tables_Status_Off,Scenarios!R211)</f>
        <v>237062.87160381093</v>
      </c>
      <c r="AD39" s="81">
        <f>IF(Scen_Db_Data_Tables_Off,Scen_Db_Data_Tables_Status_Off,Scenarios!S211)</f>
        <v>211412.19592082882</v>
      </c>
      <c r="AE39" s="81">
        <f>IF(Scen_Db_Data_Tables_Off,Scen_Db_Data_Tables_Status_Off,Scenarios!T211)</f>
        <v>212714.92111565097</v>
      </c>
      <c r="AF39" s="86">
        <f>IF(Scen_Db_Data_Tables_Off,Scen_Db_Data_Tables_Status_Off,AE39)</f>
        <v>212714.92111565097</v>
      </c>
    </row>
    <row r="40" spans="2:32" outlineLevel="1" x14ac:dyDescent="0.15">
      <c r="B40" s="56" t="s">
        <v>243</v>
      </c>
      <c r="D40" s="84">
        <f>IF(Scen_Db_Data_Tables_Off,Scen_Db_Data_Tables_Status_Off,-Scenarios!I160)</f>
        <v>-6676.2466959139792</v>
      </c>
      <c r="E40" s="84">
        <f>IF(Scen_Db_Data_Tables_Off,Scen_Db_Data_Tables_Status_Off,-Scenarios!J160)</f>
        <v>-6724.7132305466675</v>
      </c>
      <c r="F40" s="84">
        <f>IF(Scen_Db_Data_Tables_Off,Scen_Db_Data_Tables_Status_Off,-Scenarios!K160)</f>
        <v>-6731.5658112688179</v>
      </c>
      <c r="G40" s="84">
        <f>IF(Scen_Db_Data_Tables_Off,Scen_Db_Data_Tables_Status_Off,-Scenarios!L160)</f>
        <v>-6757.8214820000003</v>
      </c>
      <c r="H40" s="84">
        <f>IF(Scen_Db_Data_Tables_Off,Scen_Db_Data_Tables_Status_Off,-Scenarios!M160)</f>
        <v>-6675.8428091440865</v>
      </c>
      <c r="I40" s="84">
        <f>IF(Scen_Db_Data_Tables_Off,Scen_Db_Data_Tables_Status_Off,-Scenarios!N160)</f>
        <v>-6730.402710172044</v>
      </c>
      <c r="J40" s="84">
        <f>IF(Scen_Db_Data_Tables_Off,Scen_Db_Data_Tables_Status_Off,-Scenarios!O160)</f>
        <v>-7865.8234304000007</v>
      </c>
      <c r="K40" s="84">
        <f>IF(Scen_Db_Data_Tables_Off,Scen_Db_Data_Tables_Status_Off,-Scenarios!P160)</f>
        <v>-7867.6697812086031</v>
      </c>
      <c r="L40" s="84">
        <f>IF(Scen_Db_Data_Tables_Off,Scen_Db_Data_Tables_Status_Off,-Scenarios!Q160)</f>
        <v>-7898.137641653334</v>
      </c>
      <c r="M40" s="84">
        <f>IF(Scen_Db_Data_Tables_Off,Scen_Db_Data_Tables_Status_Off,-Scenarios!R160)</f>
        <v>-7971.162471341936</v>
      </c>
      <c r="N40" s="84">
        <f>IF(Scen_Db_Data_Tables_Off,Scen_Db_Data_Tables_Status_Off,-Scenarios!S160)</f>
        <v>-7812.7025066666674</v>
      </c>
      <c r="O40" s="84">
        <f>IF(Scen_Db_Data_Tables_Off,Scen_Db_Data_Tables_Status_Off,-Scenarios!T160)</f>
        <v>-7965.4837473720436</v>
      </c>
      <c r="P40" s="86">
        <f>IF(Scen_Db_Data_Tables_Off,Scen_Db_Data_Tables_Status_Off,SUM(D40:O40))</f>
        <v>-87677.572317688173</v>
      </c>
      <c r="R40" s="56" t="s">
        <v>110</v>
      </c>
      <c r="T40" s="81">
        <f>IF(Scen_Db_Data_Tables_Off,Scen_Db_Data_Tables_Status_Off,Scenarios!I218)</f>
        <v>265661.36947802152</v>
      </c>
      <c r="U40" s="81">
        <f>IF(Scen_Db_Data_Tables_Off,Scen_Db_Data_Tables_Status_Off,Scenarios!J218)</f>
        <v>255942.77468137455</v>
      </c>
      <c r="V40" s="81">
        <f>IF(Scen_Db_Data_Tables_Off,Scen_Db_Data_Tables_Status_Off,Scenarios!K218)</f>
        <v>307097.3175904344</v>
      </c>
      <c r="W40" s="81">
        <f>IF(Scen_Db_Data_Tables_Off,Scen_Db_Data_Tables_Status_Off,Scenarios!L218)</f>
        <v>313632.85329403443</v>
      </c>
      <c r="X40" s="81">
        <f>IF(Scen_Db_Data_Tables_Off,Scen_Db_Data_Tables_Status_Off,Scenarios!M218)</f>
        <v>296656.13139887224</v>
      </c>
      <c r="Y40" s="81">
        <f>IF(Scen_Db_Data_Tables_Off,Scen_Db_Data_Tables_Status_Off,Scenarios!N218)</f>
        <v>307134.51021065377</v>
      </c>
      <c r="Z40" s="81">
        <f>IF(Scen_Db_Data_Tables_Off,Scen_Db_Data_Tables_Status_Off,Scenarios!O218)</f>
        <v>313767.15068586409</v>
      </c>
      <c r="AA40" s="81">
        <f>IF(Scen_Db_Data_Tables_Off,Scen_Db_Data_Tables_Status_Off,Scenarios!P218)</f>
        <v>296366.89823499869</v>
      </c>
      <c r="AB40" s="81">
        <f>IF(Scen_Db_Data_Tables_Off,Scen_Db_Data_Tables_Status_Off,Scenarios!Q218)</f>
        <v>306961.32580500265</v>
      </c>
      <c r="AC40" s="81">
        <f>IF(Scen_Db_Data_Tables_Off,Scen_Db_Data_Tables_Status_Off,Scenarios!R218)</f>
        <v>313085.97479460522</v>
      </c>
      <c r="AD40" s="81">
        <f>IF(Scen_Db_Data_Tables_Off,Scen_Db_Data_Tables_Status_Off,Scenarios!S218)</f>
        <v>296224.09947606758</v>
      </c>
      <c r="AE40" s="81">
        <f>IF(Scen_Db_Data_Tables_Off,Scen_Db_Data_Tables_Status_Off,Scenarios!T218)</f>
        <v>306974.49400321377</v>
      </c>
      <c r="AF40" s="86">
        <f>IF(Scen_Db_Data_Tables_Off,Scen_Db_Data_Tables_Status_Off,AE40)</f>
        <v>306974.49400321377</v>
      </c>
    </row>
    <row r="41" spans="2:32" outlineLevel="1" x14ac:dyDescent="0.15">
      <c r="B41" s="54" t="s">
        <v>72</v>
      </c>
      <c r="D41" s="88">
        <f t="shared" ref="D41:P41" si="1">IF(Scen_Db_Data_Tables_Off,Scen_Db_Data_Tables_Status_Off,SUM(D39:D40))</f>
        <v>-4159.4996275268823</v>
      </c>
      <c r="E41" s="88">
        <f t="shared" si="1"/>
        <v>-2082.529655440002</v>
      </c>
      <c r="F41" s="88">
        <f t="shared" si="1"/>
        <v>-1929.2708153118283</v>
      </c>
      <c r="G41" s="88">
        <f t="shared" si="1"/>
        <v>-892.34384933333331</v>
      </c>
      <c r="H41" s="88">
        <f t="shared" si="1"/>
        <v>-4564.5890296258076</v>
      </c>
      <c r="I41" s="88">
        <f t="shared" si="1"/>
        <v>-2354.3421542795713</v>
      </c>
      <c r="J41" s="88">
        <f t="shared" si="1"/>
        <v>-2620.0539285333334</v>
      </c>
      <c r="K41" s="88">
        <f t="shared" si="1"/>
        <v>-2652.6989809806464</v>
      </c>
      <c r="L41" s="88">
        <f t="shared" si="1"/>
        <v>-3844.5069748266669</v>
      </c>
      <c r="M41" s="88">
        <f t="shared" si="1"/>
        <v>-3171.5459527139792</v>
      </c>
      <c r="N41" s="88">
        <f t="shared" si="1"/>
        <v>-2988.6059200000009</v>
      </c>
      <c r="O41" s="88">
        <f t="shared" si="1"/>
        <v>-3647.4748878795708</v>
      </c>
      <c r="P41" s="89">
        <f t="shared" si="1"/>
        <v>-34907.461776451622</v>
      </c>
      <c r="R41" s="54" t="s">
        <v>103</v>
      </c>
      <c r="T41" s="90">
        <f>IF(Scen_Db_Data_Tables_Off,Scen_Db_Data_Tables_Status_Off,Scenarios!I223)</f>
        <v>290.5281502509024</v>
      </c>
      <c r="U41" s="90">
        <f>IF(Scen_Db_Data_Tables_Off,Scen_Db_Data_Tables_Status_Off,Scenarios!J223)</f>
        <v>-7592.1959496335767</v>
      </c>
      <c r="V41" s="90">
        <f>IF(Scen_Db_Data_Tables_Off,Scen_Db_Data_Tables_Status_Off,Scenarios!K223)</f>
        <v>-15321.6612093898</v>
      </c>
      <c r="W41" s="90">
        <f>IF(Scen_Db_Data_Tables_Off,Scen_Db_Data_Tables_Status_Off,Scenarios!L223)</f>
        <v>-22014.199503167649</v>
      </c>
      <c r="X41" s="90">
        <f>IF(Scen_Db_Data_Tables_Off,Scen_Db_Data_Tables_Status_Off,Scenarios!M223)</f>
        <v>-32378.982977237843</v>
      </c>
      <c r="Y41" s="90">
        <f>IF(Scen_Db_Data_Tables_Off,Scen_Db_Data_Tables_Status_Off,Scenarios!N223)</f>
        <v>-40533.519575961865</v>
      </c>
      <c r="Z41" s="90">
        <f>IF(Scen_Db_Data_Tables_Off,Scen_Db_Data_Tables_Status_Off,Scenarios!O223)</f>
        <v>-48953.767948939698</v>
      </c>
      <c r="AA41" s="90">
        <f>IF(Scen_Db_Data_Tables_Off,Scen_Db_Data_Tables_Status_Off,Scenarios!P223)</f>
        <v>-57406.661374364747</v>
      </c>
      <c r="AB41" s="90">
        <f>IF(Scen_Db_Data_Tables_Off,Scen_Db_Data_Tables_Status_Off,Scenarios!Q223)</f>
        <v>-67051.362793635897</v>
      </c>
      <c r="AC41" s="90">
        <f>IF(Scen_Db_Data_Tables_Off,Scen_Db_Data_Tables_Status_Off,Scenarios!R223)</f>
        <v>-76023.103190794296</v>
      </c>
      <c r="AD41" s="90">
        <f>IF(Scen_Db_Data_Tables_Off,Scen_Db_Data_Tables_Status_Off,Scenarios!S223)</f>
        <v>-84811.903555238765</v>
      </c>
      <c r="AE41" s="90">
        <f>IF(Scen_Db_Data_Tables_Off,Scen_Db_Data_Tables_Status_Off,Scenarios!T223)</f>
        <v>-94259.572887562797</v>
      </c>
      <c r="AF41" s="89">
        <f>IF(Scen_Db_Data_Tables_Off,Scen_Db_Data_Tables_Status_Off,AE41)</f>
        <v>-94259.572887562797</v>
      </c>
    </row>
    <row r="42" spans="2:32" outlineLevel="1" x14ac:dyDescent="0.15">
      <c r="B42" s="56" t="s">
        <v>75</v>
      </c>
      <c r="D42" s="84">
        <f>IF(Scen_Db_Data_Tables_Off,Scen_Db_Data_Tables_Status_Off,-Scenarios!I167)</f>
        <v>-2952.9722222222222</v>
      </c>
      <c r="E42" s="84">
        <f>IF(Scen_Db_Data_Tables_Off,Scen_Db_Data_Tables_Status_Off,-Scenarios!J167)</f>
        <v>-5800.1944444444443</v>
      </c>
      <c r="F42" s="84">
        <f>IF(Scen_Db_Data_Tables_Off,Scen_Db_Data_Tables_Status_Off,-Scenarios!K167)</f>
        <v>-5800.1944444444443</v>
      </c>
      <c r="G42" s="84">
        <f>IF(Scen_Db_Data_Tables_Off,Scen_Db_Data_Tables_Status_Off,-Scenarios!L167)</f>
        <v>-5800.1944444444443</v>
      </c>
      <c r="H42" s="84">
        <f>IF(Scen_Db_Data_Tables_Off,Scen_Db_Data_Tables_Status_Off,-Scenarios!M167)</f>
        <v>-5800.1944444444443</v>
      </c>
      <c r="I42" s="84">
        <f>IF(Scen_Db_Data_Tables_Off,Scen_Db_Data_Tables_Status_Off,-Scenarios!N167)</f>
        <v>-5800.1944444444443</v>
      </c>
      <c r="J42" s="84">
        <f>IF(Scen_Db_Data_Tables_Off,Scen_Db_Data_Tables_Status_Off,-Scenarios!O167)</f>
        <v>-5800.1944444444443</v>
      </c>
      <c r="K42" s="84">
        <f>IF(Scen_Db_Data_Tables_Off,Scen_Db_Data_Tables_Status_Off,-Scenarios!P167)</f>
        <v>-5800.1944444444443</v>
      </c>
      <c r="L42" s="84">
        <f>IF(Scen_Db_Data_Tables_Off,Scen_Db_Data_Tables_Status_Off,-Scenarios!Q167)</f>
        <v>-5800.1944444444443</v>
      </c>
      <c r="M42" s="84">
        <f>IF(Scen_Db_Data_Tables_Off,Scen_Db_Data_Tables_Status_Off,-Scenarios!R167)</f>
        <v>-5800.1944444444443</v>
      </c>
      <c r="N42" s="84">
        <f>IF(Scen_Db_Data_Tables_Off,Scen_Db_Data_Tables_Status_Off,-Scenarios!S167)</f>
        <v>-5800.1944444444443</v>
      </c>
      <c r="O42" s="84">
        <f>IF(Scen_Db_Data_Tables_Off,Scen_Db_Data_Tables_Status_Off,-Scenarios!T167)</f>
        <v>-5800.1944444444443</v>
      </c>
      <c r="P42" s="86">
        <f>IF(Scen_Db_Data_Tables_Off,Scen_Db_Data_Tables_Status_Off,SUM(D42:O42))</f>
        <v>-66755.111111111109</v>
      </c>
    </row>
    <row r="43" spans="2:32" outlineLevel="1" x14ac:dyDescent="0.15">
      <c r="B43" s="54" t="s">
        <v>76</v>
      </c>
      <c r="D43" s="88">
        <f t="shared" ref="D43:P43" si="2">IF(Scen_Db_Data_Tables_Off,Scen_Db_Data_Tables_Status_Off,SUM(D41:D42))</f>
        <v>-7112.4718497491049</v>
      </c>
      <c r="E43" s="88">
        <f t="shared" si="2"/>
        <v>-7882.7240998844463</v>
      </c>
      <c r="F43" s="88">
        <f t="shared" si="2"/>
        <v>-7729.4652597562726</v>
      </c>
      <c r="G43" s="88">
        <f t="shared" si="2"/>
        <v>-6692.5382937777777</v>
      </c>
      <c r="H43" s="88">
        <f t="shared" si="2"/>
        <v>-10364.783474070253</v>
      </c>
      <c r="I43" s="88">
        <f t="shared" si="2"/>
        <v>-8154.5365987240157</v>
      </c>
      <c r="J43" s="88">
        <f t="shared" si="2"/>
        <v>-8420.2483729777778</v>
      </c>
      <c r="K43" s="88">
        <f t="shared" si="2"/>
        <v>-8452.8934254250908</v>
      </c>
      <c r="L43" s="88">
        <f t="shared" si="2"/>
        <v>-9644.7014192711104</v>
      </c>
      <c r="M43" s="88">
        <f t="shared" si="2"/>
        <v>-8971.7403971584245</v>
      </c>
      <c r="N43" s="88">
        <f t="shared" si="2"/>
        <v>-8788.8003644444452</v>
      </c>
      <c r="O43" s="88">
        <f t="shared" si="2"/>
        <v>-9447.6693323240142</v>
      </c>
      <c r="P43" s="89">
        <f t="shared" si="2"/>
        <v>-101662.57288756274</v>
      </c>
      <c r="R43" s="54" t="s">
        <v>116</v>
      </c>
      <c r="T43" s="83" t="str">
        <f>Scenarios!I$124</f>
        <v>Aug-23</v>
      </c>
      <c r="U43" s="83" t="str">
        <f>Scenarios!J$124</f>
        <v>Sep-23</v>
      </c>
      <c r="V43" s="83" t="str">
        <f>Scenarios!K$124</f>
        <v>Oct-23</v>
      </c>
      <c r="W43" s="83" t="str">
        <f>Scenarios!L$124</f>
        <v>Nov-23</v>
      </c>
      <c r="X43" s="83" t="str">
        <f>Scenarios!M$124</f>
        <v>Dec-23</v>
      </c>
      <c r="Y43" s="83" t="str">
        <f>Scenarios!N$124</f>
        <v>Jan-24</v>
      </c>
      <c r="Z43" s="83" t="str">
        <f>Scenarios!O$124</f>
        <v>Feb-24</v>
      </c>
      <c r="AA43" s="83" t="str">
        <f>Scenarios!P$124</f>
        <v>Mar-24</v>
      </c>
      <c r="AB43" s="83" t="str">
        <f>Scenarios!Q$124</f>
        <v>Apr-24</v>
      </c>
      <c r="AC43" s="83" t="str">
        <f>Scenarios!R$124</f>
        <v>May-24</v>
      </c>
      <c r="AD43" s="83" t="str">
        <f>Scenarios!S$124</f>
        <v>Jun-24</v>
      </c>
      <c r="AE43" s="83" t="str">
        <f>Scenarios!T$124</f>
        <v>Jul-24</v>
      </c>
      <c r="AF43" s="85" t="s">
        <v>63</v>
      </c>
    </row>
    <row r="44" spans="2:32" outlineLevel="1" x14ac:dyDescent="0.15">
      <c r="B44" s="56" t="s">
        <v>78</v>
      </c>
      <c r="D44" s="84">
        <f>IF(Scen_Db_Data_Tables_Off,Scen_Db_Data_Tables_Status_Off,-Scenarios!I174)</f>
        <v>0</v>
      </c>
      <c r="E44" s="84">
        <f>IF(Scen_Db_Data_Tables_Off,Scen_Db_Data_Tables_Status_Off,-Scenarios!J174)</f>
        <v>0</v>
      </c>
      <c r="F44" s="84">
        <f>IF(Scen_Db_Data_Tables_Off,Scen_Db_Data_Tables_Status_Off,-Scenarios!K174)</f>
        <v>0</v>
      </c>
      <c r="G44" s="84">
        <f>IF(Scen_Db_Data_Tables_Off,Scen_Db_Data_Tables_Status_Off,-Scenarios!L174)</f>
        <v>0</v>
      </c>
      <c r="H44" s="84">
        <f>IF(Scen_Db_Data_Tables_Off,Scen_Db_Data_Tables_Status_Off,-Scenarios!M174)</f>
        <v>0</v>
      </c>
      <c r="I44" s="84">
        <f>IF(Scen_Db_Data_Tables_Off,Scen_Db_Data_Tables_Status_Off,-Scenarios!N174)</f>
        <v>0</v>
      </c>
      <c r="J44" s="84">
        <f>IF(Scen_Db_Data_Tables_Off,Scen_Db_Data_Tables_Status_Off,-Scenarios!O174)</f>
        <v>0</v>
      </c>
      <c r="K44" s="84">
        <f>IF(Scen_Db_Data_Tables_Off,Scen_Db_Data_Tables_Status_Off,-Scenarios!P174)</f>
        <v>0</v>
      </c>
      <c r="L44" s="84">
        <f>IF(Scen_Db_Data_Tables_Off,Scen_Db_Data_Tables_Status_Off,-Scenarios!Q174)</f>
        <v>0</v>
      </c>
      <c r="M44" s="84">
        <f>IF(Scen_Db_Data_Tables_Off,Scen_Db_Data_Tables_Status_Off,-Scenarios!R174)</f>
        <v>0</v>
      </c>
      <c r="N44" s="84">
        <f>IF(Scen_Db_Data_Tables_Off,Scen_Db_Data_Tables_Status_Off,-Scenarios!S174)</f>
        <v>0</v>
      </c>
      <c r="O44" s="84">
        <f>IF(Scen_Db_Data_Tables_Off,Scen_Db_Data_Tables_Status_Off,-Scenarios!T174)</f>
        <v>0</v>
      </c>
      <c r="P44" s="86">
        <f>IF(Scen_Db_Data_Tables_Off,Scen_Db_Data_Tables_Status_Off,SUM(D44:O44))</f>
        <v>0</v>
      </c>
      <c r="R44" s="56" t="s">
        <v>132</v>
      </c>
      <c r="T44" s="81">
        <f>IF(Scen_Db_Data_Tables_Off,Scen_Db_Data_Tables_Status_Off,Scenarios!I232)</f>
        <v>-44839.13014950537</v>
      </c>
      <c r="U44" s="81">
        <f>IF(Scen_Db_Data_Tables_Off,Scen_Db_Data_Tables_Status_Off,Scenarios!J232)</f>
        <v>-11801.124452086973</v>
      </c>
      <c r="V44" s="81">
        <f>IF(Scen_Db_Data_Tables_Off,Scen_Db_Data_Tables_Status_Off,Scenarios!K232)</f>
        <v>49225.272093748041</v>
      </c>
      <c r="W44" s="81">
        <f>IF(Scen_Db_Data_Tables_Off,Scen_Db_Data_Tables_Status_Off,Scenarios!L232)</f>
        <v>5643.1918542666654</v>
      </c>
      <c r="X44" s="81">
        <f>IF(Scen_Db_Data_Tables_Off,Scen_Db_Data_Tables_Status_Off,Scenarios!M232)</f>
        <v>-21541.310924787958</v>
      </c>
      <c r="Y44" s="81">
        <f>IF(Scen_Db_Data_Tables_Off,Scen_Db_Data_Tables_Status_Off,Scenarios!N232)</f>
        <v>8124.0366575019361</v>
      </c>
      <c r="Z44" s="81">
        <f>IF(Scen_Db_Data_Tables_Off,Scen_Db_Data_Tables_Status_Off,Scenarios!O232)</f>
        <v>4012.5865466769901</v>
      </c>
      <c r="AA44" s="81">
        <f>IF(Scen_Db_Data_Tables_Off,Scen_Db_Data_Tables_Status_Off,Scenarios!P232)</f>
        <v>-20052.951431846024</v>
      </c>
      <c r="AB44" s="81">
        <f>IF(Scen_Db_Data_Tables_Off,Scen_Db_Data_Tables_Status_Off,Scenarios!Q232)</f>
        <v>6749.9205951772892</v>
      </c>
      <c r="AC44" s="81">
        <f>IF(Scen_Db_Data_Tables_Off,Scen_Db_Data_Tables_Status_Off,Scenarios!R232)</f>
        <v>2953.1030368886022</v>
      </c>
      <c r="AD44" s="81">
        <f>IF(Scen_Db_Data_Tables_Off,Scen_Db_Data_Tables_Status_Off,Scenarios!S232)</f>
        <v>-19850.481238537635</v>
      </c>
      <c r="AE44" s="81">
        <f>IF(Scen_Db_Data_Tables_Off,Scen_Db_Data_Tables_Status_Off,Scenarios!T232)</f>
        <v>7102.9196392665808</v>
      </c>
      <c r="AF44" s="86">
        <f>IF(Scen_Db_Data_Tables_Off,Scen_Db_Data_Tables_Status_Off,SUM(T44:AE44))</f>
        <v>-34273.967773237855</v>
      </c>
    </row>
    <row r="45" spans="2:32" outlineLevel="1" x14ac:dyDescent="0.15">
      <c r="B45" s="54" t="s">
        <v>79</v>
      </c>
      <c r="D45" s="88">
        <f t="shared" ref="D45:P45" si="3">IF(Scen_Db_Data_Tables_Off,Scen_Db_Data_Tables_Status_Off,SUM(D43:D44))</f>
        <v>-7112.4718497491049</v>
      </c>
      <c r="E45" s="88">
        <f t="shared" si="3"/>
        <v>-7882.7240998844463</v>
      </c>
      <c r="F45" s="88">
        <f t="shared" si="3"/>
        <v>-7729.4652597562726</v>
      </c>
      <c r="G45" s="88">
        <f t="shared" si="3"/>
        <v>-6692.5382937777777</v>
      </c>
      <c r="H45" s="88">
        <f t="shared" si="3"/>
        <v>-10364.783474070253</v>
      </c>
      <c r="I45" s="88">
        <f t="shared" si="3"/>
        <v>-8154.5365987240157</v>
      </c>
      <c r="J45" s="88">
        <f t="shared" si="3"/>
        <v>-8420.2483729777778</v>
      </c>
      <c r="K45" s="88">
        <f t="shared" si="3"/>
        <v>-8452.8934254250908</v>
      </c>
      <c r="L45" s="88">
        <f t="shared" si="3"/>
        <v>-9644.7014192711104</v>
      </c>
      <c r="M45" s="88">
        <f t="shared" si="3"/>
        <v>-8971.7403971584245</v>
      </c>
      <c r="N45" s="88">
        <f t="shared" si="3"/>
        <v>-8788.8003644444452</v>
      </c>
      <c r="O45" s="88">
        <f t="shared" si="3"/>
        <v>-9447.6693323240142</v>
      </c>
      <c r="P45" s="89">
        <f t="shared" si="3"/>
        <v>-101662.57288756274</v>
      </c>
      <c r="R45" s="56" t="s">
        <v>135</v>
      </c>
      <c r="T45" s="81">
        <f>IF(Scen_Db_Data_Tables_Off,Scen_Db_Data_Tables_Status_Off,Scenarios!I239)</f>
        <v>-210000</v>
      </c>
      <c r="U45" s="81">
        <f>IF(Scen_Db_Data_Tables_Off,Scen_Db_Data_Tables_Status_Off,Scenarios!J239)</f>
        <v>0</v>
      </c>
      <c r="V45" s="81">
        <f>IF(Scen_Db_Data_Tables_Off,Scen_Db_Data_Tables_Status_Off,Scenarios!K239)</f>
        <v>0</v>
      </c>
      <c r="W45" s="81">
        <f>IF(Scen_Db_Data_Tables_Off,Scen_Db_Data_Tables_Status_Off,Scenarios!L239)</f>
        <v>0</v>
      </c>
      <c r="X45" s="81">
        <f>IF(Scen_Db_Data_Tables_Off,Scen_Db_Data_Tables_Status_Off,Scenarios!M239)</f>
        <v>0</v>
      </c>
      <c r="Y45" s="81">
        <f>IF(Scen_Db_Data_Tables_Off,Scen_Db_Data_Tables_Status_Off,Scenarios!N239)</f>
        <v>0</v>
      </c>
      <c r="Z45" s="81">
        <f>IF(Scen_Db_Data_Tables_Off,Scen_Db_Data_Tables_Status_Off,Scenarios!O239)</f>
        <v>0</v>
      </c>
      <c r="AA45" s="81">
        <f>IF(Scen_Db_Data_Tables_Off,Scen_Db_Data_Tables_Status_Off,Scenarios!P239)</f>
        <v>0</v>
      </c>
      <c r="AB45" s="81">
        <f>IF(Scen_Db_Data_Tables_Off,Scen_Db_Data_Tables_Status_Off,Scenarios!Q239)</f>
        <v>0</v>
      </c>
      <c r="AC45" s="81">
        <f>IF(Scen_Db_Data_Tables_Off,Scen_Db_Data_Tables_Status_Off,Scenarios!R239)</f>
        <v>0</v>
      </c>
      <c r="AD45" s="81">
        <f>IF(Scen_Db_Data_Tables_Off,Scen_Db_Data_Tables_Status_Off,Scenarios!S239)</f>
        <v>0</v>
      </c>
      <c r="AE45" s="81">
        <f>IF(Scen_Db_Data_Tables_Off,Scen_Db_Data_Tables_Status_Off,Scenarios!T239)</f>
        <v>0</v>
      </c>
      <c r="AF45" s="86">
        <f>IF(Scen_Db_Data_Tables_Off,Scen_Db_Data_Tables_Status_Off,SUM(T45:AE45))</f>
        <v>-210000</v>
      </c>
    </row>
    <row r="46" spans="2:32" outlineLevel="1" x14ac:dyDescent="0.15">
      <c r="B46" s="56" t="s">
        <v>81</v>
      </c>
      <c r="D46" s="84">
        <f>IF(Scen_Db_Data_Tables_Off,Scen_Db_Data_Tables_Status_Off,-Scenarios!I181)</f>
        <v>0</v>
      </c>
      <c r="E46" s="84">
        <f>IF(Scen_Db_Data_Tables_Off,Scen_Db_Data_Tables_Status_Off,-Scenarios!J181)</f>
        <v>0</v>
      </c>
      <c r="F46" s="84">
        <f>IF(Scen_Db_Data_Tables_Off,Scen_Db_Data_Tables_Status_Off,-Scenarios!K181)</f>
        <v>0</v>
      </c>
      <c r="G46" s="84">
        <f>IF(Scen_Db_Data_Tables_Off,Scen_Db_Data_Tables_Status_Off,-Scenarios!L181)</f>
        <v>0</v>
      </c>
      <c r="H46" s="84">
        <f>IF(Scen_Db_Data_Tables_Off,Scen_Db_Data_Tables_Status_Off,-Scenarios!M181)</f>
        <v>0</v>
      </c>
      <c r="I46" s="84">
        <f>IF(Scen_Db_Data_Tables_Off,Scen_Db_Data_Tables_Status_Off,-Scenarios!N181)</f>
        <v>0</v>
      </c>
      <c r="J46" s="84">
        <f>IF(Scen_Db_Data_Tables_Off,Scen_Db_Data_Tables_Status_Off,-Scenarios!O181)</f>
        <v>0</v>
      </c>
      <c r="K46" s="84">
        <f>IF(Scen_Db_Data_Tables_Off,Scen_Db_Data_Tables_Status_Off,-Scenarios!P181)</f>
        <v>0</v>
      </c>
      <c r="L46" s="84">
        <f>IF(Scen_Db_Data_Tables_Off,Scen_Db_Data_Tables_Status_Off,-Scenarios!Q181)</f>
        <v>0</v>
      </c>
      <c r="M46" s="84">
        <f>IF(Scen_Db_Data_Tables_Off,Scen_Db_Data_Tables_Status_Off,-Scenarios!R181)</f>
        <v>0</v>
      </c>
      <c r="N46" s="84">
        <f>IF(Scen_Db_Data_Tables_Off,Scen_Db_Data_Tables_Status_Off,-Scenarios!S181)</f>
        <v>0</v>
      </c>
      <c r="O46" s="84">
        <f>IF(Scen_Db_Data_Tables_Off,Scen_Db_Data_Tables_Status_Off,-Scenarios!T181)</f>
        <v>0</v>
      </c>
      <c r="P46" s="86">
        <f>IF(Scen_Db_Data_Tables_Off,Scen_Db_Data_Tables_Status_Off,SUM(D46:O46))</f>
        <v>0</v>
      </c>
      <c r="R46" s="56" t="s">
        <v>143</v>
      </c>
      <c r="T46" s="81">
        <f>IF(Scen_Db_Data_Tables_Off,Scen_Db_Data_Tables_Status_Off,Scenarios!I246)</f>
        <v>300000</v>
      </c>
      <c r="U46" s="81">
        <f>IF(Scen_Db_Data_Tables_Off,Scen_Db_Data_Tables_Status_Off,Scenarios!J246)</f>
        <v>0</v>
      </c>
      <c r="V46" s="81">
        <f>IF(Scen_Db_Data_Tables_Off,Scen_Db_Data_Tables_Status_Off,Scenarios!K246)</f>
        <v>0</v>
      </c>
      <c r="W46" s="81">
        <f>IF(Scen_Db_Data_Tables_Off,Scen_Db_Data_Tables_Status_Off,Scenarios!L246)</f>
        <v>0</v>
      </c>
      <c r="X46" s="81">
        <f>IF(Scen_Db_Data_Tables_Off,Scen_Db_Data_Tables_Status_Off,Scenarios!M246)</f>
        <v>0</v>
      </c>
      <c r="Y46" s="81">
        <f>IF(Scen_Db_Data_Tables_Off,Scen_Db_Data_Tables_Status_Off,Scenarios!N246)</f>
        <v>0</v>
      </c>
      <c r="Z46" s="81">
        <f>IF(Scen_Db_Data_Tables_Off,Scen_Db_Data_Tables_Status_Off,Scenarios!O246)</f>
        <v>0</v>
      </c>
      <c r="AA46" s="81">
        <f>IF(Scen_Db_Data_Tables_Off,Scen_Db_Data_Tables_Status_Off,Scenarios!P246)</f>
        <v>0</v>
      </c>
      <c r="AB46" s="81">
        <f>IF(Scen_Db_Data_Tables_Off,Scen_Db_Data_Tables_Status_Off,Scenarios!Q246)</f>
        <v>0</v>
      </c>
      <c r="AC46" s="81">
        <f>IF(Scen_Db_Data_Tables_Off,Scen_Db_Data_Tables_Status_Off,Scenarios!R246)</f>
        <v>0</v>
      </c>
      <c r="AD46" s="81">
        <f>IF(Scen_Db_Data_Tables_Off,Scen_Db_Data_Tables_Status_Off,Scenarios!S246)</f>
        <v>0</v>
      </c>
      <c r="AE46" s="81">
        <f>IF(Scen_Db_Data_Tables_Off,Scen_Db_Data_Tables_Status_Off,Scenarios!T246)</f>
        <v>0</v>
      </c>
      <c r="AF46" s="86">
        <f>IF(Scen_Db_Data_Tables_Off,Scen_Db_Data_Tables_Status_Off,SUM(T46:AE46))</f>
        <v>300000</v>
      </c>
    </row>
    <row r="47" spans="2:32" ht="13" outlineLevel="1" thickBot="1" x14ac:dyDescent="0.2">
      <c r="B47" s="54" t="s">
        <v>83</v>
      </c>
      <c r="D47" s="91">
        <f t="shared" ref="D47:P47" si="4">IF(Scen_Db_Data_Tables_Off,Scen_Db_Data_Tables_Status_Off,SUM(D45:D46))</f>
        <v>-7112.4718497491049</v>
      </c>
      <c r="E47" s="91">
        <f t="shared" si="4"/>
        <v>-7882.7240998844463</v>
      </c>
      <c r="F47" s="91">
        <f t="shared" si="4"/>
        <v>-7729.4652597562726</v>
      </c>
      <c r="G47" s="91">
        <f t="shared" si="4"/>
        <v>-6692.5382937777777</v>
      </c>
      <c r="H47" s="91">
        <f t="shared" si="4"/>
        <v>-10364.783474070253</v>
      </c>
      <c r="I47" s="91">
        <f t="shared" si="4"/>
        <v>-8154.5365987240157</v>
      </c>
      <c r="J47" s="91">
        <f t="shared" si="4"/>
        <v>-8420.2483729777778</v>
      </c>
      <c r="K47" s="91">
        <f t="shared" si="4"/>
        <v>-8452.8934254250908</v>
      </c>
      <c r="L47" s="91">
        <f t="shared" si="4"/>
        <v>-9644.7014192711104</v>
      </c>
      <c r="M47" s="91">
        <f t="shared" si="4"/>
        <v>-8971.7403971584245</v>
      </c>
      <c r="N47" s="91">
        <f t="shared" si="4"/>
        <v>-8788.8003644444452</v>
      </c>
      <c r="O47" s="91">
        <f t="shared" si="4"/>
        <v>-9447.6693323240142</v>
      </c>
      <c r="P47" s="92">
        <f t="shared" si="4"/>
        <v>-101662.57288756274</v>
      </c>
      <c r="R47" s="54" t="s">
        <v>144</v>
      </c>
      <c r="T47" s="90">
        <f t="shared" ref="T47:AF47" si="5">IF(Scen_Db_Data_Tables_Off,Scen_Db_Data_Tables_Status_Off,SUM(T44:T46))</f>
        <v>45160.869850494637</v>
      </c>
      <c r="U47" s="90">
        <f t="shared" si="5"/>
        <v>-11801.124452086973</v>
      </c>
      <c r="V47" s="90">
        <f t="shared" si="5"/>
        <v>49225.272093748041</v>
      </c>
      <c r="W47" s="90">
        <f t="shared" si="5"/>
        <v>5643.1918542666654</v>
      </c>
      <c r="X47" s="90">
        <f t="shared" si="5"/>
        <v>-21541.310924787958</v>
      </c>
      <c r="Y47" s="90">
        <f t="shared" si="5"/>
        <v>8124.0366575019361</v>
      </c>
      <c r="Z47" s="90">
        <f t="shared" si="5"/>
        <v>4012.5865466769901</v>
      </c>
      <c r="AA47" s="90">
        <f t="shared" si="5"/>
        <v>-20052.951431846024</v>
      </c>
      <c r="AB47" s="90">
        <f t="shared" si="5"/>
        <v>6749.9205951772892</v>
      </c>
      <c r="AC47" s="90">
        <f t="shared" si="5"/>
        <v>2953.1030368886022</v>
      </c>
      <c r="AD47" s="90">
        <f t="shared" si="5"/>
        <v>-19850.481238537635</v>
      </c>
      <c r="AE47" s="90">
        <f t="shared" si="5"/>
        <v>7102.9196392665808</v>
      </c>
      <c r="AF47" s="89">
        <f t="shared" si="5"/>
        <v>55726.032226762152</v>
      </c>
    </row>
    <row r="48" spans="2:32" ht="13" outlineLevel="1" thickTop="1" x14ac:dyDescent="0.15"/>
    <row r="49" spans="2:32" outlineLevel="1" x14ac:dyDescent="0.15">
      <c r="B49" s="332" t="str">
        <f>"Scenario "&amp;Scenarios!H142&amp;" - "&amp;Lookups!D377</f>
        <v>Scenario 2 - Slower Growth</v>
      </c>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row>
    <row r="50" spans="2:32" outlineLevel="1" x14ac:dyDescent="0.15"/>
    <row r="51" spans="2:32" outlineLevel="1" x14ac:dyDescent="0.15">
      <c r="B51" s="54" t="s">
        <v>61</v>
      </c>
      <c r="D51" s="83" t="str">
        <f>Scenarios!I$124</f>
        <v>Aug-23</v>
      </c>
      <c r="E51" s="83" t="str">
        <f>Scenarios!J$124</f>
        <v>Sep-23</v>
      </c>
      <c r="F51" s="83" t="str">
        <f>Scenarios!K$124</f>
        <v>Oct-23</v>
      </c>
      <c r="G51" s="83" t="str">
        <f>Scenarios!L$124</f>
        <v>Nov-23</v>
      </c>
      <c r="H51" s="83" t="str">
        <f>Scenarios!M$124</f>
        <v>Dec-23</v>
      </c>
      <c r="I51" s="83" t="str">
        <f>Scenarios!N$124</f>
        <v>Jan-24</v>
      </c>
      <c r="J51" s="83" t="str">
        <f>Scenarios!O$124</f>
        <v>Feb-24</v>
      </c>
      <c r="K51" s="83" t="str">
        <f>Scenarios!P$124</f>
        <v>Mar-24</v>
      </c>
      <c r="L51" s="83" t="str">
        <f>Scenarios!Q$124</f>
        <v>Apr-24</v>
      </c>
      <c r="M51" s="83" t="str">
        <f>Scenarios!R$124</f>
        <v>May-24</v>
      </c>
      <c r="N51" s="83" t="str">
        <f>Scenarios!S$124</f>
        <v>Jun-24</v>
      </c>
      <c r="O51" s="83" t="str">
        <f>Scenarios!T$124</f>
        <v>Jul-24</v>
      </c>
      <c r="P51" s="85" t="s">
        <v>63</v>
      </c>
      <c r="R51" s="54" t="s">
        <v>88</v>
      </c>
      <c r="T51" s="83" t="str">
        <f>Scenarios!I$124</f>
        <v>Aug-23</v>
      </c>
      <c r="U51" s="83" t="str">
        <f>Scenarios!J$124</f>
        <v>Sep-23</v>
      </c>
      <c r="V51" s="83" t="str">
        <f>Scenarios!K$124</f>
        <v>Oct-23</v>
      </c>
      <c r="W51" s="83" t="str">
        <f>Scenarios!L$124</f>
        <v>Nov-23</v>
      </c>
      <c r="X51" s="83" t="str">
        <f>Scenarios!M$124</f>
        <v>Dec-23</v>
      </c>
      <c r="Y51" s="83" t="str">
        <f>Scenarios!N$124</f>
        <v>Jan-24</v>
      </c>
      <c r="Z51" s="83" t="str">
        <f>Scenarios!O$124</f>
        <v>Feb-24</v>
      </c>
      <c r="AA51" s="83" t="str">
        <f>Scenarios!P$124</f>
        <v>Mar-24</v>
      </c>
      <c r="AB51" s="83" t="str">
        <f>Scenarios!Q$124</f>
        <v>Apr-24</v>
      </c>
      <c r="AC51" s="83" t="str">
        <f>Scenarios!R$124</f>
        <v>May-24</v>
      </c>
      <c r="AD51" s="83" t="str">
        <f>Scenarios!S$124</f>
        <v>Jun-24</v>
      </c>
      <c r="AE51" s="83" t="str">
        <f>Scenarios!T$124</f>
        <v>Jul-24</v>
      </c>
      <c r="AF51" s="85" t="str">
        <f>AE51</f>
        <v>Jul-24</v>
      </c>
    </row>
    <row r="52" spans="2:32" outlineLevel="1" x14ac:dyDescent="0.15">
      <c r="B52" s="56" t="s">
        <v>64</v>
      </c>
      <c r="D52" s="84">
        <f>IF(Scen_Db_Data_Tables_Off,Scen_Db_Data_Tables_Status_Off,Scenarios!I142)</f>
        <v>3371.0619354838709</v>
      </c>
      <c r="E52" s="84">
        <f>IF(Scen_Db_Data_Tables_Off,Scen_Db_Data_Tables_Status_Off,Scenarios!J142)</f>
        <v>5335.1200366666671</v>
      </c>
      <c r="F52" s="84">
        <f>IF(Scen_Db_Data_Tables_Off,Scen_Db_Data_Tables_Status_Off,Scenarios!K142)</f>
        <v>5452.2540000000008</v>
      </c>
      <c r="G52" s="84">
        <f>IF(Scen_Db_Data_Tables_Off,Scen_Db_Data_Tables_Status_Off,Scenarios!L142)</f>
        <v>6410.1538333333328</v>
      </c>
      <c r="H52" s="84">
        <f>IF(Scen_Db_Data_Tables_Off,Scen_Db_Data_Tables_Status_Off,Scenarios!M142)</f>
        <v>2713.1192860215046</v>
      </c>
      <c r="I52" s="84">
        <f>IF(Scen_Db_Data_Tables_Off,Scen_Db_Data_Tables_Status_Off,Scenarios!N142)</f>
        <v>4880.6230483870959</v>
      </c>
      <c r="J52" s="84">
        <f>IF(Scen_Db_Data_Tables_Off,Scen_Db_Data_Tables_Status_Off,Scenarios!O142)</f>
        <v>5600.1429333333335</v>
      </c>
      <c r="K52" s="84">
        <f>IF(Scen_Db_Data_Tables_Off,Scen_Db_Data_Tables_Status_Off,Scenarios!P142)</f>
        <v>5515.3267860215055</v>
      </c>
      <c r="L52" s="84">
        <f>IF(Scen_Db_Data_Tables_Off,Scen_Db_Data_Tables_Status_Off,Scenarios!Q142)</f>
        <v>4438.6560799999997</v>
      </c>
      <c r="M52" s="84">
        <f>IF(Scen_Db_Data_Tables_Off,Scen_Db_Data_Tables_Status_Off,Scenarios!R142)</f>
        <v>5099.1145236559141</v>
      </c>
      <c r="N52" s="84">
        <f>IF(Scen_Db_Data_Tables_Off,Scen_Db_Data_Tables_Status_Off,Scenarios!S142)</f>
        <v>4987.2966666666671</v>
      </c>
      <c r="O52" s="84">
        <f>IF(Scen_Db_Data_Tables_Off,Scen_Db_Data_Tables_Status_Off,Scenarios!T142)</f>
        <v>4589.4730580645146</v>
      </c>
      <c r="P52" s="86">
        <f>IF(Scen_Db_Data_Tables_Off,Scen_Db_Data_Tables_Status_Off,SUM(D52:O52))</f>
        <v>58392.342187634415</v>
      </c>
      <c r="R52" s="56" t="s">
        <v>177</v>
      </c>
      <c r="T52" s="81">
        <f>IF(Scen_Db_Data_Tables_Off,Scen_Db_Data_Tables_Status_Off,Scenarios!I198)</f>
        <v>56366.869850494637</v>
      </c>
      <c r="U52" s="81">
        <f>IF(Scen_Db_Data_Tables_Off,Scen_Db_Data_Tables_Status_Off,Scenarios!J198)</f>
        <v>44446.505553808995</v>
      </c>
      <c r="V52" s="81">
        <f>IF(Scen_Db_Data_Tables_Off,Scen_Db_Data_Tables_Status_Off,Scenarios!K198)</f>
        <v>93476.53811224128</v>
      </c>
      <c r="W52" s="81">
        <f>IF(Scen_Db_Data_Tables_Off,Scen_Db_Data_Tables_Status_Off,Scenarios!L198)</f>
        <v>98809.398397374607</v>
      </c>
      <c r="X52" s="81">
        <f>IF(Scen_Db_Data_Tables_Off,Scen_Db_Data_Tables_Status_Off,Scenarios!M198)</f>
        <v>77096.555997574178</v>
      </c>
      <c r="Y52" s="81">
        <f>IF(Scen_Db_Data_Tables_Off,Scen_Db_Data_Tables_Status_Off,Scenarios!N198)</f>
        <v>84859.744194131606</v>
      </c>
      <c r="Z52" s="81">
        <f>IF(Scen_Db_Data_Tables_Off,Scen_Db_Data_Tables_Status_Off,Scenarios!O198)</f>
        <v>88426.458180915259</v>
      </c>
      <c r="AA52" s="81">
        <f>IF(Scen_Db_Data_Tables_Off,Scen_Db_Data_Tables_Status_Off,Scenarios!P198)</f>
        <v>67876.423936824503</v>
      </c>
      <c r="AB52" s="81">
        <f>IF(Scen_Db_Data_Tables_Off,Scen_Db_Data_Tables_Status_Off,Scenarios!Q198)</f>
        <v>74193.868700015722</v>
      </c>
      <c r="AC52" s="81">
        <f>IF(Scen_Db_Data_Tables_Off,Scen_Db_Data_Tables_Status_Off,Scenarios!R198)</f>
        <v>76590.00714745358</v>
      </c>
      <c r="AD52" s="81">
        <f>IF(Scen_Db_Data_Tables_Off,Scen_Db_Data_Tables_Status_Off,Scenarios!S198)</f>
        <v>56149.333878249279</v>
      </c>
      <c r="AE52" s="81">
        <f>IF(Scen_Db_Data_Tables_Off,Scen_Db_Data_Tables_Status_Off,Scenarios!T198)</f>
        <v>62676.919940112246</v>
      </c>
      <c r="AF52" s="86">
        <f>IF(Scen_Db_Data_Tables_Off,Scen_Db_Data_Tables_Status_Off,AE52)</f>
        <v>62676.919940112246</v>
      </c>
    </row>
    <row r="53" spans="2:32" outlineLevel="1" x14ac:dyDescent="0.15">
      <c r="B53" s="56" t="s">
        <v>65</v>
      </c>
      <c r="D53" s="84">
        <f>IF(Scen_Db_Data_Tables_Off,Scen_Db_Data_Tables_Status_Off,-Scenarios!I149)</f>
        <v>-854.31486709677404</v>
      </c>
      <c r="E53" s="84">
        <f>IF(Scen_Db_Data_Tables_Off,Scen_Db_Data_Tables_Status_Off,-Scenarios!J149)</f>
        <v>-816.4016805133333</v>
      </c>
      <c r="F53" s="84">
        <f>IF(Scen_Db_Data_Tables_Off,Scen_Db_Data_Tables_Status_Off,-Scenarios!K149)</f>
        <v>-852.2532226666666</v>
      </c>
      <c r="G53" s="84">
        <f>IF(Scen_Db_Data_Tables_Off,Scen_Db_Data_Tables_Status_Off,-Scenarios!L149)</f>
        <v>-866.41548699999998</v>
      </c>
      <c r="H53" s="84">
        <f>IF(Scen_Db_Data_Tables_Off,Scen_Db_Data_Tables_Status_Off,-Scenarios!M149)</f>
        <v>-781.94867000430111</v>
      </c>
      <c r="I53" s="84">
        <f>IF(Scen_Db_Data_Tables_Off,Scen_Db_Data_Tables_Status_Off,-Scenarios!N149)</f>
        <v>-879.96538934408579</v>
      </c>
      <c r="J53" s="84">
        <f>IF(Scen_Db_Data_Tables_Off,Scen_Db_Data_Tables_Status_Off,-Scenarios!O149)</f>
        <v>-818.27033440000002</v>
      </c>
      <c r="K53" s="84">
        <f>IF(Scen_Db_Data_Tables_Off,Scen_Db_Data_Tables_Status_Off,-Scenarios!P149)</f>
        <v>-817.83457500430109</v>
      </c>
      <c r="L53" s="84">
        <f>IF(Scen_Db_Data_Tables_Off,Scen_Db_Data_Tables_Status_Off,-Scenarios!Q149)</f>
        <v>-836.97285178666664</v>
      </c>
      <c r="M53" s="84">
        <f>IF(Scen_Db_Data_Tables_Off,Scen_Db_Data_Tables_Status_Off,-Scenarios!R149)</f>
        <v>-880.43093666451591</v>
      </c>
      <c r="N53" s="84">
        <f>IF(Scen_Db_Data_Tables_Off,Scen_Db_Data_Tables_Status_Off,-Scenarios!S149)</f>
        <v>-779.23715333333325</v>
      </c>
      <c r="O53" s="84">
        <f>IF(Scen_Db_Data_Tables_Off,Scen_Db_Data_Tables_Status_Off,-Scenarios!T149)</f>
        <v>-874.79928947956967</v>
      </c>
      <c r="P53" s="86">
        <f>IF(Scen_Db_Data_Tables_Off,Scen_Db_Data_Tables_Status_Off,SUM(D53:O53))</f>
        <v>-10058.844457293548</v>
      </c>
      <c r="R53" s="56" t="s">
        <v>93</v>
      </c>
      <c r="T53" s="81">
        <f>IF(Scen_Db_Data_Tables_Off,Scen_Db_Data_Tables_Status_Off,Scenarios!I205)</f>
        <v>56366.869850494637</v>
      </c>
      <c r="U53" s="81">
        <f>IF(Scen_Db_Data_Tables_Off,Scen_Db_Data_Tables_Status_Off,Scenarios!J205)</f>
        <v>44446.505553808995</v>
      </c>
      <c r="V53" s="81">
        <f>IF(Scen_Db_Data_Tables_Off,Scen_Db_Data_Tables_Status_Off,Scenarios!K205)</f>
        <v>93476.53811224128</v>
      </c>
      <c r="W53" s="81">
        <f>IF(Scen_Db_Data_Tables_Off,Scen_Db_Data_Tables_Status_Off,Scenarios!L205)</f>
        <v>98809.398397374607</v>
      </c>
      <c r="X53" s="81">
        <f>IF(Scen_Db_Data_Tables_Off,Scen_Db_Data_Tables_Status_Off,Scenarios!M205)</f>
        <v>77096.555997574178</v>
      </c>
      <c r="Y53" s="81">
        <f>IF(Scen_Db_Data_Tables_Off,Scen_Db_Data_Tables_Status_Off,Scenarios!N205)</f>
        <v>84859.744194131606</v>
      </c>
      <c r="Z53" s="81">
        <f>IF(Scen_Db_Data_Tables_Off,Scen_Db_Data_Tables_Status_Off,Scenarios!O205)</f>
        <v>88426.458180915259</v>
      </c>
      <c r="AA53" s="81">
        <f>IF(Scen_Db_Data_Tables_Off,Scen_Db_Data_Tables_Status_Off,Scenarios!P205)</f>
        <v>67876.423936824503</v>
      </c>
      <c r="AB53" s="81">
        <f>IF(Scen_Db_Data_Tables_Off,Scen_Db_Data_Tables_Status_Off,Scenarios!Q205)</f>
        <v>74193.868700015722</v>
      </c>
      <c r="AC53" s="81">
        <f>IF(Scen_Db_Data_Tables_Off,Scen_Db_Data_Tables_Status_Off,Scenarios!R205)</f>
        <v>76590.00714745358</v>
      </c>
      <c r="AD53" s="81">
        <f>IF(Scen_Db_Data_Tables_Off,Scen_Db_Data_Tables_Status_Off,Scenarios!S205)</f>
        <v>56149.333878249279</v>
      </c>
      <c r="AE53" s="81">
        <f>IF(Scen_Db_Data_Tables_Off,Scen_Db_Data_Tables_Status_Off,Scenarios!T205)</f>
        <v>62676.919940112246</v>
      </c>
      <c r="AF53" s="86">
        <f>IF(Scen_Db_Data_Tables_Off,Scen_Db_Data_Tables_Status_Off,AE53)</f>
        <v>62676.919940112246</v>
      </c>
    </row>
    <row r="54" spans="2:32" outlineLevel="1" x14ac:dyDescent="0.15">
      <c r="B54" s="54" t="s">
        <v>66</v>
      </c>
      <c r="D54" s="88">
        <f t="shared" ref="D54:P54" si="6">IF(Scen_Db_Data_Tables_Off,Scen_Db_Data_Tables_Status_Off,SUM(D52:D53))</f>
        <v>2516.747068387097</v>
      </c>
      <c r="E54" s="88">
        <f t="shared" si="6"/>
        <v>4518.7183561533338</v>
      </c>
      <c r="F54" s="88">
        <f t="shared" si="6"/>
        <v>4600.0007773333346</v>
      </c>
      <c r="G54" s="88">
        <f t="shared" si="6"/>
        <v>5543.7383463333326</v>
      </c>
      <c r="H54" s="88">
        <f t="shared" si="6"/>
        <v>1931.1706160172034</v>
      </c>
      <c r="I54" s="88">
        <f t="shared" si="6"/>
        <v>4000.65765904301</v>
      </c>
      <c r="J54" s="88">
        <f t="shared" si="6"/>
        <v>4781.8725989333334</v>
      </c>
      <c r="K54" s="88">
        <f t="shared" si="6"/>
        <v>4697.4922110172047</v>
      </c>
      <c r="L54" s="88">
        <f t="shared" si="6"/>
        <v>3601.6832282133332</v>
      </c>
      <c r="M54" s="88">
        <f t="shared" si="6"/>
        <v>4218.6835869913984</v>
      </c>
      <c r="N54" s="88">
        <f t="shared" si="6"/>
        <v>4208.0595133333336</v>
      </c>
      <c r="O54" s="88">
        <f t="shared" si="6"/>
        <v>3714.6737685849448</v>
      </c>
      <c r="P54" s="89">
        <f t="shared" si="6"/>
        <v>48333.497730340867</v>
      </c>
      <c r="R54" s="56" t="s">
        <v>97</v>
      </c>
      <c r="T54" s="81">
        <f>IF(Scen_Db_Data_Tables_Off,Scen_Db_Data_Tables_Status_Off,Scenarios!I212)</f>
        <v>265951.89762827242</v>
      </c>
      <c r="U54" s="81">
        <f>IF(Scen_Db_Data_Tables_Off,Scen_Db_Data_Tables_Status_Off,Scenarios!J212)</f>
        <v>248231.33888714231</v>
      </c>
      <c r="V54" s="81">
        <f>IF(Scen_Db_Data_Tables_Off,Scen_Db_Data_Tables_Status_Off,Scenarios!K212)</f>
        <v>291461.17700113019</v>
      </c>
      <c r="W54" s="81">
        <f>IF(Scen_Db_Data_Tables_Off,Scen_Db_Data_Tables_Status_Off,Scenarios!L212)</f>
        <v>290993.84284181905</v>
      </c>
      <c r="X54" s="81">
        <f>IF(Scen_Db_Data_Tables_Off,Scen_Db_Data_Tables_Status_Off,Scenarios!M212)</f>
        <v>263480.80599757412</v>
      </c>
      <c r="Y54" s="81">
        <f>IF(Scen_Db_Data_Tables_Off,Scen_Db_Data_Tables_Status_Off,Scenarios!N212)</f>
        <v>265443.79974968714</v>
      </c>
      <c r="Z54" s="81">
        <f>IF(Scen_Db_Data_Tables_Off,Scen_Db_Data_Tables_Status_Off,Scenarios!O212)</f>
        <v>263210.31929202634</v>
      </c>
      <c r="AA54" s="81">
        <f>IF(Scen_Db_Data_Tables_Off,Scen_Db_Data_Tables_Status_Off,Scenarios!P212)</f>
        <v>236860.09060349112</v>
      </c>
      <c r="AB54" s="81">
        <f>IF(Scen_Db_Data_Tables_Off,Scen_Db_Data_Tables_Status_Off,Scenarios!Q212)</f>
        <v>237377.3409222379</v>
      </c>
      <c r="AC54" s="81">
        <f>IF(Scen_Db_Data_Tables_Off,Scen_Db_Data_Tables_Status_Off,Scenarios!R212)</f>
        <v>233973.2849252313</v>
      </c>
      <c r="AD54" s="81">
        <f>IF(Scen_Db_Data_Tables_Off,Scen_Db_Data_Tables_Status_Off,Scenarios!S212)</f>
        <v>207732.41721158253</v>
      </c>
      <c r="AE54" s="81">
        <f>IF(Scen_Db_Data_Tables_Off,Scen_Db_Data_Tables_Status_Off,Scenarios!T212)</f>
        <v>208459.80882900106</v>
      </c>
      <c r="AF54" s="86">
        <f>IF(Scen_Db_Data_Tables_Off,Scen_Db_Data_Tables_Status_Off,AE54)</f>
        <v>208459.80882900106</v>
      </c>
    </row>
    <row r="55" spans="2:32" outlineLevel="1" x14ac:dyDescent="0.15">
      <c r="B55" s="56" t="s">
        <v>243</v>
      </c>
      <c r="D55" s="84">
        <f>IF(Scen_Db_Data_Tables_Off,Scen_Db_Data_Tables_Status_Off,-Scenarios!I161)</f>
        <v>-6676.2466959139792</v>
      </c>
      <c r="E55" s="84">
        <f>IF(Scen_Db_Data_Tables_Off,Scen_Db_Data_Tables_Status_Off,-Scenarios!J161)</f>
        <v>-6720.7059741400008</v>
      </c>
      <c r="F55" s="84">
        <f>IF(Scen_Db_Data_Tables_Off,Scen_Db_Data_Tables_Status_Off,-Scenarios!K161)</f>
        <v>-6724.5329213333343</v>
      </c>
      <c r="G55" s="84">
        <f>IF(Scen_Db_Data_Tables_Off,Scen_Db_Data_Tables_Status_Off,-Scenarios!L161)</f>
        <v>-6746.8567176666675</v>
      </c>
      <c r="H55" s="84">
        <f>IF(Scen_Db_Data_Tables_Off,Scen_Db_Data_Tables_Status_Off,-Scenarios!M161)</f>
        <v>-6666.7719576258069</v>
      </c>
      <c r="I55" s="84">
        <f>IF(Scen_Db_Data_Tables_Off,Scen_Db_Data_Tables_Status_Off,-Scenarios!N161)</f>
        <v>-6715.7070403978496</v>
      </c>
      <c r="J55" s="84">
        <f>IF(Scen_Db_Data_Tables_Off,Scen_Db_Data_Tables_Status_Off,-Scenarios!O161)</f>
        <v>-7847.8864778666675</v>
      </c>
      <c r="K55" s="84">
        <f>IF(Scen_Db_Data_Tables_Off,Scen_Db_Data_Tables_Status_Off,-Scenarios!P161)</f>
        <v>-7847.2705226258076</v>
      </c>
      <c r="L55" s="84">
        <f>IF(Scen_Db_Data_Tables_Off,Scen_Db_Data_Tables_Status_Off,-Scenarios!Q161)</f>
        <v>-7877.9337670933337</v>
      </c>
      <c r="M55" s="84">
        <f>IF(Scen_Db_Data_Tables_Off,Scen_Db_Data_Tables_Status_Off,-Scenarios!R161)</f>
        <v>-7946.8138528537638</v>
      </c>
      <c r="N55" s="84">
        <f>IF(Scen_Db_Data_Tables_Off,Scen_Db_Data_Tables_Status_Off,-Scenarios!S161)</f>
        <v>-7786.3038600000009</v>
      </c>
      <c r="O55" s="84">
        <f>IF(Scen_Db_Data_Tables_Off,Scen_Db_Data_Tables_Status_Off,-Scenarios!T161)</f>
        <v>-7938.101740610753</v>
      </c>
      <c r="P55" s="86">
        <f>IF(Scen_Db_Data_Tables_Off,Scen_Db_Data_Tables_Status_Off,SUM(D55:O55))</f>
        <v>-87495.131528127968</v>
      </c>
      <c r="R55" s="56" t="s">
        <v>110</v>
      </c>
      <c r="T55" s="81">
        <f>IF(Scen_Db_Data_Tables_Off,Scen_Db_Data_Tables_Status_Off,Scenarios!I219)</f>
        <v>265661.36947802152</v>
      </c>
      <c r="U55" s="81">
        <f>IF(Scen_Db_Data_Tables_Off,Scen_Db_Data_Tables_Status_Off,Scenarios!J219)</f>
        <v>255942.99279932253</v>
      </c>
      <c r="V55" s="81">
        <f>IF(Scen_Db_Data_Tables_Off,Scen_Db_Data_Tables_Status_Off,Scenarios!K219)</f>
        <v>307097.55750175484</v>
      </c>
      <c r="W55" s="81">
        <f>IF(Scen_Db_Data_Tables_Off,Scen_Db_Data_Tables_Status_Off,Scenarios!L219)</f>
        <v>313633.53615822148</v>
      </c>
      <c r="X55" s="81">
        <f>IF(Scen_Db_Data_Tables_Off,Scen_Db_Data_Tables_Status_Off,Scenarios!M219)</f>
        <v>296656.29510002967</v>
      </c>
      <c r="Y55" s="81">
        <f>IF(Scen_Db_Data_Tables_Off,Scen_Db_Data_Tables_Status_Off,Scenarios!N219)</f>
        <v>307134.53267794196</v>
      </c>
      <c r="Z55" s="81">
        <f>IF(Scen_Db_Data_Tables_Off,Scen_Db_Data_Tables_Status_Off,Scenarios!O219)</f>
        <v>313767.26054365892</v>
      </c>
      <c r="AA55" s="81">
        <f>IF(Scen_Db_Data_Tables_Off,Scen_Db_Data_Tables_Status_Off,Scenarios!P219)</f>
        <v>296367.00461117679</v>
      </c>
      <c r="AB55" s="81">
        <f>IF(Scen_Db_Data_Tables_Off,Scen_Db_Data_Tables_Status_Off,Scenarios!Q219)</f>
        <v>306960.69991324801</v>
      </c>
      <c r="AC55" s="81">
        <f>IF(Scen_Db_Data_Tables_Off,Scen_Db_Data_Tables_Status_Off,Scenarios!R219)</f>
        <v>313084.96862654819</v>
      </c>
      <c r="AD55" s="81">
        <f>IF(Scen_Db_Data_Tables_Off,Scen_Db_Data_Tables_Status_Off,Scenarios!S219)</f>
        <v>296222.53970401059</v>
      </c>
      <c r="AE55" s="81">
        <f>IF(Scen_Db_Data_Tables_Off,Scen_Db_Data_Tables_Status_Off,Scenarios!T219)</f>
        <v>306973.55373789935</v>
      </c>
      <c r="AF55" s="86">
        <f>IF(Scen_Db_Data_Tables_Off,Scen_Db_Data_Tables_Status_Off,AE55)</f>
        <v>306973.55373789935</v>
      </c>
    </row>
    <row r="56" spans="2:32" outlineLevel="1" x14ac:dyDescent="0.15">
      <c r="B56" s="54" t="s">
        <v>72</v>
      </c>
      <c r="D56" s="88">
        <f t="shared" ref="D56:P56" si="7">IF(Scen_Db_Data_Tables_Off,Scen_Db_Data_Tables_Status_Off,SUM(D54:D55))</f>
        <v>-4159.4996275268823</v>
      </c>
      <c r="E56" s="88">
        <f t="shared" si="7"/>
        <v>-2201.9876179866669</v>
      </c>
      <c r="F56" s="88">
        <f t="shared" si="7"/>
        <v>-2124.5321439999998</v>
      </c>
      <c r="G56" s="88">
        <f t="shared" si="7"/>
        <v>-1203.1183713333348</v>
      </c>
      <c r="H56" s="88">
        <f t="shared" si="7"/>
        <v>-4735.6013416086034</v>
      </c>
      <c r="I56" s="88">
        <f t="shared" si="7"/>
        <v>-2715.0493813548396</v>
      </c>
      <c r="J56" s="88">
        <f t="shared" si="7"/>
        <v>-3066.0138789333341</v>
      </c>
      <c r="K56" s="88">
        <f t="shared" si="7"/>
        <v>-3149.778311608603</v>
      </c>
      <c r="L56" s="88">
        <f t="shared" si="7"/>
        <v>-4276.25053888</v>
      </c>
      <c r="M56" s="88">
        <f t="shared" si="7"/>
        <v>-3728.1302658623654</v>
      </c>
      <c r="N56" s="88">
        <f t="shared" si="7"/>
        <v>-3578.2443466666673</v>
      </c>
      <c r="O56" s="88">
        <f t="shared" si="7"/>
        <v>-4223.4279720258082</v>
      </c>
      <c r="P56" s="89">
        <f t="shared" si="7"/>
        <v>-39161.633797787101</v>
      </c>
      <c r="R56" s="54" t="s">
        <v>103</v>
      </c>
      <c r="T56" s="90">
        <f>IF(Scen_Db_Data_Tables_Off,Scen_Db_Data_Tables_Status_Off,Scenarios!I224)</f>
        <v>290.5281502509024</v>
      </c>
      <c r="U56" s="90">
        <f>IF(Scen_Db_Data_Tables_Off,Scen_Db_Data_Tables_Status_Off,Scenarios!J224)</f>
        <v>-7711.6539121802198</v>
      </c>
      <c r="V56" s="90">
        <f>IF(Scen_Db_Data_Tables_Off,Scen_Db_Data_Tables_Status_Off,Scenarios!K224)</f>
        <v>-15636.380500624655</v>
      </c>
      <c r="W56" s="90">
        <f>IF(Scen_Db_Data_Tables_Off,Scen_Db_Data_Tables_Status_Off,Scenarios!L224)</f>
        <v>-22639.693316402438</v>
      </c>
      <c r="X56" s="90">
        <f>IF(Scen_Db_Data_Tables_Off,Scen_Db_Data_Tables_Status_Off,Scenarios!M224)</f>
        <v>-33175.489102455555</v>
      </c>
      <c r="Y56" s="90">
        <f>IF(Scen_Db_Data_Tables_Off,Scen_Db_Data_Tables_Status_Off,Scenarios!N224)</f>
        <v>-41690.732928254816</v>
      </c>
      <c r="Z56" s="90">
        <f>IF(Scen_Db_Data_Tables_Off,Scen_Db_Data_Tables_Status_Off,Scenarios!O224)</f>
        <v>-50556.941251632583</v>
      </c>
      <c r="AA56" s="90">
        <f>IF(Scen_Db_Data_Tables_Off,Scen_Db_Data_Tables_Status_Off,Scenarios!P224)</f>
        <v>-59506.914007685671</v>
      </c>
      <c r="AB56" s="90">
        <f>IF(Scen_Db_Data_Tables_Off,Scen_Db_Data_Tables_Status_Off,Scenarios!Q224)</f>
        <v>-69583.358991010115</v>
      </c>
      <c r="AC56" s="90">
        <f>IF(Scen_Db_Data_Tables_Off,Scen_Db_Data_Tables_Status_Off,Scenarios!R224)</f>
        <v>-79111.683701316884</v>
      </c>
      <c r="AD56" s="90">
        <f>IF(Scen_Db_Data_Tables_Off,Scen_Db_Data_Tables_Status_Off,Scenarios!S224)</f>
        <v>-88490.122492428054</v>
      </c>
      <c r="AE56" s="90">
        <f>IF(Scen_Db_Data_Tables_Off,Scen_Db_Data_Tables_Status_Off,Scenarios!T224)</f>
        <v>-98513.744908898283</v>
      </c>
      <c r="AF56" s="89">
        <f>IF(Scen_Db_Data_Tables_Off,Scen_Db_Data_Tables_Status_Off,AE56)</f>
        <v>-98513.744908898283</v>
      </c>
    </row>
    <row r="57" spans="2:32" outlineLevel="1" x14ac:dyDescent="0.15">
      <c r="B57" s="56" t="s">
        <v>75</v>
      </c>
      <c r="D57" s="84">
        <f>IF(Scen_Db_Data_Tables_Off,Scen_Db_Data_Tables_Status_Off,-Scenarios!I168)</f>
        <v>-2952.9722222222222</v>
      </c>
      <c r="E57" s="84">
        <f>IF(Scen_Db_Data_Tables_Off,Scen_Db_Data_Tables_Status_Off,-Scenarios!J168)</f>
        <v>-5800.1944444444443</v>
      </c>
      <c r="F57" s="84">
        <f>IF(Scen_Db_Data_Tables_Off,Scen_Db_Data_Tables_Status_Off,-Scenarios!K168)</f>
        <v>-5800.1944444444443</v>
      </c>
      <c r="G57" s="84">
        <f>IF(Scen_Db_Data_Tables_Off,Scen_Db_Data_Tables_Status_Off,-Scenarios!L168)</f>
        <v>-5800.1944444444443</v>
      </c>
      <c r="H57" s="84">
        <f>IF(Scen_Db_Data_Tables_Off,Scen_Db_Data_Tables_Status_Off,-Scenarios!M168)</f>
        <v>-5800.1944444444443</v>
      </c>
      <c r="I57" s="84">
        <f>IF(Scen_Db_Data_Tables_Off,Scen_Db_Data_Tables_Status_Off,-Scenarios!N168)</f>
        <v>-5800.1944444444443</v>
      </c>
      <c r="J57" s="84">
        <f>IF(Scen_Db_Data_Tables_Off,Scen_Db_Data_Tables_Status_Off,-Scenarios!O168)</f>
        <v>-5800.1944444444443</v>
      </c>
      <c r="K57" s="84">
        <f>IF(Scen_Db_Data_Tables_Off,Scen_Db_Data_Tables_Status_Off,-Scenarios!P168)</f>
        <v>-5800.1944444444443</v>
      </c>
      <c r="L57" s="84">
        <f>IF(Scen_Db_Data_Tables_Off,Scen_Db_Data_Tables_Status_Off,-Scenarios!Q168)</f>
        <v>-5800.1944444444443</v>
      </c>
      <c r="M57" s="84">
        <f>IF(Scen_Db_Data_Tables_Off,Scen_Db_Data_Tables_Status_Off,-Scenarios!R168)</f>
        <v>-5800.1944444444443</v>
      </c>
      <c r="N57" s="84">
        <f>IF(Scen_Db_Data_Tables_Off,Scen_Db_Data_Tables_Status_Off,-Scenarios!S168)</f>
        <v>-5800.1944444444443</v>
      </c>
      <c r="O57" s="84">
        <f>IF(Scen_Db_Data_Tables_Off,Scen_Db_Data_Tables_Status_Off,-Scenarios!T168)</f>
        <v>-5800.1944444444443</v>
      </c>
      <c r="P57" s="86">
        <f>IF(Scen_Db_Data_Tables_Off,Scen_Db_Data_Tables_Status_Off,SUM(D57:O57))</f>
        <v>-66755.111111111109</v>
      </c>
    </row>
    <row r="58" spans="2:32" outlineLevel="1" x14ac:dyDescent="0.15">
      <c r="B58" s="54" t="s">
        <v>76</v>
      </c>
      <c r="D58" s="88">
        <f t="shared" ref="D58:P58" si="8">IF(Scen_Db_Data_Tables_Off,Scen_Db_Data_Tables_Status_Off,SUM(D56:D57))</f>
        <v>-7112.4718497491049</v>
      </c>
      <c r="E58" s="88">
        <f t="shared" si="8"/>
        <v>-8002.1820624311113</v>
      </c>
      <c r="F58" s="88">
        <f t="shared" si="8"/>
        <v>-7924.7265884444441</v>
      </c>
      <c r="G58" s="88">
        <f t="shared" si="8"/>
        <v>-7003.3128157777792</v>
      </c>
      <c r="H58" s="88">
        <f t="shared" si="8"/>
        <v>-10535.795786053048</v>
      </c>
      <c r="I58" s="88">
        <f t="shared" si="8"/>
        <v>-8515.2438257992835</v>
      </c>
      <c r="J58" s="88">
        <f t="shared" si="8"/>
        <v>-8866.2083233777776</v>
      </c>
      <c r="K58" s="88">
        <f t="shared" si="8"/>
        <v>-8949.9727560530482</v>
      </c>
      <c r="L58" s="88">
        <f t="shared" si="8"/>
        <v>-10076.444983324443</v>
      </c>
      <c r="M58" s="88">
        <f t="shared" si="8"/>
        <v>-9528.3247103068097</v>
      </c>
      <c r="N58" s="88">
        <f t="shared" si="8"/>
        <v>-9378.4387911111116</v>
      </c>
      <c r="O58" s="88">
        <f t="shared" si="8"/>
        <v>-10023.622416470253</v>
      </c>
      <c r="P58" s="89">
        <f t="shared" si="8"/>
        <v>-105916.74490889821</v>
      </c>
      <c r="R58" s="54" t="s">
        <v>116</v>
      </c>
      <c r="T58" s="83" t="str">
        <f>Scenarios!I$124</f>
        <v>Aug-23</v>
      </c>
      <c r="U58" s="83" t="str">
        <f>Scenarios!J$124</f>
        <v>Sep-23</v>
      </c>
      <c r="V58" s="83" t="str">
        <f>Scenarios!K$124</f>
        <v>Oct-23</v>
      </c>
      <c r="W58" s="83" t="str">
        <f>Scenarios!L$124</f>
        <v>Nov-23</v>
      </c>
      <c r="X58" s="83" t="str">
        <f>Scenarios!M$124</f>
        <v>Dec-23</v>
      </c>
      <c r="Y58" s="83" t="str">
        <f>Scenarios!N$124</f>
        <v>Jan-24</v>
      </c>
      <c r="Z58" s="83" t="str">
        <f>Scenarios!O$124</f>
        <v>Feb-24</v>
      </c>
      <c r="AA58" s="83" t="str">
        <f>Scenarios!P$124</f>
        <v>Mar-24</v>
      </c>
      <c r="AB58" s="83" t="str">
        <f>Scenarios!Q$124</f>
        <v>Apr-24</v>
      </c>
      <c r="AC58" s="83" t="str">
        <f>Scenarios!R$124</f>
        <v>May-24</v>
      </c>
      <c r="AD58" s="83" t="str">
        <f>Scenarios!S$124</f>
        <v>Jun-24</v>
      </c>
      <c r="AE58" s="83" t="str">
        <f>Scenarios!T$124</f>
        <v>Jul-24</v>
      </c>
      <c r="AF58" s="85" t="s">
        <v>63</v>
      </c>
    </row>
    <row r="59" spans="2:32" outlineLevel="1" x14ac:dyDescent="0.15">
      <c r="B59" s="56" t="s">
        <v>78</v>
      </c>
      <c r="D59" s="84">
        <f>IF(Scen_Db_Data_Tables_Off,Scen_Db_Data_Tables_Status_Off,-Scenarios!I175)</f>
        <v>0</v>
      </c>
      <c r="E59" s="84">
        <f>IF(Scen_Db_Data_Tables_Off,Scen_Db_Data_Tables_Status_Off,-Scenarios!J175)</f>
        <v>0</v>
      </c>
      <c r="F59" s="84">
        <f>IF(Scen_Db_Data_Tables_Off,Scen_Db_Data_Tables_Status_Off,-Scenarios!K175)</f>
        <v>0</v>
      </c>
      <c r="G59" s="84">
        <f>IF(Scen_Db_Data_Tables_Off,Scen_Db_Data_Tables_Status_Off,-Scenarios!L175)</f>
        <v>0</v>
      </c>
      <c r="H59" s="84">
        <f>IF(Scen_Db_Data_Tables_Off,Scen_Db_Data_Tables_Status_Off,-Scenarios!M175)</f>
        <v>0</v>
      </c>
      <c r="I59" s="84">
        <f>IF(Scen_Db_Data_Tables_Off,Scen_Db_Data_Tables_Status_Off,-Scenarios!N175)</f>
        <v>0</v>
      </c>
      <c r="J59" s="84">
        <f>IF(Scen_Db_Data_Tables_Off,Scen_Db_Data_Tables_Status_Off,-Scenarios!O175)</f>
        <v>0</v>
      </c>
      <c r="K59" s="84">
        <f>IF(Scen_Db_Data_Tables_Off,Scen_Db_Data_Tables_Status_Off,-Scenarios!P175)</f>
        <v>0</v>
      </c>
      <c r="L59" s="84">
        <f>IF(Scen_Db_Data_Tables_Off,Scen_Db_Data_Tables_Status_Off,-Scenarios!Q175)</f>
        <v>0</v>
      </c>
      <c r="M59" s="84">
        <f>IF(Scen_Db_Data_Tables_Off,Scen_Db_Data_Tables_Status_Off,-Scenarios!R175)</f>
        <v>0</v>
      </c>
      <c r="N59" s="84">
        <f>IF(Scen_Db_Data_Tables_Off,Scen_Db_Data_Tables_Status_Off,-Scenarios!S175)</f>
        <v>0</v>
      </c>
      <c r="O59" s="84">
        <f>IF(Scen_Db_Data_Tables_Off,Scen_Db_Data_Tables_Status_Off,-Scenarios!T175)</f>
        <v>0</v>
      </c>
      <c r="P59" s="86">
        <f>IF(Scen_Db_Data_Tables_Off,Scen_Db_Data_Tables_Status_Off,SUM(D59:O59))</f>
        <v>0</v>
      </c>
      <c r="R59" s="56" t="s">
        <v>132</v>
      </c>
      <c r="T59" s="81">
        <f>IF(Scen_Db_Data_Tables_Off,Scen_Db_Data_Tables_Status_Off,Scenarios!I233)</f>
        <v>-44839.13014950537</v>
      </c>
      <c r="U59" s="81">
        <f>IF(Scen_Db_Data_Tables_Off,Scen_Db_Data_Tables_Status_Off,Scenarios!J233)</f>
        <v>-11920.364296685639</v>
      </c>
      <c r="V59" s="81">
        <f>IF(Scen_Db_Data_Tables_Off,Scen_Db_Data_Tables_Status_Off,Scenarios!K233)</f>
        <v>49030.032558432293</v>
      </c>
      <c r="W59" s="81">
        <f>IF(Scen_Db_Data_Tables_Off,Scen_Db_Data_Tables_Status_Off,Scenarios!L233)</f>
        <v>5332.8602851333317</v>
      </c>
      <c r="X59" s="81">
        <f>IF(Scen_Db_Data_Tables_Off,Scen_Db_Data_Tables_Status_Off,Scenarios!M233)</f>
        <v>-21712.842399800433</v>
      </c>
      <c r="Y59" s="81">
        <f>IF(Scen_Db_Data_Tables_Off,Scen_Db_Data_Tables_Status_Off,Scenarios!N233)</f>
        <v>7763.1881965574212</v>
      </c>
      <c r="Z59" s="81">
        <f>IF(Scen_Db_Data_Tables_Off,Scen_Db_Data_Tables_Status_Off,Scenarios!O233)</f>
        <v>3566.7139867836577</v>
      </c>
      <c r="AA59" s="81">
        <f>IF(Scen_Db_Data_Tables_Off,Scen_Db_Data_Tables_Status_Off,Scenarios!P233)</f>
        <v>-20550.034244090755</v>
      </c>
      <c r="AB59" s="81">
        <f>IF(Scen_Db_Data_Tables_Off,Scen_Db_Data_Tables_Status_Off,Scenarios!Q233)</f>
        <v>6317.4447631912253</v>
      </c>
      <c r="AC59" s="81">
        <f>IF(Scen_Db_Data_Tables_Off,Scen_Db_Data_Tables_Status_Off,Scenarios!R233)</f>
        <v>2396.1384474378501</v>
      </c>
      <c r="AD59" s="81">
        <f>IF(Scen_Db_Data_Tables_Off,Scen_Db_Data_Tables_Status_Off,Scenarios!S233)</f>
        <v>-20440.673269204301</v>
      </c>
      <c r="AE59" s="81">
        <f>IF(Scen_Db_Data_Tables_Off,Scen_Db_Data_Tables_Status_Off,Scenarios!T233)</f>
        <v>6527.5860618629677</v>
      </c>
      <c r="AF59" s="86">
        <f>IF(Scen_Db_Data_Tables_Off,Scen_Db_Data_Tables_Status_Off,SUM(T59:AE59))</f>
        <v>-38529.080059887747</v>
      </c>
    </row>
    <row r="60" spans="2:32" outlineLevel="1" x14ac:dyDescent="0.15">
      <c r="B60" s="54" t="s">
        <v>79</v>
      </c>
      <c r="D60" s="88">
        <f t="shared" ref="D60:P60" si="9">IF(Scen_Db_Data_Tables_Off,Scen_Db_Data_Tables_Status_Off,SUM(D58:D59))</f>
        <v>-7112.4718497491049</v>
      </c>
      <c r="E60" s="88">
        <f t="shared" si="9"/>
        <v>-8002.1820624311113</v>
      </c>
      <c r="F60" s="88">
        <f t="shared" si="9"/>
        <v>-7924.7265884444441</v>
      </c>
      <c r="G60" s="88">
        <f t="shared" si="9"/>
        <v>-7003.3128157777792</v>
      </c>
      <c r="H60" s="88">
        <f t="shared" si="9"/>
        <v>-10535.795786053048</v>
      </c>
      <c r="I60" s="88">
        <f t="shared" si="9"/>
        <v>-8515.2438257992835</v>
      </c>
      <c r="J60" s="88">
        <f t="shared" si="9"/>
        <v>-8866.2083233777776</v>
      </c>
      <c r="K60" s="88">
        <f t="shared" si="9"/>
        <v>-8949.9727560530482</v>
      </c>
      <c r="L60" s="88">
        <f t="shared" si="9"/>
        <v>-10076.444983324443</v>
      </c>
      <c r="M60" s="88">
        <f t="shared" si="9"/>
        <v>-9528.3247103068097</v>
      </c>
      <c r="N60" s="88">
        <f t="shared" si="9"/>
        <v>-9378.4387911111116</v>
      </c>
      <c r="O60" s="88">
        <f t="shared" si="9"/>
        <v>-10023.622416470253</v>
      </c>
      <c r="P60" s="89">
        <f t="shared" si="9"/>
        <v>-105916.74490889821</v>
      </c>
      <c r="R60" s="56" t="s">
        <v>135</v>
      </c>
      <c r="T60" s="81">
        <f>IF(Scen_Db_Data_Tables_Off,Scen_Db_Data_Tables_Status_Off,Scenarios!I240)</f>
        <v>-210000</v>
      </c>
      <c r="U60" s="81">
        <f>IF(Scen_Db_Data_Tables_Off,Scen_Db_Data_Tables_Status_Off,Scenarios!J240)</f>
        <v>0</v>
      </c>
      <c r="V60" s="81">
        <f>IF(Scen_Db_Data_Tables_Off,Scen_Db_Data_Tables_Status_Off,Scenarios!K240)</f>
        <v>0</v>
      </c>
      <c r="W60" s="81">
        <f>IF(Scen_Db_Data_Tables_Off,Scen_Db_Data_Tables_Status_Off,Scenarios!L240)</f>
        <v>0</v>
      </c>
      <c r="X60" s="81">
        <f>IF(Scen_Db_Data_Tables_Off,Scen_Db_Data_Tables_Status_Off,Scenarios!M240)</f>
        <v>0</v>
      </c>
      <c r="Y60" s="81">
        <f>IF(Scen_Db_Data_Tables_Off,Scen_Db_Data_Tables_Status_Off,Scenarios!N240)</f>
        <v>0</v>
      </c>
      <c r="Z60" s="81">
        <f>IF(Scen_Db_Data_Tables_Off,Scen_Db_Data_Tables_Status_Off,Scenarios!O240)</f>
        <v>0</v>
      </c>
      <c r="AA60" s="81">
        <f>IF(Scen_Db_Data_Tables_Off,Scen_Db_Data_Tables_Status_Off,Scenarios!P240)</f>
        <v>0</v>
      </c>
      <c r="AB60" s="81">
        <f>IF(Scen_Db_Data_Tables_Off,Scen_Db_Data_Tables_Status_Off,Scenarios!Q240)</f>
        <v>0</v>
      </c>
      <c r="AC60" s="81">
        <f>IF(Scen_Db_Data_Tables_Off,Scen_Db_Data_Tables_Status_Off,Scenarios!R240)</f>
        <v>0</v>
      </c>
      <c r="AD60" s="81">
        <f>IF(Scen_Db_Data_Tables_Off,Scen_Db_Data_Tables_Status_Off,Scenarios!S240)</f>
        <v>0</v>
      </c>
      <c r="AE60" s="81">
        <f>IF(Scen_Db_Data_Tables_Off,Scen_Db_Data_Tables_Status_Off,Scenarios!T240)</f>
        <v>0</v>
      </c>
      <c r="AF60" s="86">
        <f>IF(Scen_Db_Data_Tables_Off,Scen_Db_Data_Tables_Status_Off,SUM(T60:AE60))</f>
        <v>-210000</v>
      </c>
    </row>
    <row r="61" spans="2:32" outlineLevel="1" x14ac:dyDescent="0.15">
      <c r="B61" s="56" t="s">
        <v>81</v>
      </c>
      <c r="D61" s="84">
        <f>IF(Scen_Db_Data_Tables_Off,Scen_Db_Data_Tables_Status_Off,-Scenarios!I182)</f>
        <v>0</v>
      </c>
      <c r="E61" s="84">
        <f>IF(Scen_Db_Data_Tables_Off,Scen_Db_Data_Tables_Status_Off,-Scenarios!J182)</f>
        <v>0</v>
      </c>
      <c r="F61" s="84">
        <f>IF(Scen_Db_Data_Tables_Off,Scen_Db_Data_Tables_Status_Off,-Scenarios!K182)</f>
        <v>0</v>
      </c>
      <c r="G61" s="84">
        <f>IF(Scen_Db_Data_Tables_Off,Scen_Db_Data_Tables_Status_Off,-Scenarios!L182)</f>
        <v>0</v>
      </c>
      <c r="H61" s="84">
        <f>IF(Scen_Db_Data_Tables_Off,Scen_Db_Data_Tables_Status_Off,-Scenarios!M182)</f>
        <v>0</v>
      </c>
      <c r="I61" s="84">
        <f>IF(Scen_Db_Data_Tables_Off,Scen_Db_Data_Tables_Status_Off,-Scenarios!N182)</f>
        <v>0</v>
      </c>
      <c r="J61" s="84">
        <f>IF(Scen_Db_Data_Tables_Off,Scen_Db_Data_Tables_Status_Off,-Scenarios!O182)</f>
        <v>0</v>
      </c>
      <c r="K61" s="84">
        <f>IF(Scen_Db_Data_Tables_Off,Scen_Db_Data_Tables_Status_Off,-Scenarios!P182)</f>
        <v>0</v>
      </c>
      <c r="L61" s="84">
        <f>IF(Scen_Db_Data_Tables_Off,Scen_Db_Data_Tables_Status_Off,-Scenarios!Q182)</f>
        <v>0</v>
      </c>
      <c r="M61" s="84">
        <f>IF(Scen_Db_Data_Tables_Off,Scen_Db_Data_Tables_Status_Off,-Scenarios!R182)</f>
        <v>0</v>
      </c>
      <c r="N61" s="84">
        <f>IF(Scen_Db_Data_Tables_Off,Scen_Db_Data_Tables_Status_Off,-Scenarios!S182)</f>
        <v>0</v>
      </c>
      <c r="O61" s="84">
        <f>IF(Scen_Db_Data_Tables_Off,Scen_Db_Data_Tables_Status_Off,-Scenarios!T182)</f>
        <v>0</v>
      </c>
      <c r="P61" s="86">
        <f>IF(Scen_Db_Data_Tables_Off,Scen_Db_Data_Tables_Status_Off,SUM(D61:O61))</f>
        <v>0</v>
      </c>
      <c r="R61" s="56" t="s">
        <v>143</v>
      </c>
      <c r="T61" s="81">
        <f>IF(Scen_Db_Data_Tables_Off,Scen_Db_Data_Tables_Status_Off,Scenarios!I247)</f>
        <v>300000</v>
      </c>
      <c r="U61" s="81">
        <f>IF(Scen_Db_Data_Tables_Off,Scen_Db_Data_Tables_Status_Off,Scenarios!J247)</f>
        <v>0</v>
      </c>
      <c r="V61" s="81">
        <f>IF(Scen_Db_Data_Tables_Off,Scen_Db_Data_Tables_Status_Off,Scenarios!K247)</f>
        <v>0</v>
      </c>
      <c r="W61" s="81">
        <f>IF(Scen_Db_Data_Tables_Off,Scen_Db_Data_Tables_Status_Off,Scenarios!L247)</f>
        <v>0</v>
      </c>
      <c r="X61" s="81">
        <f>IF(Scen_Db_Data_Tables_Off,Scen_Db_Data_Tables_Status_Off,Scenarios!M247)</f>
        <v>0</v>
      </c>
      <c r="Y61" s="81">
        <f>IF(Scen_Db_Data_Tables_Off,Scen_Db_Data_Tables_Status_Off,Scenarios!N247)</f>
        <v>0</v>
      </c>
      <c r="Z61" s="81">
        <f>IF(Scen_Db_Data_Tables_Off,Scen_Db_Data_Tables_Status_Off,Scenarios!O247)</f>
        <v>0</v>
      </c>
      <c r="AA61" s="81">
        <f>IF(Scen_Db_Data_Tables_Off,Scen_Db_Data_Tables_Status_Off,Scenarios!P247)</f>
        <v>0</v>
      </c>
      <c r="AB61" s="81">
        <f>IF(Scen_Db_Data_Tables_Off,Scen_Db_Data_Tables_Status_Off,Scenarios!Q247)</f>
        <v>0</v>
      </c>
      <c r="AC61" s="81">
        <f>IF(Scen_Db_Data_Tables_Off,Scen_Db_Data_Tables_Status_Off,Scenarios!R247)</f>
        <v>0</v>
      </c>
      <c r="AD61" s="81">
        <f>IF(Scen_Db_Data_Tables_Off,Scen_Db_Data_Tables_Status_Off,Scenarios!S247)</f>
        <v>0</v>
      </c>
      <c r="AE61" s="81">
        <f>IF(Scen_Db_Data_Tables_Off,Scen_Db_Data_Tables_Status_Off,Scenarios!T247)</f>
        <v>0</v>
      </c>
      <c r="AF61" s="86">
        <f>IF(Scen_Db_Data_Tables_Off,Scen_Db_Data_Tables_Status_Off,SUM(T61:AE61))</f>
        <v>300000</v>
      </c>
    </row>
    <row r="62" spans="2:32" ht="13" outlineLevel="1" thickBot="1" x14ac:dyDescent="0.2">
      <c r="B62" s="54" t="s">
        <v>83</v>
      </c>
      <c r="D62" s="91">
        <f t="shared" ref="D62:P62" si="10">IF(Scen_Db_Data_Tables_Off,Scen_Db_Data_Tables_Status_Off,SUM(D60:D61))</f>
        <v>-7112.4718497491049</v>
      </c>
      <c r="E62" s="91">
        <f t="shared" si="10"/>
        <v>-8002.1820624311113</v>
      </c>
      <c r="F62" s="91">
        <f t="shared" si="10"/>
        <v>-7924.7265884444441</v>
      </c>
      <c r="G62" s="91">
        <f t="shared" si="10"/>
        <v>-7003.3128157777792</v>
      </c>
      <c r="H62" s="91">
        <f t="shared" si="10"/>
        <v>-10535.795786053048</v>
      </c>
      <c r="I62" s="91">
        <f t="shared" si="10"/>
        <v>-8515.2438257992835</v>
      </c>
      <c r="J62" s="91">
        <f t="shared" si="10"/>
        <v>-8866.2083233777776</v>
      </c>
      <c r="K62" s="91">
        <f t="shared" si="10"/>
        <v>-8949.9727560530482</v>
      </c>
      <c r="L62" s="91">
        <f t="shared" si="10"/>
        <v>-10076.444983324443</v>
      </c>
      <c r="M62" s="91">
        <f t="shared" si="10"/>
        <v>-9528.3247103068097</v>
      </c>
      <c r="N62" s="91">
        <f t="shared" si="10"/>
        <v>-9378.4387911111116</v>
      </c>
      <c r="O62" s="91">
        <f t="shared" si="10"/>
        <v>-10023.622416470253</v>
      </c>
      <c r="P62" s="92">
        <f t="shared" si="10"/>
        <v>-105916.74490889821</v>
      </c>
      <c r="R62" s="54" t="s">
        <v>144</v>
      </c>
      <c r="T62" s="90">
        <f t="shared" ref="T62:AF62" si="11">IF(Scen_Db_Data_Tables_Off,Scen_Db_Data_Tables_Status_Off,SUM(T59:T61))</f>
        <v>45160.869850494637</v>
      </c>
      <c r="U62" s="90">
        <f t="shared" si="11"/>
        <v>-11920.364296685639</v>
      </c>
      <c r="V62" s="90">
        <f t="shared" si="11"/>
        <v>49030.032558432293</v>
      </c>
      <c r="W62" s="90">
        <f t="shared" si="11"/>
        <v>5332.8602851333317</v>
      </c>
      <c r="X62" s="90">
        <f t="shared" si="11"/>
        <v>-21712.842399800433</v>
      </c>
      <c r="Y62" s="90">
        <f t="shared" si="11"/>
        <v>7763.1881965574212</v>
      </c>
      <c r="Z62" s="90">
        <f t="shared" si="11"/>
        <v>3566.7139867836577</v>
      </c>
      <c r="AA62" s="90">
        <f t="shared" si="11"/>
        <v>-20550.034244090755</v>
      </c>
      <c r="AB62" s="90">
        <f t="shared" si="11"/>
        <v>6317.4447631912253</v>
      </c>
      <c r="AC62" s="90">
        <f t="shared" si="11"/>
        <v>2396.1384474378501</v>
      </c>
      <c r="AD62" s="90">
        <f t="shared" si="11"/>
        <v>-20440.673269204301</v>
      </c>
      <c r="AE62" s="90">
        <f t="shared" si="11"/>
        <v>6527.5860618629677</v>
      </c>
      <c r="AF62" s="89">
        <f t="shared" si="11"/>
        <v>51470.919940112246</v>
      </c>
    </row>
    <row r="63" spans="2:32" ht="13" outlineLevel="1" thickTop="1" x14ac:dyDescent="0.15"/>
    <row r="64" spans="2:32" outlineLevel="1" x14ac:dyDescent="0.15">
      <c r="B64" s="332" t="str">
        <f>"Scenario "&amp;Scenarios!H143&amp;" - "&amp;Lookups!D378</f>
        <v>Scenario 3 - Faster Growth</v>
      </c>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row>
    <row r="65" spans="2:32" outlineLevel="1" x14ac:dyDescent="0.15"/>
    <row r="66" spans="2:32" outlineLevel="1" x14ac:dyDescent="0.15">
      <c r="B66" s="54" t="s">
        <v>61</v>
      </c>
      <c r="D66" s="83" t="str">
        <f>Scenarios!I$124</f>
        <v>Aug-23</v>
      </c>
      <c r="E66" s="83" t="str">
        <f>Scenarios!J$124</f>
        <v>Sep-23</v>
      </c>
      <c r="F66" s="83" t="str">
        <f>Scenarios!K$124</f>
        <v>Oct-23</v>
      </c>
      <c r="G66" s="83" t="str">
        <f>Scenarios!L$124</f>
        <v>Nov-23</v>
      </c>
      <c r="H66" s="83" t="str">
        <f>Scenarios!M$124</f>
        <v>Dec-23</v>
      </c>
      <c r="I66" s="83" t="str">
        <f>Scenarios!N$124</f>
        <v>Jan-24</v>
      </c>
      <c r="J66" s="83" t="str">
        <f>Scenarios!O$124</f>
        <v>Feb-24</v>
      </c>
      <c r="K66" s="83" t="str">
        <f>Scenarios!P$124</f>
        <v>Mar-24</v>
      </c>
      <c r="L66" s="83" t="str">
        <f>Scenarios!Q$124</f>
        <v>Apr-24</v>
      </c>
      <c r="M66" s="83" t="str">
        <f>Scenarios!R$124</f>
        <v>May-24</v>
      </c>
      <c r="N66" s="83" t="str">
        <f>Scenarios!S$124</f>
        <v>Jun-24</v>
      </c>
      <c r="O66" s="83" t="str">
        <f>Scenarios!T$124</f>
        <v>Jul-24</v>
      </c>
      <c r="P66" s="85" t="s">
        <v>63</v>
      </c>
      <c r="R66" s="54" t="s">
        <v>88</v>
      </c>
      <c r="T66" s="83" t="str">
        <f>Scenarios!I$124</f>
        <v>Aug-23</v>
      </c>
      <c r="U66" s="83" t="str">
        <f>Scenarios!J$124</f>
        <v>Sep-23</v>
      </c>
      <c r="V66" s="83" t="str">
        <f>Scenarios!K$124</f>
        <v>Oct-23</v>
      </c>
      <c r="W66" s="83" t="str">
        <f>Scenarios!L$124</f>
        <v>Nov-23</v>
      </c>
      <c r="X66" s="83" t="str">
        <f>Scenarios!M$124</f>
        <v>Dec-23</v>
      </c>
      <c r="Y66" s="83" t="str">
        <f>Scenarios!N$124</f>
        <v>Jan-24</v>
      </c>
      <c r="Z66" s="83" t="str">
        <f>Scenarios!O$124</f>
        <v>Feb-24</v>
      </c>
      <c r="AA66" s="83" t="str">
        <f>Scenarios!P$124</f>
        <v>Mar-24</v>
      </c>
      <c r="AB66" s="83" t="str">
        <f>Scenarios!Q$124</f>
        <v>Apr-24</v>
      </c>
      <c r="AC66" s="83" t="str">
        <f>Scenarios!R$124</f>
        <v>May-24</v>
      </c>
      <c r="AD66" s="83" t="str">
        <f>Scenarios!S$124</f>
        <v>Jun-24</v>
      </c>
      <c r="AE66" s="83" t="str">
        <f>Scenarios!T$124</f>
        <v>Jul-24</v>
      </c>
      <c r="AF66" s="85" t="str">
        <f>AE66</f>
        <v>Jul-24</v>
      </c>
    </row>
    <row r="67" spans="2:32" outlineLevel="1" x14ac:dyDescent="0.15">
      <c r="B67" s="56" t="s">
        <v>64</v>
      </c>
      <c r="D67" s="84">
        <f>IF(Scen_Db_Data_Tables_Off,Scen_Db_Data_Tables_Status_Off,Scenarios!I143)</f>
        <v>3371.0619354838709</v>
      </c>
      <c r="E67" s="84">
        <f>IF(Scen_Db_Data_Tables_Off,Scen_Db_Data_Tables_Status_Off,Scenarios!J143)</f>
        <v>5585.7797099999998</v>
      </c>
      <c r="F67" s="84">
        <f>IF(Scen_Db_Data_Tables_Off,Scen_Db_Data_Tables_Status_Off,Scenarios!K143)</f>
        <v>5864.3349032258066</v>
      </c>
      <c r="G67" s="84">
        <f>IF(Scen_Db_Data_Tables_Off,Scen_Db_Data_Tables_Status_Off,Scenarios!L143)</f>
        <v>7066.0415000000003</v>
      </c>
      <c r="H67" s="84">
        <f>IF(Scen_Db_Data_Tables_Off,Scen_Db_Data_Tables_Status_Off,Scenarios!M143)</f>
        <v>3083.1966967741928</v>
      </c>
      <c r="I67" s="84">
        <f>IF(Scen_Db_Data_Tables_Off,Scen_Db_Data_Tables_Status_Off,Scenarios!N143)</f>
        <v>5648.4112096774197</v>
      </c>
      <c r="J67" s="84">
        <f>IF(Scen_Db_Data_Tables_Off,Scen_Db_Data_Tables_Status_Off,Scenarios!O143)</f>
        <v>6548.956799999999</v>
      </c>
      <c r="K67" s="84">
        <f>IF(Scen_Db_Data_Tables_Off,Scen_Db_Data_Tables_Status_Off,Scenarios!P143)</f>
        <v>6574.3502935483875</v>
      </c>
      <c r="L67" s="84">
        <f>IF(Scen_Db_Data_Tables_Off,Scen_Db_Data_Tables_Status_Off,Scenarios!Q143)</f>
        <v>5366.2810399999998</v>
      </c>
      <c r="M67" s="84">
        <f>IF(Scen_Db_Data_Tables_Off,Scen_Db_Data_Tables_Status_Off,Scenarios!R143)</f>
        <v>6289.8980225806445</v>
      </c>
      <c r="N67" s="84">
        <f>IF(Scen_Db_Data_Tables_Off,Scen_Db_Data_Tables_Status_Off,Scenarios!S143)</f>
        <v>6250.81</v>
      </c>
      <c r="O67" s="84">
        <f>IF(Scen_Db_Data_Tables_Off,Scen_Db_Data_Tables_Status_Off,Scenarios!T143)</f>
        <v>5828.7464</v>
      </c>
      <c r="P67" s="86">
        <f>IF(Scen_Db_Data_Tables_Off,Scen_Db_Data_Tables_Status_Off,SUM(D67:O67))</f>
        <v>67477.868511290319</v>
      </c>
      <c r="R67" s="56" t="s">
        <v>177</v>
      </c>
      <c r="T67" s="81">
        <f>IF(Scen_Db_Data_Tables_Off,Scen_Db_Data_Tables_Status_Off,Scenarios!I199)</f>
        <v>56366.869850494637</v>
      </c>
      <c r="U67" s="81">
        <f>IF(Scen_Db_Data_Tables_Off,Scen_Db_Data_Tables_Status_Off,Scenarios!J199)</f>
        <v>44684.985243006333</v>
      </c>
      <c r="V67" s="81">
        <f>IF(Scen_Db_Data_Tables_Off,Scen_Db_Data_Tables_Status_Off,Scenarios!K199)</f>
        <v>94105.496872070114</v>
      </c>
      <c r="W67" s="81">
        <f>IF(Scen_Db_Data_Tables_Off,Scen_Db_Data_Tables_Status_Off,Scenarios!L199)</f>
        <v>100059.02029547011</v>
      </c>
      <c r="X67" s="81">
        <f>IF(Scen_Db_Data_Tables_Off,Scen_Db_Data_Tables_Status_Off,Scenarios!M199)</f>
        <v>78689.240845694614</v>
      </c>
      <c r="Y67" s="81">
        <f>IF(Scen_Db_Data_Tables_Off,Scen_Db_Data_Tables_Status_Off,Scenarios!N199)</f>
        <v>87174.125964141072</v>
      </c>
      <c r="Z67" s="81">
        <f>IF(Scen_Db_Data_Tables_Off,Scen_Db_Data_Tables_Status_Off,Scenarios!O199)</f>
        <v>91632.585070711386</v>
      </c>
      <c r="AA67" s="81">
        <f>IF(Scen_Db_Data_Tables_Off,Scen_Db_Data_Tables_Status_Off,Scenarios!P199)</f>
        <v>72076.716451110085</v>
      </c>
      <c r="AB67" s="81">
        <f>IF(Scen_Db_Data_Tables_Off,Scen_Db_Data_Tables_Status_Off,Scenarios!Q199)</f>
        <v>79259.112878273445</v>
      </c>
      <c r="AC67" s="81">
        <f>IF(Scen_Db_Data_Tables_Off,Scen_Db_Data_Tables_Status_Off,Scenarios!R199)</f>
        <v>82769.180504612799</v>
      </c>
      <c r="AD67" s="81">
        <f>IF(Scen_Db_Data_Tables_Off,Scen_Db_Data_Tables_Status_Off,Scenarios!S199)</f>
        <v>63508.891296741829</v>
      </c>
      <c r="AE67" s="81">
        <f>IF(Scen_Db_Data_Tables_Off,Scen_Db_Data_Tables_Status_Off,Scenarios!T199)</f>
        <v>71187.144513412029</v>
      </c>
      <c r="AF67" s="86">
        <f>IF(Scen_Db_Data_Tables_Off,Scen_Db_Data_Tables_Status_Off,AE67)</f>
        <v>71187.144513412029</v>
      </c>
    </row>
    <row r="68" spans="2:32" outlineLevel="1" x14ac:dyDescent="0.15">
      <c r="B68" s="56" t="s">
        <v>65</v>
      </c>
      <c r="D68" s="84">
        <f>IF(Scen_Db_Data_Tables_Off,Scen_Db_Data_Tables_Status_Off,-Scenarios!I150)</f>
        <v>-854.31486709677404</v>
      </c>
      <c r="E68" s="84">
        <f>IF(Scen_Db_Data_Tables_Off,Scen_Db_Data_Tables_Status_Off,-Scenarios!J150)</f>
        <v>-820.13091594000002</v>
      </c>
      <c r="F68" s="84">
        <f>IF(Scen_Db_Data_Tables_Off,Scen_Db_Data_Tables_Status_Off,-Scenarios!K150)</f>
        <v>-859.74568864516129</v>
      </c>
      <c r="G68" s="84">
        <f>IF(Scen_Db_Data_Tables_Off,Scen_Db_Data_Tables_Status_Off,-Scenarios!L150)</f>
        <v>-878.82458099999997</v>
      </c>
      <c r="H68" s="84">
        <f>IF(Scen_Db_Data_Tables_Off,Scen_Db_Data_Tables_Status_Off,-Scenarios!M150)</f>
        <v>-791.85975375483872</v>
      </c>
      <c r="I68" s="84">
        <f>IF(Scen_Db_Data_Tables_Off,Scen_Db_Data_Tables_Status_Off,-Scenarios!N150)</f>
        <v>-896.94775693548365</v>
      </c>
      <c r="J68" s="84">
        <f>IF(Scen_Db_Data_Tables_Off,Scen_Db_Data_Tables_Status_Off,-Scenarios!O150)</f>
        <v>-839.29039519999992</v>
      </c>
      <c r="K68" s="84">
        <f>IF(Scen_Db_Data_Tables_Off,Scen_Db_Data_Tables_Status_Off,-Scenarios!P150)</f>
        <v>-841.90090410967741</v>
      </c>
      <c r="L68" s="84">
        <f>IF(Scen_Db_Data_Tables_Off,Scen_Db_Data_Tables_Status_Off,-Scenarios!Q150)</f>
        <v>-860.70293456000002</v>
      </c>
      <c r="M68" s="84">
        <f>IF(Scen_Db_Data_Tables_Off,Scen_Db_Data_Tables_Status_Off,-Scenarios!R150)</f>
        <v>-909.34857231612887</v>
      </c>
      <c r="N68" s="84">
        <f>IF(Scen_Db_Data_Tables_Off,Scen_Db_Data_Tables_Status_Off,-Scenarios!S150)</f>
        <v>-810.67633999999998</v>
      </c>
      <c r="O68" s="84">
        <f>IF(Scen_Db_Data_Tables_Off,Scen_Db_Data_Tables_Status_Off,-Scenarios!T150)</f>
        <v>-907.40244959999984</v>
      </c>
      <c r="P68" s="86">
        <f>IF(Scen_Db_Data_Tables_Off,Scen_Db_Data_Tables_Status_Off,SUM(D68:O68))</f>
        <v>-10271.145159158064</v>
      </c>
      <c r="R68" s="56" t="s">
        <v>93</v>
      </c>
      <c r="T68" s="81">
        <f>IF(Scen_Db_Data_Tables_Off,Scen_Db_Data_Tables_Status_Off,Scenarios!I206)</f>
        <v>56366.869850494637</v>
      </c>
      <c r="U68" s="81">
        <f>IF(Scen_Db_Data_Tables_Off,Scen_Db_Data_Tables_Status_Off,Scenarios!J206)</f>
        <v>44684.985243006333</v>
      </c>
      <c r="V68" s="81">
        <f>IF(Scen_Db_Data_Tables_Off,Scen_Db_Data_Tables_Status_Off,Scenarios!K206)</f>
        <v>94105.496872070114</v>
      </c>
      <c r="W68" s="81">
        <f>IF(Scen_Db_Data_Tables_Off,Scen_Db_Data_Tables_Status_Off,Scenarios!L206)</f>
        <v>100059.02029547011</v>
      </c>
      <c r="X68" s="81">
        <f>IF(Scen_Db_Data_Tables_Off,Scen_Db_Data_Tables_Status_Off,Scenarios!M206)</f>
        <v>78689.240845694614</v>
      </c>
      <c r="Y68" s="81">
        <f>IF(Scen_Db_Data_Tables_Off,Scen_Db_Data_Tables_Status_Off,Scenarios!N206)</f>
        <v>87174.125964141072</v>
      </c>
      <c r="Z68" s="81">
        <f>IF(Scen_Db_Data_Tables_Off,Scen_Db_Data_Tables_Status_Off,Scenarios!O206)</f>
        <v>91632.585070711386</v>
      </c>
      <c r="AA68" s="81">
        <f>IF(Scen_Db_Data_Tables_Off,Scen_Db_Data_Tables_Status_Off,Scenarios!P206)</f>
        <v>72076.716451110085</v>
      </c>
      <c r="AB68" s="81">
        <f>IF(Scen_Db_Data_Tables_Off,Scen_Db_Data_Tables_Status_Off,Scenarios!Q206)</f>
        <v>79259.112878273445</v>
      </c>
      <c r="AC68" s="81">
        <f>IF(Scen_Db_Data_Tables_Off,Scen_Db_Data_Tables_Status_Off,Scenarios!R206)</f>
        <v>82769.180504612799</v>
      </c>
      <c r="AD68" s="81">
        <f>IF(Scen_Db_Data_Tables_Off,Scen_Db_Data_Tables_Status_Off,Scenarios!S206)</f>
        <v>63508.891296741829</v>
      </c>
      <c r="AE68" s="81">
        <f>IF(Scen_Db_Data_Tables_Off,Scen_Db_Data_Tables_Status_Off,Scenarios!T206)</f>
        <v>71187.144513412029</v>
      </c>
      <c r="AF68" s="86">
        <f>IF(Scen_Db_Data_Tables_Off,Scen_Db_Data_Tables_Status_Off,AE68)</f>
        <v>71187.144513412029</v>
      </c>
    </row>
    <row r="69" spans="2:32" outlineLevel="1" x14ac:dyDescent="0.15">
      <c r="B69" s="54" t="s">
        <v>66</v>
      </c>
      <c r="D69" s="88">
        <f t="shared" ref="D69:P69" si="12">IF(Scen_Db_Data_Tables_Off,Scen_Db_Data_Tables_Status_Off,SUM(D67:D68))</f>
        <v>2516.747068387097</v>
      </c>
      <c r="E69" s="88">
        <f t="shared" si="12"/>
        <v>4765.64879406</v>
      </c>
      <c r="F69" s="88">
        <f t="shared" si="12"/>
        <v>5004.5892145806456</v>
      </c>
      <c r="G69" s="88">
        <f t="shared" si="12"/>
        <v>6187.2169190000004</v>
      </c>
      <c r="H69" s="88">
        <f t="shared" si="12"/>
        <v>2291.3369430193543</v>
      </c>
      <c r="I69" s="88">
        <f t="shared" si="12"/>
        <v>4751.4634527419357</v>
      </c>
      <c r="J69" s="88">
        <f t="shared" si="12"/>
        <v>5709.6664047999993</v>
      </c>
      <c r="K69" s="88">
        <f t="shared" si="12"/>
        <v>5732.4493894387106</v>
      </c>
      <c r="L69" s="88">
        <f t="shared" si="12"/>
        <v>4505.5781054399995</v>
      </c>
      <c r="M69" s="88">
        <f t="shared" si="12"/>
        <v>5380.5494502645161</v>
      </c>
      <c r="N69" s="88">
        <f t="shared" si="12"/>
        <v>5440.1336600000004</v>
      </c>
      <c r="O69" s="88">
        <f t="shared" si="12"/>
        <v>4921.3439503999998</v>
      </c>
      <c r="P69" s="89">
        <f t="shared" si="12"/>
        <v>57206.723352132256</v>
      </c>
      <c r="R69" s="56" t="s">
        <v>97</v>
      </c>
      <c r="T69" s="81">
        <f>IF(Scen_Db_Data_Tables_Off,Scen_Db_Data_Tables_Status_Off,Scenarios!I213)</f>
        <v>265951.89762827242</v>
      </c>
      <c r="U69" s="81">
        <f>IF(Scen_Db_Data_Tables_Off,Scen_Db_Data_Tables_Status_Off,Scenarios!J213)</f>
        <v>248469.81857633963</v>
      </c>
      <c r="V69" s="81">
        <f>IF(Scen_Db_Data_Tables_Off,Scen_Db_Data_Tables_Status_Off,Scenarios!K213)</f>
        <v>292090.135760959</v>
      </c>
      <c r="W69" s="81">
        <f>IF(Scen_Db_Data_Tables_Off,Scen_Db_Data_Tables_Status_Off,Scenarios!L213)</f>
        <v>292243.46473991452</v>
      </c>
      <c r="X69" s="81">
        <f>IF(Scen_Db_Data_Tables_Off,Scen_Db_Data_Tables_Status_Off,Scenarios!M213)</f>
        <v>265073.49084569456</v>
      </c>
      <c r="Y69" s="81">
        <f>IF(Scen_Db_Data_Tables_Off,Scen_Db_Data_Tables_Status_Off,Scenarios!N213)</f>
        <v>267758.18151969661</v>
      </c>
      <c r="Z69" s="81">
        <f>IF(Scen_Db_Data_Tables_Off,Scen_Db_Data_Tables_Status_Off,Scenarios!O213)</f>
        <v>266416.44618182245</v>
      </c>
      <c r="AA69" s="81">
        <f>IF(Scen_Db_Data_Tables_Off,Scen_Db_Data_Tables_Status_Off,Scenarios!P213)</f>
        <v>241060.38311777671</v>
      </c>
      <c r="AB69" s="81">
        <f>IF(Scen_Db_Data_Tables_Off,Scen_Db_Data_Tables_Status_Off,Scenarios!Q213)</f>
        <v>242442.58510049561</v>
      </c>
      <c r="AC69" s="81">
        <f>IF(Scen_Db_Data_Tables_Off,Scen_Db_Data_Tables_Status_Off,Scenarios!R213)</f>
        <v>240152.45828239052</v>
      </c>
      <c r="AD69" s="81">
        <f>IF(Scen_Db_Data_Tables_Off,Scen_Db_Data_Tables_Status_Off,Scenarios!S213)</f>
        <v>215091.9746300751</v>
      </c>
      <c r="AE69" s="81">
        <f>IF(Scen_Db_Data_Tables_Off,Scen_Db_Data_Tables_Status_Off,Scenarios!T213)</f>
        <v>216970.03340230085</v>
      </c>
      <c r="AF69" s="86">
        <f>IF(Scen_Db_Data_Tables_Off,Scen_Db_Data_Tables_Status_Off,AE69)</f>
        <v>216970.03340230085</v>
      </c>
    </row>
    <row r="70" spans="2:32" outlineLevel="1" x14ac:dyDescent="0.15">
      <c r="B70" s="56" t="s">
        <v>243</v>
      </c>
      <c r="D70" s="84">
        <f>IF(Scen_Db_Data_Tables_Off,Scen_Db_Data_Tables_Status_Off,-Scenarios!I162)</f>
        <v>-6676.2466959139792</v>
      </c>
      <c r="E70" s="84">
        <f>IF(Scen_Db_Data_Tables_Off,Scen_Db_Data_Tables_Status_Off,-Scenarios!J162)</f>
        <v>-6728.7204869533343</v>
      </c>
      <c r="F70" s="84">
        <f>IF(Scen_Db_Data_Tables_Off,Scen_Db_Data_Tables_Status_Off,-Scenarios!K162)</f>
        <v>-6738.5987012043015</v>
      </c>
      <c r="G70" s="84">
        <f>IF(Scen_Db_Data_Tables_Off,Scen_Db_Data_Tables_Status_Off,-Scenarios!L162)</f>
        <v>-6768.786246333334</v>
      </c>
      <c r="H70" s="84">
        <f>IF(Scen_Db_Data_Tables_Off,Scen_Db_Data_Tables_Status_Off,-Scenarios!M162)</f>
        <v>-6684.9136606623661</v>
      </c>
      <c r="I70" s="84">
        <f>IF(Scen_Db_Data_Tables_Off,Scen_Db_Data_Tables_Status_Off,-Scenarios!N162)</f>
        <v>-6745.0983799462374</v>
      </c>
      <c r="J70" s="84">
        <f>IF(Scen_Db_Data_Tables_Off,Scen_Db_Data_Tables_Status_Off,-Scenarios!O162)</f>
        <v>-7883.7603829333339</v>
      </c>
      <c r="K70" s="84">
        <f>IF(Scen_Db_Data_Tables_Off,Scen_Db_Data_Tables_Status_Off,-Scenarios!P162)</f>
        <v>-7888.0690397913986</v>
      </c>
      <c r="L70" s="84">
        <f>IF(Scen_Db_Data_Tables_Off,Scen_Db_Data_Tables_Status_Off,-Scenarios!Q162)</f>
        <v>-7918.3415162133333</v>
      </c>
      <c r="M70" s="84">
        <f>IF(Scen_Db_Data_Tables_Off,Scen_Db_Data_Tables_Status_Off,-Scenarios!R162)</f>
        <v>-7995.5110898301082</v>
      </c>
      <c r="N70" s="84">
        <f>IF(Scen_Db_Data_Tables_Off,Scen_Db_Data_Tables_Status_Off,-Scenarios!S162)</f>
        <v>-7839.101153333334</v>
      </c>
      <c r="O70" s="84">
        <f>IF(Scen_Db_Data_Tables_Off,Scen_Db_Data_Tables_Status_Off,-Scenarios!T162)</f>
        <v>-7992.8657541333341</v>
      </c>
      <c r="P70" s="86">
        <f>IF(Scen_Db_Data_Tables_Off,Scen_Db_Data_Tables_Status_Off,SUM(D70:O70))</f>
        <v>-87860.013107248407</v>
      </c>
      <c r="R70" s="56" t="s">
        <v>110</v>
      </c>
      <c r="T70" s="81">
        <f>IF(Scen_Db_Data_Tables_Off,Scen_Db_Data_Tables_Status_Off,Scenarios!I220)</f>
        <v>265661.36947802152</v>
      </c>
      <c r="U70" s="81">
        <f>IF(Scen_Db_Data_Tables_Off,Scen_Db_Data_Tables_Status_Off,Scenarios!J220)</f>
        <v>255942.55656342654</v>
      </c>
      <c r="V70" s="81">
        <f>IF(Scen_Db_Data_Tables_Off,Scen_Db_Data_Tables_Status_Off,Scenarios!K220)</f>
        <v>307097.07767911395</v>
      </c>
      <c r="W70" s="81">
        <f>IF(Scen_Db_Data_Tables_Off,Scen_Db_Data_Tables_Status_Off,Scenarios!L220)</f>
        <v>313632.17042984732</v>
      </c>
      <c r="X70" s="81">
        <f>IF(Scen_Db_Data_Tables_Off,Scen_Db_Data_Tables_Status_Off,Scenarios!M220)</f>
        <v>296655.96769771486</v>
      </c>
      <c r="Y70" s="81">
        <f>IF(Scen_Db_Data_Tables_Off,Scen_Db_Data_Tables_Status_Off,Scenarios!N220)</f>
        <v>307134.48774336558</v>
      </c>
      <c r="Z70" s="81">
        <f>IF(Scen_Db_Data_Tables_Off,Scen_Db_Data_Tables_Status_Off,Scenarios!O220)</f>
        <v>313767.04082806926</v>
      </c>
      <c r="AA70" s="81">
        <f>IF(Scen_Db_Data_Tables_Off,Scen_Db_Data_Tables_Status_Off,Scenarios!P220)</f>
        <v>296366.79185882065</v>
      </c>
      <c r="AB70" s="81">
        <f>IF(Scen_Db_Data_Tables_Off,Scen_Db_Data_Tables_Status_Off,Scenarios!Q220)</f>
        <v>306961.95169675734</v>
      </c>
      <c r="AC70" s="81">
        <f>IF(Scen_Db_Data_Tables_Off,Scen_Db_Data_Tables_Status_Off,Scenarios!R220)</f>
        <v>313086.98096266226</v>
      </c>
      <c r="AD70" s="81">
        <f>IF(Scen_Db_Data_Tables_Off,Scen_Db_Data_Tables_Status_Off,Scenarios!S220)</f>
        <v>296225.65924812463</v>
      </c>
      <c r="AE70" s="81">
        <f>IF(Scen_Db_Data_Tables_Off,Scen_Db_Data_Tables_Status_Off,Scenarios!T220)</f>
        <v>306975.43426852819</v>
      </c>
      <c r="AF70" s="86">
        <f>IF(Scen_Db_Data_Tables_Off,Scen_Db_Data_Tables_Status_Off,AE70)</f>
        <v>306975.43426852819</v>
      </c>
    </row>
    <row r="71" spans="2:32" outlineLevel="1" x14ac:dyDescent="0.15">
      <c r="B71" s="54" t="s">
        <v>72</v>
      </c>
      <c r="D71" s="88">
        <f t="shared" ref="D71:P71" si="13">IF(Scen_Db_Data_Tables_Off,Scen_Db_Data_Tables_Status_Off,SUM(D69:D70))</f>
        <v>-4159.4996275268823</v>
      </c>
      <c r="E71" s="88">
        <f t="shared" si="13"/>
        <v>-1963.0716928933343</v>
      </c>
      <c r="F71" s="88">
        <f t="shared" si="13"/>
        <v>-1734.0094866236559</v>
      </c>
      <c r="G71" s="88">
        <f t="shared" si="13"/>
        <v>-581.5693273333336</v>
      </c>
      <c r="H71" s="88">
        <f t="shared" si="13"/>
        <v>-4393.5767176430118</v>
      </c>
      <c r="I71" s="88">
        <f t="shared" si="13"/>
        <v>-1993.6349272043017</v>
      </c>
      <c r="J71" s="88">
        <f t="shared" si="13"/>
        <v>-2174.0939781333345</v>
      </c>
      <c r="K71" s="88">
        <f t="shared" si="13"/>
        <v>-2155.619650352688</v>
      </c>
      <c r="L71" s="88">
        <f t="shared" si="13"/>
        <v>-3412.7634107733338</v>
      </c>
      <c r="M71" s="88">
        <f t="shared" si="13"/>
        <v>-2614.9616395655921</v>
      </c>
      <c r="N71" s="88">
        <f t="shared" si="13"/>
        <v>-2398.9674933333336</v>
      </c>
      <c r="O71" s="88">
        <f t="shared" si="13"/>
        <v>-3071.5218037333343</v>
      </c>
      <c r="P71" s="89">
        <f t="shared" si="13"/>
        <v>-30653.289755116151</v>
      </c>
      <c r="R71" s="54" t="s">
        <v>103</v>
      </c>
      <c r="T71" s="90">
        <f>IF(Scen_Db_Data_Tables_Off,Scen_Db_Data_Tables_Status_Off,Scenarios!I225)</f>
        <v>290.5281502509024</v>
      </c>
      <c r="U71" s="90">
        <f>IF(Scen_Db_Data_Tables_Off,Scen_Db_Data_Tables_Status_Off,Scenarios!J225)</f>
        <v>-7472.7379870869045</v>
      </c>
      <c r="V71" s="90">
        <f>IF(Scen_Db_Data_Tables_Off,Scen_Db_Data_Tables_Status_Off,Scenarios!K225)</f>
        <v>-15006.941918154946</v>
      </c>
      <c r="W71" s="90">
        <f>IF(Scen_Db_Data_Tables_Off,Scen_Db_Data_Tables_Status_Off,Scenarios!L225)</f>
        <v>-21388.705689932802</v>
      </c>
      <c r="X71" s="90">
        <f>IF(Scen_Db_Data_Tables_Off,Scen_Db_Data_Tables_Status_Off,Scenarios!M225)</f>
        <v>-31582.476852020307</v>
      </c>
      <c r="Y71" s="90">
        <f>IF(Scen_Db_Data_Tables_Off,Scen_Db_Data_Tables_Status_Off,Scenarios!N225)</f>
        <v>-39376.306223668973</v>
      </c>
      <c r="Z71" s="90">
        <f>IF(Scen_Db_Data_Tables_Off,Scen_Db_Data_Tables_Status_Off,Scenarios!O225)</f>
        <v>-47350.594646246813</v>
      </c>
      <c r="AA71" s="90">
        <f>IF(Scen_Db_Data_Tables_Off,Scen_Db_Data_Tables_Status_Off,Scenarios!P225)</f>
        <v>-55306.408741043939</v>
      </c>
      <c r="AB71" s="90">
        <f>IF(Scen_Db_Data_Tables_Off,Scen_Db_Data_Tables_Status_Off,Scenarios!Q225)</f>
        <v>-64519.366596261738</v>
      </c>
      <c r="AC71" s="90">
        <f>IF(Scen_Db_Data_Tables_Off,Scen_Db_Data_Tables_Status_Off,Scenarios!R225)</f>
        <v>-72934.522680271737</v>
      </c>
      <c r="AD71" s="90">
        <f>IF(Scen_Db_Data_Tables_Off,Scen_Db_Data_Tables_Status_Off,Scenarios!S225)</f>
        <v>-81133.684618049534</v>
      </c>
      <c r="AE71" s="90">
        <f>IF(Scen_Db_Data_Tables_Off,Scen_Db_Data_Tables_Status_Off,Scenarios!T225)</f>
        <v>-90005.400866227341</v>
      </c>
      <c r="AF71" s="89">
        <f>IF(Scen_Db_Data_Tables_Off,Scen_Db_Data_Tables_Status_Off,AE71)</f>
        <v>-90005.400866227341</v>
      </c>
    </row>
    <row r="72" spans="2:32" outlineLevel="1" x14ac:dyDescent="0.15">
      <c r="B72" s="56" t="s">
        <v>75</v>
      </c>
      <c r="D72" s="84">
        <f>IF(Scen_Db_Data_Tables_Off,Scen_Db_Data_Tables_Status_Off,-Scenarios!I169)</f>
        <v>-2952.9722222222222</v>
      </c>
      <c r="E72" s="84">
        <f>IF(Scen_Db_Data_Tables_Off,Scen_Db_Data_Tables_Status_Off,-Scenarios!J169)</f>
        <v>-5800.1944444444443</v>
      </c>
      <c r="F72" s="84">
        <f>IF(Scen_Db_Data_Tables_Off,Scen_Db_Data_Tables_Status_Off,-Scenarios!K169)</f>
        <v>-5800.1944444444443</v>
      </c>
      <c r="G72" s="84">
        <f>IF(Scen_Db_Data_Tables_Off,Scen_Db_Data_Tables_Status_Off,-Scenarios!L169)</f>
        <v>-5800.1944444444443</v>
      </c>
      <c r="H72" s="84">
        <f>IF(Scen_Db_Data_Tables_Off,Scen_Db_Data_Tables_Status_Off,-Scenarios!M169)</f>
        <v>-5800.1944444444443</v>
      </c>
      <c r="I72" s="84">
        <f>IF(Scen_Db_Data_Tables_Off,Scen_Db_Data_Tables_Status_Off,-Scenarios!N169)</f>
        <v>-5800.1944444444443</v>
      </c>
      <c r="J72" s="84">
        <f>IF(Scen_Db_Data_Tables_Off,Scen_Db_Data_Tables_Status_Off,-Scenarios!O169)</f>
        <v>-5800.1944444444443</v>
      </c>
      <c r="K72" s="84">
        <f>IF(Scen_Db_Data_Tables_Off,Scen_Db_Data_Tables_Status_Off,-Scenarios!P169)</f>
        <v>-5800.1944444444443</v>
      </c>
      <c r="L72" s="84">
        <f>IF(Scen_Db_Data_Tables_Off,Scen_Db_Data_Tables_Status_Off,-Scenarios!Q169)</f>
        <v>-5800.1944444444443</v>
      </c>
      <c r="M72" s="84">
        <f>IF(Scen_Db_Data_Tables_Off,Scen_Db_Data_Tables_Status_Off,-Scenarios!R169)</f>
        <v>-5800.1944444444443</v>
      </c>
      <c r="N72" s="84">
        <f>IF(Scen_Db_Data_Tables_Off,Scen_Db_Data_Tables_Status_Off,-Scenarios!S169)</f>
        <v>-5800.1944444444443</v>
      </c>
      <c r="O72" s="84">
        <f>IF(Scen_Db_Data_Tables_Off,Scen_Db_Data_Tables_Status_Off,-Scenarios!T169)</f>
        <v>-5800.1944444444443</v>
      </c>
      <c r="P72" s="86">
        <f>IF(Scen_Db_Data_Tables_Off,Scen_Db_Data_Tables_Status_Off,SUM(D72:O72))</f>
        <v>-66755.111111111109</v>
      </c>
    </row>
    <row r="73" spans="2:32" outlineLevel="1" x14ac:dyDescent="0.15">
      <c r="B73" s="54" t="s">
        <v>76</v>
      </c>
      <c r="D73" s="88">
        <f t="shared" ref="D73:P73" si="14">IF(Scen_Db_Data_Tables_Off,Scen_Db_Data_Tables_Status_Off,SUM(D71:D72))</f>
        <v>-7112.4718497491049</v>
      </c>
      <c r="E73" s="88">
        <f t="shared" si="14"/>
        <v>-7763.2661373377787</v>
      </c>
      <c r="F73" s="88">
        <f t="shared" si="14"/>
        <v>-7534.2039310681002</v>
      </c>
      <c r="G73" s="88">
        <f t="shared" si="14"/>
        <v>-6381.7637717777779</v>
      </c>
      <c r="H73" s="88">
        <f t="shared" si="14"/>
        <v>-10193.771162087456</v>
      </c>
      <c r="I73" s="88">
        <f t="shared" si="14"/>
        <v>-7793.829371648746</v>
      </c>
      <c r="J73" s="88">
        <f t="shared" si="14"/>
        <v>-7974.2884225777789</v>
      </c>
      <c r="K73" s="88">
        <f t="shared" si="14"/>
        <v>-7955.8140947971324</v>
      </c>
      <c r="L73" s="88">
        <f t="shared" si="14"/>
        <v>-9212.9578552177773</v>
      </c>
      <c r="M73" s="88">
        <f t="shared" si="14"/>
        <v>-8415.1560840100356</v>
      </c>
      <c r="N73" s="88">
        <f t="shared" si="14"/>
        <v>-8199.1619377777788</v>
      </c>
      <c r="O73" s="88">
        <f t="shared" si="14"/>
        <v>-8871.7162481777777</v>
      </c>
      <c r="P73" s="89">
        <f t="shared" si="14"/>
        <v>-97408.400866227254</v>
      </c>
      <c r="R73" s="54" t="s">
        <v>116</v>
      </c>
      <c r="T73" s="83" t="str">
        <f>Scenarios!I$124</f>
        <v>Aug-23</v>
      </c>
      <c r="U73" s="83" t="str">
        <f>Scenarios!J$124</f>
        <v>Sep-23</v>
      </c>
      <c r="V73" s="83" t="str">
        <f>Scenarios!K$124</f>
        <v>Oct-23</v>
      </c>
      <c r="W73" s="83" t="str">
        <f>Scenarios!L$124</f>
        <v>Nov-23</v>
      </c>
      <c r="X73" s="83" t="str">
        <f>Scenarios!M$124</f>
        <v>Dec-23</v>
      </c>
      <c r="Y73" s="83" t="str">
        <f>Scenarios!N$124</f>
        <v>Jan-24</v>
      </c>
      <c r="Z73" s="83" t="str">
        <f>Scenarios!O$124</f>
        <v>Feb-24</v>
      </c>
      <c r="AA73" s="83" t="str">
        <f>Scenarios!P$124</f>
        <v>Mar-24</v>
      </c>
      <c r="AB73" s="83" t="str">
        <f>Scenarios!Q$124</f>
        <v>Apr-24</v>
      </c>
      <c r="AC73" s="83" t="str">
        <f>Scenarios!R$124</f>
        <v>May-24</v>
      </c>
      <c r="AD73" s="83" t="str">
        <f>Scenarios!S$124</f>
        <v>Jun-24</v>
      </c>
      <c r="AE73" s="83" t="str">
        <f>Scenarios!T$124</f>
        <v>Jul-24</v>
      </c>
      <c r="AF73" s="85" t="s">
        <v>63</v>
      </c>
    </row>
    <row r="74" spans="2:32" outlineLevel="1" x14ac:dyDescent="0.15">
      <c r="B74" s="56" t="s">
        <v>78</v>
      </c>
      <c r="D74" s="84">
        <f>IF(Scen_Db_Data_Tables_Off,Scen_Db_Data_Tables_Status_Off,-Scenarios!I176)</f>
        <v>0</v>
      </c>
      <c r="E74" s="84">
        <f>IF(Scen_Db_Data_Tables_Off,Scen_Db_Data_Tables_Status_Off,-Scenarios!J176)</f>
        <v>0</v>
      </c>
      <c r="F74" s="84">
        <f>IF(Scen_Db_Data_Tables_Off,Scen_Db_Data_Tables_Status_Off,-Scenarios!K176)</f>
        <v>0</v>
      </c>
      <c r="G74" s="84">
        <f>IF(Scen_Db_Data_Tables_Off,Scen_Db_Data_Tables_Status_Off,-Scenarios!L176)</f>
        <v>0</v>
      </c>
      <c r="H74" s="84">
        <f>IF(Scen_Db_Data_Tables_Off,Scen_Db_Data_Tables_Status_Off,-Scenarios!M176)</f>
        <v>0</v>
      </c>
      <c r="I74" s="84">
        <f>IF(Scen_Db_Data_Tables_Off,Scen_Db_Data_Tables_Status_Off,-Scenarios!N176)</f>
        <v>0</v>
      </c>
      <c r="J74" s="84">
        <f>IF(Scen_Db_Data_Tables_Off,Scen_Db_Data_Tables_Status_Off,-Scenarios!O176)</f>
        <v>0</v>
      </c>
      <c r="K74" s="84">
        <f>IF(Scen_Db_Data_Tables_Off,Scen_Db_Data_Tables_Status_Off,-Scenarios!P176)</f>
        <v>0</v>
      </c>
      <c r="L74" s="84">
        <f>IF(Scen_Db_Data_Tables_Off,Scen_Db_Data_Tables_Status_Off,-Scenarios!Q176)</f>
        <v>0</v>
      </c>
      <c r="M74" s="84">
        <f>IF(Scen_Db_Data_Tables_Off,Scen_Db_Data_Tables_Status_Off,-Scenarios!R176)</f>
        <v>0</v>
      </c>
      <c r="N74" s="84">
        <f>IF(Scen_Db_Data_Tables_Off,Scen_Db_Data_Tables_Status_Off,-Scenarios!S176)</f>
        <v>0</v>
      </c>
      <c r="O74" s="84">
        <f>IF(Scen_Db_Data_Tables_Off,Scen_Db_Data_Tables_Status_Off,-Scenarios!T176)</f>
        <v>0</v>
      </c>
      <c r="P74" s="86">
        <f>IF(Scen_Db_Data_Tables_Off,Scen_Db_Data_Tables_Status_Off,SUM(D74:O74))</f>
        <v>0</v>
      </c>
      <c r="R74" s="56" t="s">
        <v>132</v>
      </c>
      <c r="T74" s="81">
        <f>IF(Scen_Db_Data_Tables_Off,Scen_Db_Data_Tables_Status_Off,Scenarios!I234)</f>
        <v>-44839.13014950537</v>
      </c>
      <c r="U74" s="81">
        <f>IF(Scen_Db_Data_Tables_Off,Scen_Db_Data_Tables_Status_Off,Scenarios!J234)</f>
        <v>-11681.884607488304</v>
      </c>
      <c r="V74" s="81">
        <f>IF(Scen_Db_Data_Tables_Off,Scen_Db_Data_Tables_Status_Off,Scenarios!K234)</f>
        <v>49420.511629063782</v>
      </c>
      <c r="W74" s="81">
        <f>IF(Scen_Db_Data_Tables_Off,Scen_Db_Data_Tables_Status_Off,Scenarios!L234)</f>
        <v>5953.5234234</v>
      </c>
      <c r="X74" s="81">
        <f>IF(Scen_Db_Data_Tables_Off,Scen_Db_Data_Tables_Status_Off,Scenarios!M234)</f>
        <v>-21369.779449775488</v>
      </c>
      <c r="Y74" s="81">
        <f>IF(Scen_Db_Data_Tables_Off,Scen_Db_Data_Tables_Status_Off,Scenarios!N234)</f>
        <v>8484.8851184464547</v>
      </c>
      <c r="Z74" s="81">
        <f>IF(Scen_Db_Data_Tables_Off,Scen_Db_Data_Tables_Status_Off,Scenarios!O234)</f>
        <v>4458.4591065703207</v>
      </c>
      <c r="AA74" s="81">
        <f>IF(Scen_Db_Data_Tables_Off,Scen_Db_Data_Tables_Status_Off,Scenarios!P234)</f>
        <v>-19555.868619601293</v>
      </c>
      <c r="AB74" s="81">
        <f>IF(Scen_Db_Data_Tables_Off,Scen_Db_Data_Tables_Status_Off,Scenarios!Q234)</f>
        <v>7182.3964271633558</v>
      </c>
      <c r="AC74" s="81">
        <f>IF(Scen_Db_Data_Tables_Off,Scen_Db_Data_Tables_Status_Off,Scenarios!R234)</f>
        <v>3510.0676263393552</v>
      </c>
      <c r="AD74" s="81">
        <f>IF(Scen_Db_Data_Tables_Off,Scen_Db_Data_Tables_Status_Off,Scenarios!S234)</f>
        <v>-19260.28920787097</v>
      </c>
      <c r="AE74" s="81">
        <f>IF(Scen_Db_Data_Tables_Off,Scen_Db_Data_Tables_Status_Off,Scenarios!T234)</f>
        <v>7678.2532166701931</v>
      </c>
      <c r="AF74" s="86">
        <f>IF(Scen_Db_Data_Tables_Off,Scen_Db_Data_Tables_Status_Off,SUM(T74:AE74))</f>
        <v>-30018.855486587963</v>
      </c>
    </row>
    <row r="75" spans="2:32" outlineLevel="1" x14ac:dyDescent="0.15">
      <c r="B75" s="54" t="s">
        <v>79</v>
      </c>
      <c r="D75" s="88">
        <f t="shared" ref="D75:P75" si="15">IF(Scen_Db_Data_Tables_Off,Scen_Db_Data_Tables_Status_Off,SUM(D73:D74))</f>
        <v>-7112.4718497491049</v>
      </c>
      <c r="E75" s="88">
        <f t="shared" si="15"/>
        <v>-7763.2661373377787</v>
      </c>
      <c r="F75" s="88">
        <f t="shared" si="15"/>
        <v>-7534.2039310681002</v>
      </c>
      <c r="G75" s="88">
        <f t="shared" si="15"/>
        <v>-6381.7637717777779</v>
      </c>
      <c r="H75" s="88">
        <f t="shared" si="15"/>
        <v>-10193.771162087456</v>
      </c>
      <c r="I75" s="88">
        <f t="shared" si="15"/>
        <v>-7793.829371648746</v>
      </c>
      <c r="J75" s="88">
        <f t="shared" si="15"/>
        <v>-7974.2884225777789</v>
      </c>
      <c r="K75" s="88">
        <f t="shared" si="15"/>
        <v>-7955.8140947971324</v>
      </c>
      <c r="L75" s="88">
        <f t="shared" si="15"/>
        <v>-9212.9578552177773</v>
      </c>
      <c r="M75" s="88">
        <f t="shared" si="15"/>
        <v>-8415.1560840100356</v>
      </c>
      <c r="N75" s="88">
        <f t="shared" si="15"/>
        <v>-8199.1619377777788</v>
      </c>
      <c r="O75" s="88">
        <f t="shared" si="15"/>
        <v>-8871.7162481777777</v>
      </c>
      <c r="P75" s="89">
        <f t="shared" si="15"/>
        <v>-97408.400866227254</v>
      </c>
      <c r="R75" s="56" t="s">
        <v>135</v>
      </c>
      <c r="T75" s="81">
        <f>IF(Scen_Db_Data_Tables_Off,Scen_Db_Data_Tables_Status_Off,Scenarios!I241)</f>
        <v>-210000</v>
      </c>
      <c r="U75" s="81">
        <f>IF(Scen_Db_Data_Tables_Off,Scen_Db_Data_Tables_Status_Off,Scenarios!J241)</f>
        <v>0</v>
      </c>
      <c r="V75" s="81">
        <f>IF(Scen_Db_Data_Tables_Off,Scen_Db_Data_Tables_Status_Off,Scenarios!K241)</f>
        <v>0</v>
      </c>
      <c r="W75" s="81">
        <f>IF(Scen_Db_Data_Tables_Off,Scen_Db_Data_Tables_Status_Off,Scenarios!L241)</f>
        <v>0</v>
      </c>
      <c r="X75" s="81">
        <f>IF(Scen_Db_Data_Tables_Off,Scen_Db_Data_Tables_Status_Off,Scenarios!M241)</f>
        <v>0</v>
      </c>
      <c r="Y75" s="81">
        <f>IF(Scen_Db_Data_Tables_Off,Scen_Db_Data_Tables_Status_Off,Scenarios!N241)</f>
        <v>0</v>
      </c>
      <c r="Z75" s="81">
        <f>IF(Scen_Db_Data_Tables_Off,Scen_Db_Data_Tables_Status_Off,Scenarios!O241)</f>
        <v>0</v>
      </c>
      <c r="AA75" s="81">
        <f>IF(Scen_Db_Data_Tables_Off,Scen_Db_Data_Tables_Status_Off,Scenarios!P241)</f>
        <v>0</v>
      </c>
      <c r="AB75" s="81">
        <f>IF(Scen_Db_Data_Tables_Off,Scen_Db_Data_Tables_Status_Off,Scenarios!Q241)</f>
        <v>0</v>
      </c>
      <c r="AC75" s="81">
        <f>IF(Scen_Db_Data_Tables_Off,Scen_Db_Data_Tables_Status_Off,Scenarios!R241)</f>
        <v>0</v>
      </c>
      <c r="AD75" s="81">
        <f>IF(Scen_Db_Data_Tables_Off,Scen_Db_Data_Tables_Status_Off,Scenarios!S241)</f>
        <v>0</v>
      </c>
      <c r="AE75" s="81">
        <f>IF(Scen_Db_Data_Tables_Off,Scen_Db_Data_Tables_Status_Off,Scenarios!T241)</f>
        <v>0</v>
      </c>
      <c r="AF75" s="86">
        <f>IF(Scen_Db_Data_Tables_Off,Scen_Db_Data_Tables_Status_Off,SUM(T75:AE75))</f>
        <v>-210000</v>
      </c>
    </row>
    <row r="76" spans="2:32" outlineLevel="1" x14ac:dyDescent="0.15">
      <c r="B76" s="56" t="s">
        <v>81</v>
      </c>
      <c r="D76" s="84">
        <f>IF(Scen_Db_Data_Tables_Off,Scen_Db_Data_Tables_Status_Off,-Scenarios!I183)</f>
        <v>0</v>
      </c>
      <c r="E76" s="84">
        <f>IF(Scen_Db_Data_Tables_Off,Scen_Db_Data_Tables_Status_Off,-Scenarios!J183)</f>
        <v>0</v>
      </c>
      <c r="F76" s="84">
        <f>IF(Scen_Db_Data_Tables_Off,Scen_Db_Data_Tables_Status_Off,-Scenarios!K183)</f>
        <v>0</v>
      </c>
      <c r="G76" s="84">
        <f>IF(Scen_Db_Data_Tables_Off,Scen_Db_Data_Tables_Status_Off,-Scenarios!L183)</f>
        <v>0</v>
      </c>
      <c r="H76" s="84">
        <f>IF(Scen_Db_Data_Tables_Off,Scen_Db_Data_Tables_Status_Off,-Scenarios!M183)</f>
        <v>0</v>
      </c>
      <c r="I76" s="84">
        <f>IF(Scen_Db_Data_Tables_Off,Scen_Db_Data_Tables_Status_Off,-Scenarios!N183)</f>
        <v>0</v>
      </c>
      <c r="J76" s="84">
        <f>IF(Scen_Db_Data_Tables_Off,Scen_Db_Data_Tables_Status_Off,-Scenarios!O183)</f>
        <v>0</v>
      </c>
      <c r="K76" s="84">
        <f>IF(Scen_Db_Data_Tables_Off,Scen_Db_Data_Tables_Status_Off,-Scenarios!P183)</f>
        <v>0</v>
      </c>
      <c r="L76" s="84">
        <f>IF(Scen_Db_Data_Tables_Off,Scen_Db_Data_Tables_Status_Off,-Scenarios!Q183)</f>
        <v>0</v>
      </c>
      <c r="M76" s="84">
        <f>IF(Scen_Db_Data_Tables_Off,Scen_Db_Data_Tables_Status_Off,-Scenarios!R183)</f>
        <v>0</v>
      </c>
      <c r="N76" s="84">
        <f>IF(Scen_Db_Data_Tables_Off,Scen_Db_Data_Tables_Status_Off,-Scenarios!S183)</f>
        <v>0</v>
      </c>
      <c r="O76" s="84">
        <f>IF(Scen_Db_Data_Tables_Off,Scen_Db_Data_Tables_Status_Off,-Scenarios!T183)</f>
        <v>0</v>
      </c>
      <c r="P76" s="86">
        <f>IF(Scen_Db_Data_Tables_Off,Scen_Db_Data_Tables_Status_Off,SUM(D76:O76))</f>
        <v>0</v>
      </c>
      <c r="R76" s="56" t="s">
        <v>143</v>
      </c>
      <c r="T76" s="81">
        <f>IF(Scen_Db_Data_Tables_Off,Scen_Db_Data_Tables_Status_Off,Scenarios!I248)</f>
        <v>300000</v>
      </c>
      <c r="U76" s="81">
        <f>IF(Scen_Db_Data_Tables_Off,Scen_Db_Data_Tables_Status_Off,Scenarios!J248)</f>
        <v>0</v>
      </c>
      <c r="V76" s="81">
        <f>IF(Scen_Db_Data_Tables_Off,Scen_Db_Data_Tables_Status_Off,Scenarios!K248)</f>
        <v>0</v>
      </c>
      <c r="W76" s="81">
        <f>IF(Scen_Db_Data_Tables_Off,Scen_Db_Data_Tables_Status_Off,Scenarios!L248)</f>
        <v>0</v>
      </c>
      <c r="X76" s="81">
        <f>IF(Scen_Db_Data_Tables_Off,Scen_Db_Data_Tables_Status_Off,Scenarios!M248)</f>
        <v>0</v>
      </c>
      <c r="Y76" s="81">
        <f>IF(Scen_Db_Data_Tables_Off,Scen_Db_Data_Tables_Status_Off,Scenarios!N248)</f>
        <v>0</v>
      </c>
      <c r="Z76" s="81">
        <f>IF(Scen_Db_Data_Tables_Off,Scen_Db_Data_Tables_Status_Off,Scenarios!O248)</f>
        <v>0</v>
      </c>
      <c r="AA76" s="81">
        <f>IF(Scen_Db_Data_Tables_Off,Scen_Db_Data_Tables_Status_Off,Scenarios!P248)</f>
        <v>0</v>
      </c>
      <c r="AB76" s="81">
        <f>IF(Scen_Db_Data_Tables_Off,Scen_Db_Data_Tables_Status_Off,Scenarios!Q248)</f>
        <v>0</v>
      </c>
      <c r="AC76" s="81">
        <f>IF(Scen_Db_Data_Tables_Off,Scen_Db_Data_Tables_Status_Off,Scenarios!R248)</f>
        <v>0</v>
      </c>
      <c r="AD76" s="81">
        <f>IF(Scen_Db_Data_Tables_Off,Scen_Db_Data_Tables_Status_Off,Scenarios!S248)</f>
        <v>0</v>
      </c>
      <c r="AE76" s="81">
        <f>IF(Scen_Db_Data_Tables_Off,Scen_Db_Data_Tables_Status_Off,Scenarios!T248)</f>
        <v>0</v>
      </c>
      <c r="AF76" s="86">
        <f>IF(Scen_Db_Data_Tables_Off,Scen_Db_Data_Tables_Status_Off,SUM(T76:AE76))</f>
        <v>300000</v>
      </c>
    </row>
    <row r="77" spans="2:32" ht="13" outlineLevel="1" thickBot="1" x14ac:dyDescent="0.2">
      <c r="B77" s="54" t="s">
        <v>83</v>
      </c>
      <c r="D77" s="91">
        <f t="shared" ref="D77:P77" si="16">IF(Scen_Db_Data_Tables_Off,Scen_Db_Data_Tables_Status_Off,SUM(D75:D76))</f>
        <v>-7112.4718497491049</v>
      </c>
      <c r="E77" s="91">
        <f t="shared" si="16"/>
        <v>-7763.2661373377787</v>
      </c>
      <c r="F77" s="91">
        <f t="shared" si="16"/>
        <v>-7534.2039310681002</v>
      </c>
      <c r="G77" s="91">
        <f t="shared" si="16"/>
        <v>-6381.7637717777779</v>
      </c>
      <c r="H77" s="91">
        <f t="shared" si="16"/>
        <v>-10193.771162087456</v>
      </c>
      <c r="I77" s="91">
        <f t="shared" si="16"/>
        <v>-7793.829371648746</v>
      </c>
      <c r="J77" s="91">
        <f t="shared" si="16"/>
        <v>-7974.2884225777789</v>
      </c>
      <c r="K77" s="91">
        <f t="shared" si="16"/>
        <v>-7955.8140947971324</v>
      </c>
      <c r="L77" s="91">
        <f t="shared" si="16"/>
        <v>-9212.9578552177773</v>
      </c>
      <c r="M77" s="91">
        <f t="shared" si="16"/>
        <v>-8415.1560840100356</v>
      </c>
      <c r="N77" s="91">
        <f t="shared" si="16"/>
        <v>-8199.1619377777788</v>
      </c>
      <c r="O77" s="91">
        <f t="shared" si="16"/>
        <v>-8871.7162481777777</v>
      </c>
      <c r="P77" s="92">
        <f t="shared" si="16"/>
        <v>-97408.400866227254</v>
      </c>
      <c r="R77" s="54" t="s">
        <v>144</v>
      </c>
      <c r="T77" s="90">
        <f t="shared" ref="T77:AF77" si="17">IF(Scen_Db_Data_Tables_Off,Scen_Db_Data_Tables_Status_Off,SUM(T74:T76))</f>
        <v>45160.869850494637</v>
      </c>
      <c r="U77" s="90">
        <f t="shared" si="17"/>
        <v>-11681.884607488304</v>
      </c>
      <c r="V77" s="90">
        <f t="shared" si="17"/>
        <v>49420.511629063782</v>
      </c>
      <c r="W77" s="90">
        <f t="shared" si="17"/>
        <v>5953.5234234</v>
      </c>
      <c r="X77" s="90">
        <f t="shared" si="17"/>
        <v>-21369.779449775488</v>
      </c>
      <c r="Y77" s="90">
        <f t="shared" si="17"/>
        <v>8484.8851184464547</v>
      </c>
      <c r="Z77" s="90">
        <f t="shared" si="17"/>
        <v>4458.4591065703207</v>
      </c>
      <c r="AA77" s="90">
        <f t="shared" si="17"/>
        <v>-19555.868619601293</v>
      </c>
      <c r="AB77" s="90">
        <f t="shared" si="17"/>
        <v>7182.3964271633558</v>
      </c>
      <c r="AC77" s="90">
        <f t="shared" si="17"/>
        <v>3510.0676263393552</v>
      </c>
      <c r="AD77" s="90">
        <f t="shared" si="17"/>
        <v>-19260.28920787097</v>
      </c>
      <c r="AE77" s="90">
        <f t="shared" si="17"/>
        <v>7678.2532166701931</v>
      </c>
      <c r="AF77" s="89">
        <f t="shared" si="17"/>
        <v>59981.144513412029</v>
      </c>
    </row>
    <row r="78" spans="2:32" ht="13" outlineLevel="1" thickTop="1" x14ac:dyDescent="0.15">
      <c r="B78" s="104" t="s">
        <v>244</v>
      </c>
      <c r="C78" s="104" t="s">
        <v>244</v>
      </c>
      <c r="D78" s="104" t="s">
        <v>244</v>
      </c>
      <c r="E78" s="104" t="s">
        <v>244</v>
      </c>
      <c r="F78" s="104" t="s">
        <v>244</v>
      </c>
      <c r="G78" s="104" t="s">
        <v>244</v>
      </c>
      <c r="H78" s="104" t="s">
        <v>244</v>
      </c>
      <c r="I78" s="104" t="s">
        <v>244</v>
      </c>
      <c r="J78" s="104" t="s">
        <v>244</v>
      </c>
      <c r="K78" s="104" t="s">
        <v>244</v>
      </c>
      <c r="L78" s="104" t="s">
        <v>244</v>
      </c>
      <c r="M78" s="104" t="s">
        <v>244</v>
      </c>
      <c r="N78" s="104" t="s">
        <v>244</v>
      </c>
      <c r="O78" s="104" t="s">
        <v>244</v>
      </c>
      <c r="P78" s="104" t="s">
        <v>244</v>
      </c>
      <c r="Q78" s="104" t="s">
        <v>244</v>
      </c>
      <c r="R78" s="104" t="s">
        <v>244</v>
      </c>
      <c r="S78" s="104" t="s">
        <v>244</v>
      </c>
      <c r="T78" s="104" t="s">
        <v>244</v>
      </c>
      <c r="U78" s="104" t="s">
        <v>244</v>
      </c>
      <c r="V78" s="104" t="s">
        <v>244</v>
      </c>
      <c r="W78" s="104" t="s">
        <v>244</v>
      </c>
      <c r="X78" s="104" t="s">
        <v>244</v>
      </c>
      <c r="Y78" s="104" t="s">
        <v>244</v>
      </c>
      <c r="Z78" s="104" t="s">
        <v>244</v>
      </c>
      <c r="AA78" s="104" t="s">
        <v>244</v>
      </c>
      <c r="AB78" s="104" t="s">
        <v>244</v>
      </c>
      <c r="AC78" s="104" t="s">
        <v>244</v>
      </c>
      <c r="AD78" s="104" t="s">
        <v>244</v>
      </c>
      <c r="AE78" s="104" t="s">
        <v>244</v>
      </c>
      <c r="AF78" s="104" t="s">
        <v>244</v>
      </c>
    </row>
  </sheetData>
  <sheetProtection algorithmName="SHA-512" hashValue="tawSZqnntybb8hqbnJ12xwUzUdHqnyEDbePsSLpFlqszLqelPa2Lez7pu5SrRaGHkMUJBWrDsTja6gGA82zI4Q==" saltValue="BspGDBN0oz2vU7oKyiQByg==" spinCount="100000" sheet="1" objects="1" scenarios="1" formatColumns="0" formatRows="0"/>
  <mergeCells count="12">
    <mergeCell ref="B34:AF34"/>
    <mergeCell ref="B49:AF49"/>
    <mergeCell ref="B64:AF64"/>
    <mergeCell ref="B4:AF4"/>
    <mergeCell ref="B6:H6"/>
    <mergeCell ref="I6:P6"/>
    <mergeCell ref="R6:X6"/>
    <mergeCell ref="Y6:AF6"/>
    <mergeCell ref="B20:H20"/>
    <mergeCell ref="I20:P20"/>
    <mergeCell ref="R20:X20"/>
    <mergeCell ref="Y20:AF20"/>
  </mergeCells>
  <hyperlinks>
    <hyperlink ref="A1" location="HL_Home" tooltip="Go to Table of Contents" display="HL_Home" xr:uid="{10BBD97D-2D15-4686-9D22-00075FA1DF2F}"/>
    <hyperlink ref="A4" location="HL_Scen_Db_Ass" tooltip="Click to follow hyperlink." display="HL_Scen_Db_Ass" xr:uid="{8F817760-E61E-4794-905A-246AF72DA973}"/>
    <hyperlink ref="A2" location="HL_Err_Chk" tooltip="Go to Error Checks" display="HL_Err_Chk" xr:uid="{BD8F955A-F691-484F-B53C-E3AA29F73DF5}"/>
  </hyperlinks>
  <pageMargins left="0.39370078740157499" right="0.39370078740157499" top="0.59055118110236204" bottom="0.98425196850393704" header="0" footer="0.31496062992126"/>
  <pageSetup paperSize="8" scale="63" orientation="landscape" r:id="rId1"/>
  <headerFooter>
    <oddFooter>&amp;CPage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6CCE6-C4D0-438D-A8A2-E944D5D74BE0}">
  <sheetPr codeName="Sheet16">
    <pageSetUpPr autoPageBreaks="0"/>
  </sheetPr>
  <dimension ref="A1:T261"/>
  <sheetViews>
    <sheetView showGridLines="0" workbookViewId="0">
      <pane xSplit="1" ySplit="4" topLeftCell="B53" activePane="bottomRight" state="frozenSplit"/>
      <selection pane="topRight" activeCell="B1" sqref="B1"/>
      <selection pane="bottomLeft" activeCell="A5" sqref="A5"/>
      <selection pane="bottomRight" activeCell="J79" sqref="J79:L79"/>
    </sheetView>
  </sheetViews>
  <sheetFormatPr baseColWidth="10" defaultColWidth="11.59765625" defaultRowHeight="12" outlineLevelRow="2" x14ac:dyDescent="0.15"/>
  <cols>
    <col min="1" max="5" width="3.59765625" customWidth="1"/>
    <col min="9" max="12" width="15.59765625" customWidth="1"/>
  </cols>
  <sheetData>
    <row r="1" spans="1:12" ht="14" x14ac:dyDescent="0.15">
      <c r="A1" s="3" t="s">
        <v>19</v>
      </c>
      <c r="B1" s="205" t="s">
        <v>44</v>
      </c>
    </row>
    <row r="2" spans="1:12" ht="13" x14ac:dyDescent="0.15">
      <c r="A2" s="294" t="s">
        <v>60</v>
      </c>
      <c r="B2" s="65" t="str">
        <f ca="1">Model_Name</f>
        <v>Venue Planning Project (Alert in Inventory)</v>
      </c>
    </row>
    <row r="3" spans="1:12" hidden="1" outlineLevel="2" x14ac:dyDescent="0.15"/>
    <row r="4" spans="1:12" hidden="1" outlineLevel="2" x14ac:dyDescent="0.15">
      <c r="B4" s="10" t="s">
        <v>245</v>
      </c>
      <c r="C4" s="10"/>
      <c r="D4" s="10"/>
      <c r="E4" s="10"/>
      <c r="F4" s="10"/>
      <c r="G4" s="10"/>
      <c r="H4" s="10"/>
      <c r="I4" s="10"/>
      <c r="J4" s="73">
        <f>COLUMNS($J4:J4)</f>
        <v>1</v>
      </c>
      <c r="K4" s="73">
        <f>COLUMNS($J4:K4)</f>
        <v>2</v>
      </c>
      <c r="L4" s="73">
        <f>COLUMNS($J4:L4)</f>
        <v>3</v>
      </c>
    </row>
    <row r="5" spans="1:12" collapsed="1" x14ac:dyDescent="0.15">
      <c r="I5" s="66" t="s">
        <v>246</v>
      </c>
      <c r="J5" s="67" t="str">
        <f>J18</f>
        <v>Base Case</v>
      </c>
      <c r="K5" s="67" t="str">
        <f>K18</f>
        <v>Slower Growth</v>
      </c>
      <c r="L5" s="67" t="str">
        <f>L18</f>
        <v>Faster Growth</v>
      </c>
    </row>
    <row r="6" spans="1:12" x14ac:dyDescent="0.15">
      <c r="J6" s="68" t="str">
        <f>IF(COLUMNS($J6:J6)=Scenarios_Active,"tu","vw")</f>
        <v>tu</v>
      </c>
      <c r="K6" s="68" t="str">
        <f>IF(COLUMNS($J6:K6)=Scenarios_Active,"tu","vw")</f>
        <v>vw</v>
      </c>
      <c r="L6" s="68" t="str">
        <f>IF(COLUMNS($J6:L6)=Scenarios_Active,"tu","vw")</f>
        <v>vw</v>
      </c>
    </row>
    <row r="7" spans="1:12" x14ac:dyDescent="0.15">
      <c r="B7" s="1" t="s">
        <v>247</v>
      </c>
      <c r="C7" s="1"/>
      <c r="D7" s="1"/>
      <c r="E7" s="1"/>
      <c r="F7" s="1"/>
      <c r="G7" s="1"/>
      <c r="H7" s="1"/>
      <c r="I7" s="1"/>
      <c r="J7" s="1"/>
      <c r="K7" s="1"/>
      <c r="L7" s="1"/>
    </row>
    <row r="8" spans="1:12" outlineLevel="1" x14ac:dyDescent="0.15"/>
    <row r="9" spans="1:12" outlineLevel="1" x14ac:dyDescent="0.15">
      <c r="B9" s="107" t="s">
        <v>248</v>
      </c>
      <c r="H9" s="4">
        <v>1</v>
      </c>
    </row>
    <row r="10" spans="1:12" ht="6" hidden="1" customHeight="1" outlineLevel="2" x14ac:dyDescent="0.15"/>
    <row r="11" spans="1:12" hidden="1" outlineLevel="2" x14ac:dyDescent="0.15">
      <c r="B11" s="107" t="str">
        <f>G130</f>
        <v>Scenarios Summary</v>
      </c>
      <c r="H11" s="106">
        <f>H130</f>
        <v>0</v>
      </c>
    </row>
    <row r="12" spans="1:12" hidden="1" outlineLevel="2" x14ac:dyDescent="0.15">
      <c r="B12" s="107" t="s">
        <v>249</v>
      </c>
      <c r="H12" s="71">
        <f>IF(COUNTIF(H11:H11,"&lt;&gt;0")=0,0,INDEX(H11:H11,MATCH(TRUE,INDEX(H11:H11&lt;&gt;0,0),0)))</f>
        <v>0</v>
      </c>
    </row>
    <row r="13" spans="1:12" ht="6" hidden="1" customHeight="1" outlineLevel="2" x14ac:dyDescent="0.15"/>
    <row r="14" spans="1:12" hidden="1" outlineLevel="2" x14ac:dyDescent="0.15">
      <c r="B14" s="107" t="s">
        <v>250</v>
      </c>
      <c r="H14" s="71">
        <f>IF(Scenarios_Data_Tables&gt;0,Scenarios_Data_Tables,DD_Scenarios_Active)</f>
        <v>1</v>
      </c>
    </row>
    <row r="15" spans="1:12" hidden="1" outlineLevel="2" collapsed="1" x14ac:dyDescent="0.15">
      <c r="B15" s="107" t="s">
        <v>251</v>
      </c>
      <c r="H15" s="179" t="s">
        <v>252</v>
      </c>
    </row>
    <row r="16" spans="1:12" hidden="1" outlineLevel="2" x14ac:dyDescent="0.15">
      <c r="B16" s="107" t="s">
        <v>253</v>
      </c>
      <c r="H16" s="72" t="str">
        <f>IF(AND(Scenarios_Active=1,H15="No"),""," ("&amp;Scenarios_Active_Name&amp;")")</f>
        <v/>
      </c>
    </row>
    <row r="17" spans="1:12" outlineLevel="1" collapsed="1" x14ac:dyDescent="0.15">
      <c r="B17" s="107" t="s">
        <v>254</v>
      </c>
      <c r="H17" s="180">
        <v>3</v>
      </c>
    </row>
    <row r="18" spans="1:12" outlineLevel="1" x14ac:dyDescent="0.15">
      <c r="B18" s="107" t="s">
        <v>255</v>
      </c>
      <c r="H18" s="69" t="s">
        <v>255</v>
      </c>
      <c r="I18" s="72" t="str">
        <f>INDEX($J18:$L18,1,Scenarios_Active)</f>
        <v>Base Case</v>
      </c>
      <c r="J18" s="181" t="s">
        <v>256</v>
      </c>
      <c r="K18" s="162" t="s">
        <v>257</v>
      </c>
      <c r="L18" s="162" t="s">
        <v>258</v>
      </c>
    </row>
    <row r="19" spans="1:12" hidden="1" outlineLevel="2" x14ac:dyDescent="0.15"/>
    <row r="20" spans="1:12" hidden="1" outlineLevel="2" x14ac:dyDescent="0.15">
      <c r="B20" s="16" t="s">
        <v>245</v>
      </c>
      <c r="F20" s="16" t="s">
        <v>259</v>
      </c>
    </row>
    <row r="21" spans="1:12" ht="12" hidden="1" customHeight="1" outlineLevel="2" x14ac:dyDescent="0.15">
      <c r="B21" s="107" t="str">
        <f>Lookups!D108</f>
        <v>Base Case</v>
      </c>
      <c r="F21" s="338" t="s">
        <v>260</v>
      </c>
      <c r="G21" s="338"/>
      <c r="H21" s="338"/>
      <c r="I21" s="338"/>
    </row>
    <row r="22" spans="1:12" hidden="1" outlineLevel="2" x14ac:dyDescent="0.15">
      <c r="B22" s="107" t="str">
        <f>Lookups!D109</f>
        <v>Slower Growth</v>
      </c>
      <c r="F22" s="338" t="s">
        <v>261</v>
      </c>
      <c r="G22" s="338"/>
      <c r="H22" s="338"/>
      <c r="I22" s="338"/>
    </row>
    <row r="23" spans="1:12" hidden="1" outlineLevel="2" x14ac:dyDescent="0.15">
      <c r="B23" s="107" t="str">
        <f>Lookups!D110</f>
        <v>Faster Growth</v>
      </c>
      <c r="F23" s="338" t="s">
        <v>262</v>
      </c>
      <c r="G23" s="338"/>
      <c r="H23" s="338"/>
      <c r="I23" s="338"/>
    </row>
    <row r="24" spans="1:12" outlineLevel="1" collapsed="1" x14ac:dyDescent="0.15"/>
    <row r="25" spans="1:12" outlineLevel="1" x14ac:dyDescent="0.15">
      <c r="A25" s="74" t="s">
        <v>234</v>
      </c>
      <c r="B25" s="16" t="s">
        <v>263</v>
      </c>
    </row>
    <row r="26" spans="1:12" hidden="1" outlineLevel="2" x14ac:dyDescent="0.15">
      <c r="B26" s="107" t="s">
        <v>264</v>
      </c>
      <c r="I26" s="217">
        <f>IF(COUNTIF(I28:I28,"&lt;&gt;0")=0,0,1)</f>
        <v>0</v>
      </c>
    </row>
    <row r="27" spans="1:12" hidden="1" outlineLevel="2" x14ac:dyDescent="0.15">
      <c r="B27" s="107" t="s">
        <v>248</v>
      </c>
      <c r="I27" s="76">
        <f>H14</f>
        <v>1</v>
      </c>
    </row>
    <row r="28" spans="1:12" outlineLevel="1" collapsed="1" x14ac:dyDescent="0.15">
      <c r="B28" s="107" t="str">
        <f>Rev_Exp!B20</f>
        <v>Members</v>
      </c>
      <c r="H28" s="69" t="s">
        <v>265</v>
      </c>
      <c r="I28" s="165">
        <f>INDEX($J28:$L28,0,Vol_Active_Scenario)</f>
        <v>0</v>
      </c>
      <c r="J28" s="165">
        <v>0</v>
      </c>
      <c r="K28" s="165">
        <v>-2</v>
      </c>
      <c r="L28" s="165">
        <v>2</v>
      </c>
    </row>
    <row r="29" spans="1:12" outlineLevel="1" x14ac:dyDescent="0.15"/>
    <row r="30" spans="1:12" outlineLevel="1" x14ac:dyDescent="0.15">
      <c r="A30" s="74" t="s">
        <v>234</v>
      </c>
      <c r="B30" s="16" t="s">
        <v>266</v>
      </c>
    </row>
    <row r="31" spans="1:12" hidden="1" outlineLevel="2" x14ac:dyDescent="0.15">
      <c r="B31" s="107" t="s">
        <v>264</v>
      </c>
      <c r="I31" s="217">
        <f>IF(COUNTIF(I33:I38,"&lt;&gt;0")=0,0,1)</f>
        <v>0</v>
      </c>
    </row>
    <row r="32" spans="1:12" hidden="1" outlineLevel="2" x14ac:dyDescent="0.15">
      <c r="B32" s="107" t="s">
        <v>248</v>
      </c>
      <c r="I32" s="76">
        <f>H14</f>
        <v>1</v>
      </c>
    </row>
    <row r="33" spans="1:12" outlineLevel="1" collapsed="1" x14ac:dyDescent="0.15">
      <c r="B33" s="107" t="str">
        <f>Rev_Exp!B29</f>
        <v>Weekly Engagement Rate</v>
      </c>
      <c r="H33" s="69" t="s">
        <v>267</v>
      </c>
      <c r="I33" s="225">
        <f t="shared" ref="I33:I38" si="0">INDEX($J33:$L33,0,Vol_2_Active_Scenario)</f>
        <v>0</v>
      </c>
      <c r="J33" s="216">
        <v>0</v>
      </c>
      <c r="K33" s="215">
        <v>0</v>
      </c>
      <c r="L33" s="215">
        <v>0</v>
      </c>
    </row>
    <row r="34" spans="1:12" outlineLevel="1" x14ac:dyDescent="0.15">
      <c r="B34" s="107" t="str">
        <f>Rev_Exp!B30</f>
        <v>Monthly Student Sessions</v>
      </c>
      <c r="H34" s="69" t="s">
        <v>267</v>
      </c>
      <c r="I34" s="225">
        <f t="shared" si="0"/>
        <v>0</v>
      </c>
      <c r="J34" s="216">
        <v>0</v>
      </c>
      <c r="K34" s="215">
        <v>0</v>
      </c>
      <c r="L34" s="215">
        <v>0</v>
      </c>
    </row>
    <row r="35" spans="1:12" outlineLevel="1" x14ac:dyDescent="0.15">
      <c r="B35" s="107" t="str">
        <f>Rev_Exp!B31</f>
        <v>Max Students per Class</v>
      </c>
      <c r="H35" s="69" t="s">
        <v>267</v>
      </c>
      <c r="I35" s="219">
        <f t="shared" si="0"/>
        <v>0</v>
      </c>
      <c r="J35" s="216">
        <v>0</v>
      </c>
      <c r="K35" s="215">
        <v>0</v>
      </c>
      <c r="L35" s="215">
        <v>0</v>
      </c>
    </row>
    <row r="36" spans="1:12" outlineLevel="1" x14ac:dyDescent="0.15">
      <c r="B36" s="107" t="str">
        <f>Rev_Exp!B32</f>
        <v>Net New Members</v>
      </c>
      <c r="H36" s="69" t="s">
        <v>267</v>
      </c>
      <c r="I36" s="289">
        <f t="shared" si="0"/>
        <v>0</v>
      </c>
      <c r="J36" s="216">
        <v>0</v>
      </c>
      <c r="K36" s="215">
        <v>0</v>
      </c>
      <c r="L36" s="215">
        <v>0</v>
      </c>
    </row>
    <row r="37" spans="1:12" outlineLevel="1" x14ac:dyDescent="0.15">
      <c r="B37" s="107" t="str">
        <f>Rev_Exp!B33</f>
        <v>Renewing Members</v>
      </c>
      <c r="H37" s="69" t="s">
        <v>267</v>
      </c>
      <c r="I37" s="225">
        <f t="shared" si="0"/>
        <v>0</v>
      </c>
      <c r="J37" s="216">
        <v>0</v>
      </c>
      <c r="K37" s="215">
        <v>0</v>
      </c>
      <c r="L37" s="215">
        <v>0</v>
      </c>
    </row>
    <row r="38" spans="1:12" outlineLevel="1" x14ac:dyDescent="0.15">
      <c r="B38" s="107" t="str">
        <f>Rev_Exp!B34</f>
        <v>Number of Classes per Week</v>
      </c>
      <c r="H38" s="69" t="s">
        <v>267</v>
      </c>
      <c r="I38" s="219">
        <f t="shared" si="0"/>
        <v>0</v>
      </c>
      <c r="J38" s="216">
        <v>0</v>
      </c>
      <c r="K38" s="215">
        <v>0</v>
      </c>
      <c r="L38" s="215">
        <v>0</v>
      </c>
    </row>
    <row r="39" spans="1:12" outlineLevel="1" x14ac:dyDescent="0.15"/>
    <row r="40" spans="1:12" outlineLevel="1" x14ac:dyDescent="0.15">
      <c r="A40" s="74" t="s">
        <v>234</v>
      </c>
      <c r="B40" s="16" t="s">
        <v>64</v>
      </c>
    </row>
    <row r="41" spans="1:12" hidden="1" outlineLevel="2" x14ac:dyDescent="0.15">
      <c r="B41" s="107" t="s">
        <v>264</v>
      </c>
      <c r="I41" s="22">
        <f ca="1">IF(ROWS(Rev_Exp!$H$64:$H$70)=2,0,IF(COUNTIF(OFFSET(Rev_Exp!$H$64,1,0,ROWS(Rev_Exp!$H$64:$H$70)-2,1),"&lt;&gt;0")-COUNTBLANK(OFFSET(Rev_Exp!$H$64,1,0,ROWS(Rev_Exp!$H$64:$H$70)-2,1))&gt;0,1,0))</f>
        <v>0</v>
      </c>
    </row>
    <row r="42" spans="1:12" ht="3" hidden="1" customHeight="1" outlineLevel="2" x14ac:dyDescent="0.15"/>
    <row r="43" spans="1:12" hidden="1" outlineLevel="2" collapsed="1" x14ac:dyDescent="0.15">
      <c r="B43" s="107" t="s">
        <v>248</v>
      </c>
      <c r="I43" s="76">
        <f>H14</f>
        <v>1</v>
      </c>
    </row>
    <row r="44" spans="1:12" outlineLevel="1" collapsed="1" x14ac:dyDescent="0.15">
      <c r="B44" s="107" t="str">
        <f>Rev_Exp!B49</f>
        <v>Membership Fees</v>
      </c>
      <c r="H44" s="69" t="s">
        <v>267</v>
      </c>
      <c r="I44" s="219">
        <f>INDEX($J44:$L44,0,Rev_Cat_Active_Scenario)</f>
        <v>0</v>
      </c>
      <c r="J44" s="216">
        <v>0</v>
      </c>
      <c r="K44" s="215">
        <v>0</v>
      </c>
      <c r="L44" s="215">
        <v>0</v>
      </c>
    </row>
    <row r="45" spans="1:12" ht="3" customHeight="1" outlineLevel="1" x14ac:dyDescent="0.15"/>
    <row r="46" spans="1:12" hidden="1" outlineLevel="2" x14ac:dyDescent="0.15">
      <c r="B46" s="107" t="s">
        <v>248</v>
      </c>
      <c r="I46" s="76">
        <f>H14</f>
        <v>1</v>
      </c>
    </row>
    <row r="47" spans="1:12" outlineLevel="1" collapsed="1" x14ac:dyDescent="0.15">
      <c r="B47" s="107" t="str">
        <f>Rev_Exp!B55</f>
        <v>Private Hire</v>
      </c>
      <c r="H47" s="69" t="s">
        <v>267</v>
      </c>
      <c r="I47" s="219">
        <f>INDEX($J47:$L47,0,Rev_Cat_6_Active_Scenario)</f>
        <v>0</v>
      </c>
      <c r="J47" s="216">
        <v>0</v>
      </c>
      <c r="K47" s="215">
        <v>0</v>
      </c>
      <c r="L47" s="215">
        <v>0</v>
      </c>
    </row>
    <row r="48" spans="1:12" ht="3" customHeight="1" outlineLevel="1" x14ac:dyDescent="0.15"/>
    <row r="49" spans="1:12" hidden="1" outlineLevel="2" x14ac:dyDescent="0.15">
      <c r="B49" s="107" t="s">
        <v>248</v>
      </c>
      <c r="I49" s="76">
        <f>H14</f>
        <v>1</v>
      </c>
    </row>
    <row r="50" spans="1:12" outlineLevel="1" collapsed="1" x14ac:dyDescent="0.15">
      <c r="B50" s="107" t="str">
        <f>Rev_Exp!B58</f>
        <v>Book a Piste</v>
      </c>
      <c r="H50" s="69" t="s">
        <v>267</v>
      </c>
      <c r="I50" s="219">
        <f>INDEX($J50:$L50,0,Rev_Cat_2_Active_Scenario)</f>
        <v>0</v>
      </c>
      <c r="J50" s="216">
        <v>0</v>
      </c>
      <c r="K50" s="215">
        <v>0</v>
      </c>
      <c r="L50" s="215">
        <v>0</v>
      </c>
    </row>
    <row r="51" spans="1:12" ht="3" customHeight="1" outlineLevel="1" x14ac:dyDescent="0.15"/>
    <row r="52" spans="1:12" hidden="1" outlineLevel="2" x14ac:dyDescent="0.15">
      <c r="B52" s="107" t="s">
        <v>248</v>
      </c>
      <c r="I52" s="76">
        <f>H14</f>
        <v>1</v>
      </c>
    </row>
    <row r="53" spans="1:12" outlineLevel="1" collapsed="1" x14ac:dyDescent="0.15">
      <c r="B53" s="107" t="str">
        <f>Rev_Exp!B61</f>
        <v>Merch Sales</v>
      </c>
      <c r="H53" s="69" t="s">
        <v>268</v>
      </c>
      <c r="I53" s="75">
        <f>INDEX($J53:$L53,0,Rev_Cat_3_Active_Scenario)</f>
        <v>0</v>
      </c>
      <c r="J53" s="182">
        <v>0</v>
      </c>
      <c r="K53" s="168">
        <v>0</v>
      </c>
      <c r="L53" s="168">
        <v>0</v>
      </c>
    </row>
    <row r="54" spans="1:12" ht="3" customHeight="1" outlineLevel="1" x14ac:dyDescent="0.15"/>
    <row r="55" spans="1:12" outlineLevel="1" x14ac:dyDescent="0.15"/>
    <row r="56" spans="1:12" outlineLevel="1" x14ac:dyDescent="0.15">
      <c r="A56" s="74" t="s">
        <v>234</v>
      </c>
      <c r="B56" s="16" t="s">
        <v>65</v>
      </c>
    </row>
    <row r="57" spans="1:12" hidden="1" outlineLevel="2" x14ac:dyDescent="0.15">
      <c r="B57" s="107" t="s">
        <v>264</v>
      </c>
      <c r="I57" s="22">
        <f ca="1">IF(ROWS(Rev_Exp!$H$98:$H$102)=2,0,IF(COUNTIF(OFFSET(Rev_Exp!$H$98,1,0,ROWS(Rev_Exp!$H$98:$H$102)-2,1),"&lt;&gt;0")-COUNTBLANK(OFFSET(Rev_Exp!$H$98,1,0,ROWS(Rev_Exp!$H$98:$H$102)-2,1))&gt;0,1,0))</f>
        <v>0</v>
      </c>
    </row>
    <row r="58" spans="1:12" ht="3" hidden="1" customHeight="1" outlineLevel="2" x14ac:dyDescent="0.15"/>
    <row r="59" spans="1:12" hidden="1" outlineLevel="2" collapsed="1" x14ac:dyDescent="0.15">
      <c r="B59" s="107" t="s">
        <v>248</v>
      </c>
      <c r="I59" s="76">
        <f>H14</f>
        <v>1</v>
      </c>
    </row>
    <row r="60" spans="1:12" outlineLevel="1" collapsed="1" x14ac:dyDescent="0.15">
      <c r="B60" s="107" t="str">
        <f>Rev_Exp!B88</f>
        <v>Instructor Grants</v>
      </c>
      <c r="H60" s="69" t="s">
        <v>267</v>
      </c>
      <c r="I60" s="219">
        <f>INDEX($J60:$L60,0,Cogs_Cat_Active_Scenario)</f>
        <v>0</v>
      </c>
      <c r="J60" s="216">
        <v>0</v>
      </c>
      <c r="K60" s="215">
        <v>0</v>
      </c>
      <c r="L60" s="215">
        <v>0</v>
      </c>
    </row>
    <row r="61" spans="1:12" ht="3" customHeight="1" outlineLevel="1" x14ac:dyDescent="0.15"/>
    <row r="62" spans="1:12" hidden="1" outlineLevel="2" x14ac:dyDescent="0.15">
      <c r="B62" s="107" t="s">
        <v>248</v>
      </c>
      <c r="I62" s="76">
        <f>H14</f>
        <v>1</v>
      </c>
    </row>
    <row r="63" spans="1:12" outlineLevel="1" collapsed="1" x14ac:dyDescent="0.15">
      <c r="B63" s="107" t="str">
        <f>Rev_Exp!B91</f>
        <v>Merch CoGS</v>
      </c>
      <c r="H63" s="69" t="s">
        <v>267</v>
      </c>
      <c r="I63" s="231">
        <f>INDEX($J63:$L63,0,Cogs_Cat_2_Active_Scenario)</f>
        <v>0</v>
      </c>
      <c r="J63" s="230">
        <v>0</v>
      </c>
      <c r="K63" s="229">
        <v>0</v>
      </c>
      <c r="L63" s="229">
        <v>0</v>
      </c>
    </row>
    <row r="64" spans="1:12" ht="3" customHeight="1" outlineLevel="1" x14ac:dyDescent="0.15"/>
    <row r="65" spans="1:12" hidden="1" outlineLevel="2" x14ac:dyDescent="0.15">
      <c r="B65" s="107" t="s">
        <v>248</v>
      </c>
      <c r="I65" s="76">
        <f>H14</f>
        <v>1</v>
      </c>
    </row>
    <row r="66" spans="1:12" outlineLevel="1" collapsed="1" x14ac:dyDescent="0.15">
      <c r="B66" s="107" t="str">
        <f>Rev_Exp!B94&amp;" - % of Custom Driver"</f>
        <v>Discounts (Gift Cards) - % of Custom Driver</v>
      </c>
      <c r="H66" s="69" t="s">
        <v>267</v>
      </c>
      <c r="I66" s="75">
        <f>INDEX($J66:$L66,0,Cogs_Cat_3_Active_Scenario)</f>
        <v>0</v>
      </c>
      <c r="J66" s="182">
        <v>0</v>
      </c>
      <c r="K66" s="168">
        <v>0</v>
      </c>
      <c r="L66" s="168">
        <v>0</v>
      </c>
    </row>
    <row r="67" spans="1:12" ht="3" customHeight="1" outlineLevel="1" x14ac:dyDescent="0.15"/>
    <row r="68" spans="1:12" outlineLevel="1" x14ac:dyDescent="0.15"/>
    <row r="69" spans="1:12" outlineLevel="1" x14ac:dyDescent="0.15">
      <c r="A69" s="74" t="s">
        <v>234</v>
      </c>
      <c r="B69" s="16" t="s">
        <v>68</v>
      </c>
    </row>
    <row r="70" spans="1:12" hidden="1" outlineLevel="2" x14ac:dyDescent="0.15">
      <c r="B70" s="107" t="s">
        <v>264</v>
      </c>
      <c r="I70" s="22">
        <f ca="1">IF(ROWS(Rev_Exp!$H$139:$H$148)=2,0,IF(COUNTIF(OFFSET(Rev_Exp!$H$139,1,0,ROWS(Rev_Exp!$H$139:$H$148)-2,1),"&lt;&gt;0")-COUNTBLANK(OFFSET(Rev_Exp!$H$139,1,0,ROWS(Rev_Exp!$H$139:$H$148)-2,1))&gt;0,1,0))</f>
        <v>0</v>
      </c>
    </row>
    <row r="71" spans="1:12" ht="3" hidden="1" customHeight="1" outlineLevel="2" x14ac:dyDescent="0.15"/>
    <row r="72" spans="1:12" hidden="1" outlineLevel="2" collapsed="1" x14ac:dyDescent="0.15">
      <c r="B72" s="107" t="s">
        <v>248</v>
      </c>
      <c r="I72" s="76">
        <f>H14</f>
        <v>1</v>
      </c>
    </row>
    <row r="73" spans="1:12" outlineLevel="1" collapsed="1" x14ac:dyDescent="0.15">
      <c r="B73" s="107" t="str">
        <f>Rev_Exp!B118</f>
        <v>Rent</v>
      </c>
      <c r="H73" s="69" t="s">
        <v>267</v>
      </c>
      <c r="I73" s="219">
        <f>INDEX($J73:$L73,0,Opex_Cat_Active_Scenario)</f>
        <v>0</v>
      </c>
      <c r="J73" s="216">
        <v>0</v>
      </c>
      <c r="K73" s="215">
        <v>0</v>
      </c>
      <c r="L73" s="215">
        <v>0</v>
      </c>
    </row>
    <row r="74" spans="1:12" ht="3" customHeight="1" outlineLevel="1" x14ac:dyDescent="0.15"/>
    <row r="75" spans="1:12" hidden="1" outlineLevel="2" x14ac:dyDescent="0.15">
      <c r="B75" s="107" t="s">
        <v>248</v>
      </c>
      <c r="I75" s="76">
        <f>H14</f>
        <v>1</v>
      </c>
    </row>
    <row r="76" spans="1:12" outlineLevel="1" collapsed="1" x14ac:dyDescent="0.15">
      <c r="B76" s="107" t="str">
        <f>Rev_Exp!B121</f>
        <v>Rates</v>
      </c>
      <c r="H76" s="69" t="s">
        <v>267</v>
      </c>
      <c r="I76" s="219">
        <f>INDEX($J76:$L76,0,Opex_Cat_4_Active_Scenario)</f>
        <v>0</v>
      </c>
      <c r="J76" s="216">
        <v>0</v>
      </c>
      <c r="K76" s="215">
        <v>0</v>
      </c>
      <c r="L76" s="215">
        <v>0</v>
      </c>
    </row>
    <row r="77" spans="1:12" ht="3" customHeight="1" outlineLevel="1" x14ac:dyDescent="0.15"/>
    <row r="78" spans="1:12" hidden="1" outlineLevel="2" x14ac:dyDescent="0.15">
      <c r="B78" s="107" t="s">
        <v>248</v>
      </c>
      <c r="I78" s="76">
        <f>H14</f>
        <v>1</v>
      </c>
    </row>
    <row r="79" spans="1:12" outlineLevel="1" collapsed="1" x14ac:dyDescent="0.15">
      <c r="B79" s="107" t="str">
        <f>Rev_Exp!B124</f>
        <v>Staff Cost</v>
      </c>
      <c r="H79" s="69" t="s">
        <v>267</v>
      </c>
      <c r="I79" s="219">
        <f>INDEX($J79:$L79,0,Opex_Cat_8_Active_Scenario)</f>
        <v>0</v>
      </c>
      <c r="J79" s="216">
        <v>0</v>
      </c>
      <c r="K79" s="215">
        <v>0</v>
      </c>
      <c r="L79" s="215">
        <v>0</v>
      </c>
    </row>
    <row r="80" spans="1:12" ht="2.75" customHeight="1" outlineLevel="1" x14ac:dyDescent="0.15"/>
    <row r="81" spans="1:12" hidden="1" outlineLevel="2" x14ac:dyDescent="0.15">
      <c r="B81" s="107" t="s">
        <v>248</v>
      </c>
      <c r="I81" s="76">
        <f>H14</f>
        <v>1</v>
      </c>
    </row>
    <row r="82" spans="1:12" outlineLevel="1" collapsed="1" x14ac:dyDescent="0.15">
      <c r="B82" s="107" t="str">
        <f>Rev_Exp!B127</f>
        <v>Utilities</v>
      </c>
      <c r="H82" s="69" t="s">
        <v>268</v>
      </c>
      <c r="I82" s="75">
        <f>INDEX($J82:$L82,0,Opex_Cat_5_Active_Scenario)</f>
        <v>0</v>
      </c>
      <c r="J82" s="182">
        <v>0</v>
      </c>
      <c r="K82" s="168">
        <v>0</v>
      </c>
      <c r="L82" s="168">
        <v>0</v>
      </c>
    </row>
    <row r="83" spans="1:12" ht="3" customHeight="1" outlineLevel="1" x14ac:dyDescent="0.15"/>
    <row r="84" spans="1:12" hidden="1" outlineLevel="2" x14ac:dyDescent="0.15">
      <c r="B84" s="107" t="s">
        <v>248</v>
      </c>
      <c r="I84" s="76">
        <f>H14</f>
        <v>1</v>
      </c>
    </row>
    <row r="85" spans="1:12" outlineLevel="1" collapsed="1" x14ac:dyDescent="0.15">
      <c r="B85" s="107" t="str">
        <f>Rev_Exp!B129</f>
        <v>Insurance</v>
      </c>
      <c r="H85" s="69" t="s">
        <v>268</v>
      </c>
      <c r="I85" s="75">
        <f>INDEX($J85:$L85,0,Opex_Cat_6_Active_Scenario)</f>
        <v>0</v>
      </c>
      <c r="J85" s="182">
        <v>0</v>
      </c>
      <c r="K85" s="168">
        <v>0</v>
      </c>
      <c r="L85" s="168">
        <v>0</v>
      </c>
    </row>
    <row r="86" spans="1:12" ht="3" customHeight="1" outlineLevel="1" x14ac:dyDescent="0.15"/>
    <row r="87" spans="1:12" hidden="1" outlineLevel="2" x14ac:dyDescent="0.15">
      <c r="B87" s="107" t="s">
        <v>248</v>
      </c>
      <c r="I87" s="76">
        <f>H14</f>
        <v>1</v>
      </c>
    </row>
    <row r="88" spans="1:12" outlineLevel="1" collapsed="1" x14ac:dyDescent="0.15">
      <c r="B88" s="107" t="str">
        <f>Rev_Exp!B131</f>
        <v>HEMA Insurance</v>
      </c>
      <c r="H88" s="69" t="s">
        <v>268</v>
      </c>
      <c r="I88" s="75">
        <f>INDEX($J88:$L88,0,Opex_Cat_7_Active_Scenario)</f>
        <v>0</v>
      </c>
      <c r="J88" s="182">
        <v>0</v>
      </c>
      <c r="K88" s="168">
        <v>0</v>
      </c>
      <c r="L88" s="168">
        <v>0</v>
      </c>
    </row>
    <row r="89" spans="1:12" ht="3" customHeight="1" outlineLevel="1" x14ac:dyDescent="0.15"/>
    <row r="90" spans="1:12" hidden="1" outlineLevel="2" x14ac:dyDescent="0.15">
      <c r="B90" s="107" t="s">
        <v>248</v>
      </c>
      <c r="I90" s="76">
        <f>H14</f>
        <v>1</v>
      </c>
    </row>
    <row r="91" spans="1:12" outlineLevel="1" collapsed="1" x14ac:dyDescent="0.15">
      <c r="B91" s="107" t="str">
        <f>Rev_Exp!B136</f>
        <v>Cleaning &amp; Other</v>
      </c>
      <c r="H91" s="69" t="s">
        <v>268</v>
      </c>
      <c r="I91" s="75">
        <f>INDEX($J91:$L91,0,Opex_Cat_3_Active_Scenario)</f>
        <v>0</v>
      </c>
      <c r="J91" s="182">
        <v>0</v>
      </c>
      <c r="K91" s="168">
        <v>0</v>
      </c>
      <c r="L91" s="168">
        <v>0</v>
      </c>
    </row>
    <row r="92" spans="1:12" ht="3" customHeight="1" outlineLevel="1" x14ac:dyDescent="0.15"/>
    <row r="93" spans="1:12" outlineLevel="1" x14ac:dyDescent="0.15"/>
    <row r="94" spans="1:12" outlineLevel="1" x14ac:dyDescent="0.15">
      <c r="A94" s="74" t="s">
        <v>234</v>
      </c>
      <c r="B94" s="16" t="s">
        <v>269</v>
      </c>
    </row>
    <row r="95" spans="1:12" hidden="1" outlineLevel="2" x14ac:dyDescent="0.15">
      <c r="B95" s="107" t="s">
        <v>264</v>
      </c>
      <c r="I95" s="22">
        <f ca="1">IF(ROWS(Rev_Exp!$H$174:$H$177)=2,0,IF(COUNTIF(OFFSET(Rev_Exp!$H$174,1,0,ROWS(Rev_Exp!$H$174:$H$177)-2,1),"&lt;&gt;0")-COUNTBLANK(OFFSET(Rev_Exp!$H$174,1,0,ROWS(Rev_Exp!$H$174:$H$177)-2,1))&gt;0,1,0))</f>
        <v>0</v>
      </c>
    </row>
    <row r="96" spans="1:12" ht="3" hidden="1" customHeight="1" outlineLevel="2" x14ac:dyDescent="0.15"/>
    <row r="97" spans="1:12" hidden="1" outlineLevel="2" x14ac:dyDescent="0.15">
      <c r="B97" s="107" t="s">
        <v>248</v>
      </c>
      <c r="I97" s="76">
        <f>H14</f>
        <v>1</v>
      </c>
    </row>
    <row r="98" spans="1:12" outlineLevel="1" collapsed="1" x14ac:dyDescent="0.15">
      <c r="B98" s="107" t="str">
        <f>Rev_Exp!B169</f>
        <v>Grant Income A</v>
      </c>
      <c r="H98" s="69" t="s">
        <v>267</v>
      </c>
      <c r="I98" s="219">
        <f>INDEX($J98:$L98,0,Oth_Rev_Cat_Active_Scenario)</f>
        <v>0</v>
      </c>
      <c r="J98" s="216">
        <v>0</v>
      </c>
      <c r="K98" s="215">
        <v>0</v>
      </c>
      <c r="L98" s="215">
        <v>0</v>
      </c>
    </row>
    <row r="99" spans="1:12" ht="3" customHeight="1" outlineLevel="1" x14ac:dyDescent="0.15"/>
    <row r="100" spans="1:12" hidden="1" outlineLevel="2" x14ac:dyDescent="0.15">
      <c r="B100" s="107" t="s">
        <v>248</v>
      </c>
      <c r="I100" s="76">
        <f>H14</f>
        <v>1</v>
      </c>
    </row>
    <row r="101" spans="1:12" outlineLevel="1" collapsed="1" x14ac:dyDescent="0.15">
      <c r="B101" s="107" t="str">
        <f>Rev_Exp!B171</f>
        <v>Grant Income B</v>
      </c>
      <c r="H101" s="69" t="s">
        <v>267</v>
      </c>
      <c r="I101" s="219">
        <f>INDEX($J101:$L101,0,Oth_Rev_Cat_2_Active_Scenario)</f>
        <v>0</v>
      </c>
      <c r="J101" s="216">
        <v>0</v>
      </c>
      <c r="K101" s="215">
        <v>0</v>
      </c>
      <c r="L101" s="215">
        <v>0</v>
      </c>
    </row>
    <row r="102" spans="1:12" ht="3" customHeight="1" outlineLevel="1" x14ac:dyDescent="0.15"/>
    <row r="103" spans="1:12" outlineLevel="1" x14ac:dyDescent="0.15"/>
    <row r="104" spans="1:12" outlineLevel="1" x14ac:dyDescent="0.15">
      <c r="A104" s="74" t="s">
        <v>234</v>
      </c>
      <c r="B104" s="16" t="s">
        <v>270</v>
      </c>
    </row>
    <row r="105" spans="1:12" hidden="1" outlineLevel="2" x14ac:dyDescent="0.15">
      <c r="B105" s="107" t="s">
        <v>264</v>
      </c>
      <c r="I105" s="22">
        <f ca="1">IF(ROWS(Assets!$H$25:$H$28)=2,0,IF(COUNTIF(OFFSET(Assets!$H$25,1,0,ROWS(Assets!$H$25:$H$28)-2,1),"&lt;&gt;0")-COUNTBLANK(OFFSET(Assets!$H$25,1,0,ROWS(Assets!$H$25:$H$28)-2,1))&gt;0,1,0))</f>
        <v>0</v>
      </c>
    </row>
    <row r="106" spans="1:12" ht="3" hidden="1" customHeight="1" outlineLevel="2" x14ac:dyDescent="0.15"/>
    <row r="107" spans="1:12" hidden="1" outlineLevel="2" collapsed="1" x14ac:dyDescent="0.15">
      <c r="B107" s="107" t="s">
        <v>248</v>
      </c>
      <c r="I107" s="76">
        <f>H14</f>
        <v>1</v>
      </c>
    </row>
    <row r="108" spans="1:12" outlineLevel="1" collapsed="1" x14ac:dyDescent="0.15">
      <c r="B108" s="107" t="str">
        <f>Assets!B20</f>
        <v>Fencing Equipment</v>
      </c>
      <c r="H108" s="69" t="s">
        <v>268</v>
      </c>
      <c r="I108" s="75">
        <f>INDEX($J108:$L108,0,Capex_Cat_Active_Scenario)</f>
        <v>0</v>
      </c>
      <c r="J108" s="182">
        <v>0</v>
      </c>
      <c r="K108" s="168">
        <v>0</v>
      </c>
      <c r="L108" s="168">
        <v>0</v>
      </c>
    </row>
    <row r="109" spans="1:12" ht="3" customHeight="1" outlineLevel="1" x14ac:dyDescent="0.15"/>
    <row r="110" spans="1:12" hidden="1" outlineLevel="2" x14ac:dyDescent="0.15">
      <c r="B110" s="107" t="s">
        <v>248</v>
      </c>
      <c r="I110" s="76">
        <f>H14</f>
        <v>1</v>
      </c>
    </row>
    <row r="111" spans="1:12" outlineLevel="1" collapsed="1" x14ac:dyDescent="0.15">
      <c r="B111" s="107" t="str">
        <f>Assets!B22</f>
        <v>Leashold Improvements</v>
      </c>
      <c r="H111" s="69" t="s">
        <v>268</v>
      </c>
      <c r="I111" s="75">
        <f>INDEX($J111:$L111,0,Capex_Cat_2_Active_Scenario)</f>
        <v>0</v>
      </c>
      <c r="J111" s="182">
        <v>0</v>
      </c>
      <c r="K111" s="168">
        <v>0</v>
      </c>
      <c r="L111" s="168">
        <v>0</v>
      </c>
    </row>
    <row r="112" spans="1:12" ht="3" customHeight="1" outlineLevel="1" x14ac:dyDescent="0.15"/>
    <row r="114" spans="1:20" x14ac:dyDescent="0.15">
      <c r="A114" s="74" t="s">
        <v>271</v>
      </c>
      <c r="B114" s="1" t="s">
        <v>272</v>
      </c>
      <c r="C114" s="1"/>
      <c r="D114" s="1"/>
      <c r="E114" s="1"/>
      <c r="F114" s="1"/>
      <c r="G114" s="1"/>
      <c r="H114" s="1"/>
      <c r="I114" s="1"/>
      <c r="J114" s="1"/>
      <c r="K114" s="1"/>
      <c r="L114" s="1"/>
      <c r="M114" s="1"/>
      <c r="N114" s="1"/>
      <c r="O114" s="1"/>
      <c r="P114" s="1"/>
      <c r="Q114" s="1"/>
      <c r="R114" s="1"/>
      <c r="S114" s="1"/>
      <c r="T114" s="1"/>
    </row>
    <row r="115" spans="1:20" outlineLevel="1" x14ac:dyDescent="0.15"/>
    <row r="116" spans="1:20" outlineLevel="1" x14ac:dyDescent="0.15">
      <c r="B116" s="8" t="s">
        <v>149</v>
      </c>
      <c r="C116" s="8"/>
      <c r="D116" s="8"/>
      <c r="E116" s="8"/>
      <c r="F116" s="8"/>
      <c r="G116" s="8"/>
      <c r="H116" s="8"/>
      <c r="I116" s="9" t="str">
        <f t="shared" ref="I116:T116" si="1">TEXT(I119,"mmm-yy")</f>
        <v>Aug-23</v>
      </c>
      <c r="J116" s="9" t="str">
        <f t="shared" si="1"/>
        <v>Sep-23</v>
      </c>
      <c r="K116" s="9" t="str">
        <f t="shared" si="1"/>
        <v>Oct-23</v>
      </c>
      <c r="L116" s="9" t="str">
        <f t="shared" si="1"/>
        <v>Nov-23</v>
      </c>
      <c r="M116" s="9" t="str">
        <f t="shared" si="1"/>
        <v>Dec-23</v>
      </c>
      <c r="N116" s="9" t="str">
        <f t="shared" si="1"/>
        <v>Jan-24</v>
      </c>
      <c r="O116" s="9" t="str">
        <f t="shared" si="1"/>
        <v>Feb-24</v>
      </c>
      <c r="P116" s="9" t="str">
        <f t="shared" si="1"/>
        <v>Mar-24</v>
      </c>
      <c r="Q116" s="9" t="str">
        <f t="shared" si="1"/>
        <v>Apr-24</v>
      </c>
      <c r="R116" s="9" t="str">
        <f t="shared" si="1"/>
        <v>May-24</v>
      </c>
      <c r="S116" s="9" t="str">
        <f t="shared" si="1"/>
        <v>Jun-24</v>
      </c>
      <c r="T116" s="9" t="str">
        <f t="shared" si="1"/>
        <v>Jul-24</v>
      </c>
    </row>
    <row r="117" spans="1:20" outlineLevel="1" x14ac:dyDescent="0.15">
      <c r="B117" s="8" t="s">
        <v>224</v>
      </c>
      <c r="C117" s="8"/>
      <c r="D117" s="8"/>
      <c r="E117" s="8"/>
      <c r="F117" s="8"/>
      <c r="G117" s="8"/>
      <c r="H117" s="8"/>
      <c r="I117" s="77" t="str">
        <f t="shared" ref="I117:T117" si="2">"M"&amp;I122</f>
        <v>M1</v>
      </c>
      <c r="J117" s="77" t="str">
        <f t="shared" si="2"/>
        <v>M2</v>
      </c>
      <c r="K117" s="77" t="str">
        <f t="shared" si="2"/>
        <v>M3</v>
      </c>
      <c r="L117" s="77" t="str">
        <f t="shared" si="2"/>
        <v>M4</v>
      </c>
      <c r="M117" s="77" t="str">
        <f t="shared" si="2"/>
        <v>M5</v>
      </c>
      <c r="N117" s="77" t="str">
        <f t="shared" si="2"/>
        <v>M6</v>
      </c>
      <c r="O117" s="77" t="str">
        <f t="shared" si="2"/>
        <v>M7</v>
      </c>
      <c r="P117" s="77" t="str">
        <f t="shared" si="2"/>
        <v>M8</v>
      </c>
      <c r="Q117" s="77" t="str">
        <f t="shared" si="2"/>
        <v>M9</v>
      </c>
      <c r="R117" s="77" t="str">
        <f t="shared" si="2"/>
        <v>M10</v>
      </c>
      <c r="S117" s="77" t="str">
        <f t="shared" si="2"/>
        <v>M11</v>
      </c>
      <c r="T117" s="77" t="str">
        <f t="shared" si="2"/>
        <v>M12</v>
      </c>
    </row>
    <row r="118" spans="1:20" hidden="1" outlineLevel="2" x14ac:dyDescent="0.15">
      <c r="B118" s="107" t="s">
        <v>273</v>
      </c>
      <c r="I118" s="60">
        <f t="shared" ref="I118:T118" si="3">EDATE(Ts_Start_Date,I120-1)</f>
        <v>45139</v>
      </c>
      <c r="J118" s="60">
        <f t="shared" si="3"/>
        <v>45170</v>
      </c>
      <c r="K118" s="60">
        <f t="shared" si="3"/>
        <v>45200</v>
      </c>
      <c r="L118" s="60">
        <f t="shared" si="3"/>
        <v>45231</v>
      </c>
      <c r="M118" s="60">
        <f t="shared" si="3"/>
        <v>45261</v>
      </c>
      <c r="N118" s="60">
        <f t="shared" si="3"/>
        <v>45292</v>
      </c>
      <c r="O118" s="60">
        <f t="shared" si="3"/>
        <v>45323</v>
      </c>
      <c r="P118" s="60">
        <f t="shared" si="3"/>
        <v>45352</v>
      </c>
      <c r="Q118" s="60">
        <f t="shared" si="3"/>
        <v>45383</v>
      </c>
      <c r="R118" s="60">
        <f t="shared" si="3"/>
        <v>45413</v>
      </c>
      <c r="S118" s="60">
        <f t="shared" si="3"/>
        <v>45444</v>
      </c>
      <c r="T118" s="60">
        <f t="shared" si="3"/>
        <v>45474</v>
      </c>
    </row>
    <row r="119" spans="1:20" hidden="1" outlineLevel="2" x14ac:dyDescent="0.15">
      <c r="B119" s="107" t="s">
        <v>274</v>
      </c>
      <c r="I119" s="60">
        <f t="shared" ref="I119:T119" si="4">EDATE(I118,1)-1</f>
        <v>45169</v>
      </c>
      <c r="J119" s="60">
        <f t="shared" si="4"/>
        <v>45199</v>
      </c>
      <c r="K119" s="60">
        <f t="shared" si="4"/>
        <v>45230</v>
      </c>
      <c r="L119" s="60">
        <f t="shared" si="4"/>
        <v>45260</v>
      </c>
      <c r="M119" s="60">
        <f t="shared" si="4"/>
        <v>45291</v>
      </c>
      <c r="N119" s="60">
        <f t="shared" si="4"/>
        <v>45322</v>
      </c>
      <c r="O119" s="60">
        <f t="shared" si="4"/>
        <v>45351</v>
      </c>
      <c r="P119" s="60">
        <f t="shared" si="4"/>
        <v>45382</v>
      </c>
      <c r="Q119" s="60">
        <f t="shared" si="4"/>
        <v>45412</v>
      </c>
      <c r="R119" s="60">
        <f t="shared" si="4"/>
        <v>45443</v>
      </c>
      <c r="S119" s="60">
        <f t="shared" si="4"/>
        <v>45473</v>
      </c>
      <c r="T119" s="60">
        <f t="shared" si="4"/>
        <v>45504</v>
      </c>
    </row>
    <row r="120" spans="1:20" hidden="1" outlineLevel="2" x14ac:dyDescent="0.15">
      <c r="B120" s="107" t="s">
        <v>275</v>
      </c>
      <c r="I120" s="17">
        <f>COLUMNS($I124:I124)+$H127</f>
        <v>1</v>
      </c>
      <c r="J120" s="17">
        <f>COLUMNS($I124:J124)+$H127</f>
        <v>2</v>
      </c>
      <c r="K120" s="17">
        <f>COLUMNS($I124:K124)+$H127</f>
        <v>3</v>
      </c>
      <c r="L120" s="17">
        <f>COLUMNS($I124:L124)+$H127</f>
        <v>4</v>
      </c>
      <c r="M120" s="17">
        <f>COLUMNS($I124:M124)+$H127</f>
        <v>5</v>
      </c>
      <c r="N120" s="17">
        <f>COLUMNS($I124:N124)+$H127</f>
        <v>6</v>
      </c>
      <c r="O120" s="17">
        <f>COLUMNS($I124:O124)+$H127</f>
        <v>7</v>
      </c>
      <c r="P120" s="17">
        <f>COLUMNS($I124:P124)+$H127</f>
        <v>8</v>
      </c>
      <c r="Q120" s="17">
        <f>COLUMNS($I124:Q124)+$H127</f>
        <v>9</v>
      </c>
      <c r="R120" s="17">
        <f>COLUMNS($I124:R124)+$H127</f>
        <v>10</v>
      </c>
      <c r="S120" s="17">
        <f>COLUMNS($I124:S124)+$H127</f>
        <v>11</v>
      </c>
      <c r="T120" s="17">
        <f>COLUMNS($I124:T124)+$H127</f>
        <v>12</v>
      </c>
    </row>
    <row r="121" spans="1:20" hidden="1" outlineLevel="2" x14ac:dyDescent="0.15">
      <c r="B121" s="107" t="s">
        <v>276</v>
      </c>
      <c r="I121" s="28">
        <f t="shared" ref="I121:T121" si="5">YEAR(I119)+IF(MONTH(I119)&gt;DD_Ts_Fin_Yr_End_Mth,1,0)</f>
        <v>2024</v>
      </c>
      <c r="J121" s="28">
        <f t="shared" si="5"/>
        <v>2024</v>
      </c>
      <c r="K121" s="28">
        <f t="shared" si="5"/>
        <v>2024</v>
      </c>
      <c r="L121" s="28">
        <f t="shared" si="5"/>
        <v>2024</v>
      </c>
      <c r="M121" s="28">
        <f t="shared" si="5"/>
        <v>2024</v>
      </c>
      <c r="N121" s="28">
        <f t="shared" si="5"/>
        <v>2024</v>
      </c>
      <c r="O121" s="28">
        <f t="shared" si="5"/>
        <v>2024</v>
      </c>
      <c r="P121" s="28">
        <f t="shared" si="5"/>
        <v>2024</v>
      </c>
      <c r="Q121" s="28">
        <f t="shared" si="5"/>
        <v>2024</v>
      </c>
      <c r="R121" s="28">
        <f t="shared" si="5"/>
        <v>2024</v>
      </c>
      <c r="S121" s="28">
        <f t="shared" si="5"/>
        <v>2024</v>
      </c>
      <c r="T121" s="28">
        <f t="shared" si="5"/>
        <v>2024</v>
      </c>
    </row>
    <row r="122" spans="1:20" hidden="1" outlineLevel="2" x14ac:dyDescent="0.15">
      <c r="B122" s="107" t="s">
        <v>277</v>
      </c>
      <c r="I122" s="17">
        <f t="shared" ref="I122:T122" si="6">MOD(MONTH(I119)-DD_Ts_Fin_Yr_End_Mth-1,Ts_Mths_In_Yr)+1</f>
        <v>1</v>
      </c>
      <c r="J122" s="17">
        <f t="shared" si="6"/>
        <v>2</v>
      </c>
      <c r="K122" s="17">
        <f t="shared" si="6"/>
        <v>3</v>
      </c>
      <c r="L122" s="17">
        <f t="shared" si="6"/>
        <v>4</v>
      </c>
      <c r="M122" s="17">
        <f t="shared" si="6"/>
        <v>5</v>
      </c>
      <c r="N122" s="17">
        <f t="shared" si="6"/>
        <v>6</v>
      </c>
      <c r="O122" s="17">
        <f t="shared" si="6"/>
        <v>7</v>
      </c>
      <c r="P122" s="17">
        <f t="shared" si="6"/>
        <v>8</v>
      </c>
      <c r="Q122" s="17">
        <f t="shared" si="6"/>
        <v>9</v>
      </c>
      <c r="R122" s="17">
        <f t="shared" si="6"/>
        <v>10</v>
      </c>
      <c r="S122" s="17">
        <f t="shared" si="6"/>
        <v>11</v>
      </c>
      <c r="T122" s="17">
        <f t="shared" si="6"/>
        <v>12</v>
      </c>
    </row>
    <row r="123" spans="1:20" hidden="1" outlineLevel="2" x14ac:dyDescent="0.15">
      <c r="B123" s="107" t="s">
        <v>151</v>
      </c>
      <c r="I123" s="29" t="b">
        <f t="shared" ref="I123:T123" si="7">IF(I120&gt;0,IF(I120&lt;=Ts_Term,TRUE,FALSE),FALSE)</f>
        <v>1</v>
      </c>
      <c r="J123" s="29" t="b">
        <f t="shared" si="7"/>
        <v>1</v>
      </c>
      <c r="K123" s="29" t="b">
        <f t="shared" si="7"/>
        <v>1</v>
      </c>
      <c r="L123" s="29" t="b">
        <f t="shared" si="7"/>
        <v>1</v>
      </c>
      <c r="M123" s="29" t="b">
        <f t="shared" si="7"/>
        <v>1</v>
      </c>
      <c r="N123" s="29" t="b">
        <f t="shared" si="7"/>
        <v>1</v>
      </c>
      <c r="O123" s="29" t="b">
        <f t="shared" si="7"/>
        <v>1</v>
      </c>
      <c r="P123" s="29" t="b">
        <f t="shared" si="7"/>
        <v>1</v>
      </c>
      <c r="Q123" s="29" t="b">
        <f t="shared" si="7"/>
        <v>1</v>
      </c>
      <c r="R123" s="29" t="b">
        <f t="shared" si="7"/>
        <v>1</v>
      </c>
      <c r="S123" s="29" t="b">
        <f t="shared" si="7"/>
        <v>1</v>
      </c>
      <c r="T123" s="29" t="b">
        <f t="shared" si="7"/>
        <v>1</v>
      </c>
    </row>
    <row r="124" spans="1:20" hidden="1" outlineLevel="2" x14ac:dyDescent="0.15">
      <c r="B124" s="186" t="s">
        <v>278</v>
      </c>
      <c r="C124" s="5"/>
      <c r="D124" s="5"/>
      <c r="E124" s="5"/>
      <c r="F124" s="5"/>
      <c r="G124" s="5"/>
      <c r="H124" s="5"/>
      <c r="I124" s="187" t="str">
        <f t="shared" ref="I124:T124" si="8">TEXT(I119,"mmm-yy")</f>
        <v>Aug-23</v>
      </c>
      <c r="J124" s="187" t="str">
        <f t="shared" si="8"/>
        <v>Sep-23</v>
      </c>
      <c r="K124" s="187" t="str">
        <f t="shared" si="8"/>
        <v>Oct-23</v>
      </c>
      <c r="L124" s="187" t="str">
        <f t="shared" si="8"/>
        <v>Nov-23</v>
      </c>
      <c r="M124" s="187" t="str">
        <f t="shared" si="8"/>
        <v>Dec-23</v>
      </c>
      <c r="N124" s="187" t="str">
        <f t="shared" si="8"/>
        <v>Jan-24</v>
      </c>
      <c r="O124" s="187" t="str">
        <f t="shared" si="8"/>
        <v>Feb-24</v>
      </c>
      <c r="P124" s="187" t="str">
        <f t="shared" si="8"/>
        <v>Mar-24</v>
      </c>
      <c r="Q124" s="187" t="str">
        <f t="shared" si="8"/>
        <v>Apr-24</v>
      </c>
      <c r="R124" s="187" t="str">
        <f t="shared" si="8"/>
        <v>May-24</v>
      </c>
      <c r="S124" s="187" t="str">
        <f t="shared" si="8"/>
        <v>Jun-24</v>
      </c>
      <c r="T124" s="187" t="str">
        <f t="shared" si="8"/>
        <v>Jul-24</v>
      </c>
    </row>
    <row r="125" spans="1:20" outlineLevel="1" collapsed="1" x14ac:dyDescent="0.15"/>
    <row r="126" spans="1:20" ht="15.75" customHeight="1" outlineLevel="1" x14ac:dyDescent="0.15">
      <c r="B126" s="107" t="s">
        <v>146</v>
      </c>
      <c r="H126" s="4">
        <v>1</v>
      </c>
    </row>
    <row r="127" spans="1:20" hidden="1" outlineLevel="2" x14ac:dyDescent="0.15">
      <c r="B127" s="107" t="s">
        <v>147</v>
      </c>
      <c r="H127" s="106">
        <f>DD_Scen_Db_First_Disp_Per-1</f>
        <v>0</v>
      </c>
    </row>
    <row r="128" spans="1:20" hidden="1" outlineLevel="2" x14ac:dyDescent="0.15">
      <c r="B128" s="107" t="s">
        <v>148</v>
      </c>
      <c r="H128" s="107" t="str">
        <f>IF(AND(COLUMNS($I119:$T119)=Ts_Mths_In_Yr,MONTH($T119)=DD_Ts_Fin_Yr_End_Mth),"FY"&amp;YEAR($T119),COLUMNS($I119:$T119)&amp;" Months to "&amp;TEXT($T119,"mmmm yyyy"))</f>
        <v>FY2024</v>
      </c>
    </row>
    <row r="129" spans="2:20" ht="6" hidden="1" customHeight="1" outlineLevel="2" x14ac:dyDescent="0.15"/>
    <row r="130" spans="2:20" hidden="1" outlineLevel="2" x14ac:dyDescent="0.15">
      <c r="B130" s="107" t="s">
        <v>279</v>
      </c>
      <c r="G130" s="78" t="s">
        <v>233</v>
      </c>
      <c r="H130" s="193">
        <v>0</v>
      </c>
    </row>
    <row r="131" spans="2:20" hidden="1" outlineLevel="2" x14ac:dyDescent="0.15">
      <c r="B131" s="107" t="s">
        <v>248</v>
      </c>
      <c r="H131" s="93">
        <f>H14</f>
        <v>1</v>
      </c>
    </row>
    <row r="132" spans="2:20" ht="6" hidden="1" customHeight="1" outlineLevel="2" x14ac:dyDescent="0.15"/>
    <row r="133" spans="2:20" outlineLevel="1" collapsed="1" x14ac:dyDescent="0.15">
      <c r="B133" s="107" t="s">
        <v>280</v>
      </c>
      <c r="H133" s="162" t="s">
        <v>281</v>
      </c>
    </row>
    <row r="134" spans="2:20" hidden="1" outlineLevel="2" x14ac:dyDescent="0.15">
      <c r="B134" s="107" t="s">
        <v>282</v>
      </c>
      <c r="H134" s="70" t="b">
        <f>Scen_Db_Data_Tables_Status&lt;&gt;Scen_Db_Data_Tables_Status_On</f>
        <v>0</v>
      </c>
    </row>
    <row r="135" spans="2:20" outlineLevel="1" collapsed="1" x14ac:dyDescent="0.15"/>
    <row r="136" spans="2:20" outlineLevel="1" x14ac:dyDescent="0.15">
      <c r="B136" s="108" t="s">
        <v>61</v>
      </c>
      <c r="C136" s="108"/>
      <c r="D136" s="108"/>
      <c r="E136" s="108"/>
      <c r="F136" s="108"/>
      <c r="G136" s="108"/>
      <c r="H136" s="108"/>
      <c r="I136" s="108"/>
      <c r="J136" s="108"/>
      <c r="K136" s="108"/>
      <c r="L136" s="108"/>
      <c r="M136" s="108"/>
      <c r="N136" s="108"/>
      <c r="O136" s="108"/>
      <c r="P136" s="108"/>
      <c r="Q136" s="108"/>
      <c r="R136" s="108"/>
      <c r="S136" s="108"/>
      <c r="T136" s="108"/>
    </row>
    <row r="137" spans="2:20" outlineLevel="1" x14ac:dyDescent="0.15"/>
    <row r="138" spans="2:20" outlineLevel="1" x14ac:dyDescent="0.15">
      <c r="B138" s="16" t="str">
        <f>B139</f>
        <v>Revenue</v>
      </c>
      <c r="I138" s="79" t="str">
        <f t="shared" ref="I138:T138" si="9">I$124</f>
        <v>Aug-23</v>
      </c>
      <c r="J138" s="79" t="str">
        <f t="shared" si="9"/>
        <v>Sep-23</v>
      </c>
      <c r="K138" s="79" t="str">
        <f t="shared" si="9"/>
        <v>Oct-23</v>
      </c>
      <c r="L138" s="79" t="str">
        <f t="shared" si="9"/>
        <v>Nov-23</v>
      </c>
      <c r="M138" s="79" t="str">
        <f t="shared" si="9"/>
        <v>Dec-23</v>
      </c>
      <c r="N138" s="79" t="str">
        <f t="shared" si="9"/>
        <v>Jan-24</v>
      </c>
      <c r="O138" s="79" t="str">
        <f t="shared" si="9"/>
        <v>Feb-24</v>
      </c>
      <c r="P138" s="79" t="str">
        <f t="shared" si="9"/>
        <v>Mar-24</v>
      </c>
      <c r="Q138" s="79" t="str">
        <f t="shared" si="9"/>
        <v>Apr-24</v>
      </c>
      <c r="R138" s="79" t="str">
        <f t="shared" si="9"/>
        <v>May-24</v>
      </c>
      <c r="S138" s="79" t="str">
        <f t="shared" si="9"/>
        <v>Jun-24</v>
      </c>
      <c r="T138" s="79" t="str">
        <f t="shared" si="9"/>
        <v>Jul-24</v>
      </c>
    </row>
    <row r="139" spans="2:20" hidden="1" outlineLevel="2" x14ac:dyDescent="0.15">
      <c r="B139" s="107" t="s">
        <v>64</v>
      </c>
      <c r="I139" s="81">
        <f ca="1">IF(Scen_Db_Data_Tables_Off,Scen_Db_Data_Tables_Status_Off,IF(I$123,OFFSET(Financials!J25,0,$H$127),0))</f>
        <v>3371.0619354838709</v>
      </c>
      <c r="J139" s="81">
        <f ca="1">IF(Scen_Db_Data_Tables_Off,Scen_Db_Data_Tables_Status_Off,IF(J$123,OFFSET(Financials!K25,0,$H$127),0))</f>
        <v>5460.4498733333321</v>
      </c>
      <c r="K139" s="81">
        <f ca="1">IF(Scen_Db_Data_Tables_Off,Scen_Db_Data_Tables_Status_Off,IF(K$123,OFFSET(Financials!L25,0,$H$127),0))</f>
        <v>5658.2944516129037</v>
      </c>
      <c r="L139" s="81">
        <f ca="1">IF(Scen_Db_Data_Tables_Off,Scen_Db_Data_Tables_Status_Off,IF(L$123,OFFSET(Financials!M25,0,$H$127),0))</f>
        <v>6738.0976666666666</v>
      </c>
      <c r="M139" s="81">
        <f ca="1">IF(Scen_Db_Data_Tables_Off,Scen_Db_Data_Tables_Status_Off,IF(M$123,OFFSET(Financials!N25,0,$H$127),0))</f>
        <v>2898.1579913978489</v>
      </c>
      <c r="N139" s="81">
        <f ca="1">IF(Scen_Db_Data_Tables_Off,Scen_Db_Data_Tables_Status_Off,IF(N$123,OFFSET(Financials!O25,0,$H$127),0))</f>
        <v>5264.5171290322578</v>
      </c>
      <c r="O139" s="81">
        <f ca="1">IF(Scen_Db_Data_Tables_Off,Scen_Db_Data_Tables_Status_Off,IF(O$123,OFFSET(Financials!P25,0,$H$127),0))</f>
        <v>6074.5498666666672</v>
      </c>
      <c r="P139" s="81">
        <f ca="1">IF(Scen_Db_Data_Tables_Off,Scen_Db_Data_Tables_Status_Off,IF(P$123,OFFSET(Financials!Q25,0,$H$127),0))</f>
        <v>6044.8385397849461</v>
      </c>
      <c r="Q139" s="81">
        <f ca="1">IF(Scen_Db_Data_Tables_Off,Scen_Db_Data_Tables_Status_Off,IF(Q$123,OFFSET(Financials!R25,0,$H$127),0))</f>
        <v>4902.4685600000003</v>
      </c>
      <c r="R139" s="81">
        <f ca="1">IF(Scen_Db_Data_Tables_Off,Scen_Db_Data_Tables_Status_Off,IF(R$123,OFFSET(Financials!S25,0,$H$127),0))</f>
        <v>5694.5062731182788</v>
      </c>
      <c r="S139" s="81">
        <f ca="1">IF(Scen_Db_Data_Tables_Off,Scen_Db_Data_Tables_Status_Off,IF(S$123,OFFSET(Financials!T25,0,$H$127),0))</f>
        <v>5619.0533333333333</v>
      </c>
      <c r="T139" s="81">
        <f ca="1">IF(Scen_Db_Data_Tables_Off,Scen_Db_Data_Tables_Status_Off,IF(T$123,OFFSET(Financials!U25,0,$H$127),0))</f>
        <v>5209.1097290322577</v>
      </c>
    </row>
    <row r="140" spans="2:20" hidden="1" outlineLevel="2" x14ac:dyDescent="0.15">
      <c r="B140" s="175" t="str">
        <f>"Active Case ("&amp;INDEX(LU_Scen_Db_Scenario_Names,Scen_Db_Active_Scenario)&amp;")"</f>
        <v>Active Case (Base Case)</v>
      </c>
      <c r="H140" s="80" t="s">
        <v>245</v>
      </c>
      <c r="I140" s="87">
        <f t="shared" ref="I140:T140" ca="1" si="10">I139</f>
        <v>3371.0619354838709</v>
      </c>
      <c r="J140" s="87">
        <f t="shared" ca="1" si="10"/>
        <v>5460.4498733333321</v>
      </c>
      <c r="K140" s="87">
        <f t="shared" ca="1" si="10"/>
        <v>5658.2944516129037</v>
      </c>
      <c r="L140" s="87">
        <f t="shared" ca="1" si="10"/>
        <v>6738.0976666666666</v>
      </c>
      <c r="M140" s="87">
        <f t="shared" ca="1" si="10"/>
        <v>2898.1579913978489</v>
      </c>
      <c r="N140" s="87">
        <f t="shared" ca="1" si="10"/>
        <v>5264.5171290322578</v>
      </c>
      <c r="O140" s="87">
        <f t="shared" ca="1" si="10"/>
        <v>6074.5498666666672</v>
      </c>
      <c r="P140" s="87">
        <f t="shared" ca="1" si="10"/>
        <v>6044.8385397849461</v>
      </c>
      <c r="Q140" s="87">
        <f t="shared" ca="1" si="10"/>
        <v>4902.4685600000003</v>
      </c>
      <c r="R140" s="87">
        <f t="shared" ca="1" si="10"/>
        <v>5694.5062731182788</v>
      </c>
      <c r="S140" s="87">
        <f t="shared" ca="1" si="10"/>
        <v>5619.0533333333333</v>
      </c>
      <c r="T140" s="87">
        <f t="shared" ca="1" si="10"/>
        <v>5209.1097290322577</v>
      </c>
    </row>
    <row r="141" spans="2:20" outlineLevel="1" collapsed="1" x14ac:dyDescent="0.15">
      <c r="B141" s="107" t="str">
        <f>INDEX(LU_Scen_Db_Scenario_Names,$H141)</f>
        <v>Base Case</v>
      </c>
      <c r="H141" s="82">
        <v>1</v>
      </c>
      <c r="I141" s="81">
        <f t="dataTable" ref="I141:T143" dt2D="0" dtr="0" r1="H130" ca="1"/>
        <v>3371.0619354838709</v>
      </c>
      <c r="J141" s="81">
        <v>5460.4498733333321</v>
      </c>
      <c r="K141" s="81">
        <v>5658.2944516129037</v>
      </c>
      <c r="L141" s="81">
        <v>6738.0976666666666</v>
      </c>
      <c r="M141" s="81">
        <v>2898.1579913978489</v>
      </c>
      <c r="N141" s="81">
        <v>5264.5171290322578</v>
      </c>
      <c r="O141" s="81">
        <v>6074.5498666666672</v>
      </c>
      <c r="P141" s="81">
        <v>6044.8385397849461</v>
      </c>
      <c r="Q141" s="81">
        <v>4902.4685600000003</v>
      </c>
      <c r="R141" s="81">
        <v>5694.5062731182788</v>
      </c>
      <c r="S141" s="81">
        <v>5619.0533333333333</v>
      </c>
      <c r="T141" s="81">
        <v>5209.1097290322577</v>
      </c>
    </row>
    <row r="142" spans="2:20" outlineLevel="1" x14ac:dyDescent="0.15">
      <c r="B142" s="107" t="str">
        <f>INDEX(LU_Scen_Db_Scenario_Names,$H142)</f>
        <v>Slower Growth</v>
      </c>
      <c r="H142" s="82">
        <v>2</v>
      </c>
      <c r="I142" s="81">
        <v>3371.0619354838709</v>
      </c>
      <c r="J142" s="81">
        <v>5335.1200366666671</v>
      </c>
      <c r="K142" s="81">
        <v>5452.2540000000008</v>
      </c>
      <c r="L142" s="81">
        <v>6410.1538333333328</v>
      </c>
      <c r="M142" s="81">
        <v>2713.1192860215046</v>
      </c>
      <c r="N142" s="81">
        <v>4880.6230483870959</v>
      </c>
      <c r="O142" s="81">
        <v>5600.1429333333335</v>
      </c>
      <c r="P142" s="81">
        <v>5515.3267860215055</v>
      </c>
      <c r="Q142" s="81">
        <v>4438.6560799999997</v>
      </c>
      <c r="R142" s="81">
        <v>5099.1145236559141</v>
      </c>
      <c r="S142" s="81">
        <v>4987.2966666666671</v>
      </c>
      <c r="T142" s="81">
        <v>4589.4730580645146</v>
      </c>
    </row>
    <row r="143" spans="2:20" outlineLevel="1" x14ac:dyDescent="0.15">
      <c r="B143" s="107" t="str">
        <f>INDEX(LU_Scen_Db_Scenario_Names,$H143)</f>
        <v>Faster Growth</v>
      </c>
      <c r="H143" s="82">
        <v>3</v>
      </c>
      <c r="I143" s="81">
        <v>3371.0619354838709</v>
      </c>
      <c r="J143" s="81">
        <v>5585.7797099999998</v>
      </c>
      <c r="K143" s="81">
        <v>5864.3349032258066</v>
      </c>
      <c r="L143" s="81">
        <v>7066.0415000000003</v>
      </c>
      <c r="M143" s="81">
        <v>3083.1966967741928</v>
      </c>
      <c r="N143" s="81">
        <v>5648.4112096774197</v>
      </c>
      <c r="O143" s="81">
        <v>6548.956799999999</v>
      </c>
      <c r="P143" s="81">
        <v>6574.3502935483875</v>
      </c>
      <c r="Q143" s="81">
        <v>5366.2810399999998</v>
      </c>
      <c r="R143" s="81">
        <v>6289.8980225806445</v>
      </c>
      <c r="S143" s="81">
        <v>6250.81</v>
      </c>
      <c r="T143" s="81">
        <v>5828.7464</v>
      </c>
    </row>
    <row r="144" spans="2:20" outlineLevel="1" x14ac:dyDescent="0.15"/>
    <row r="145" spans="2:20" outlineLevel="1" x14ac:dyDescent="0.15">
      <c r="B145" s="16" t="str">
        <f>B146</f>
        <v>Cost of Goods Sold</v>
      </c>
      <c r="I145" s="79" t="str">
        <f t="shared" ref="I145:T145" si="11">I$124</f>
        <v>Aug-23</v>
      </c>
      <c r="J145" s="79" t="str">
        <f t="shared" si="11"/>
        <v>Sep-23</v>
      </c>
      <c r="K145" s="79" t="str">
        <f t="shared" si="11"/>
        <v>Oct-23</v>
      </c>
      <c r="L145" s="79" t="str">
        <f t="shared" si="11"/>
        <v>Nov-23</v>
      </c>
      <c r="M145" s="79" t="str">
        <f t="shared" si="11"/>
        <v>Dec-23</v>
      </c>
      <c r="N145" s="79" t="str">
        <f t="shared" si="11"/>
        <v>Jan-24</v>
      </c>
      <c r="O145" s="79" t="str">
        <f t="shared" si="11"/>
        <v>Feb-24</v>
      </c>
      <c r="P145" s="79" t="str">
        <f t="shared" si="11"/>
        <v>Mar-24</v>
      </c>
      <c r="Q145" s="79" t="str">
        <f t="shared" si="11"/>
        <v>Apr-24</v>
      </c>
      <c r="R145" s="79" t="str">
        <f t="shared" si="11"/>
        <v>May-24</v>
      </c>
      <c r="S145" s="79" t="str">
        <f t="shared" si="11"/>
        <v>Jun-24</v>
      </c>
      <c r="T145" s="79" t="str">
        <f t="shared" si="11"/>
        <v>Jul-24</v>
      </c>
    </row>
    <row r="146" spans="2:20" hidden="1" outlineLevel="2" x14ac:dyDescent="0.15">
      <c r="B146" s="107" t="s">
        <v>65</v>
      </c>
      <c r="I146" s="81">
        <f ca="1">IF(Scen_Db_Data_Tables_Off,Scen_Db_Data_Tables_Status_Off,IF(I$123,-OFFSET(Financials!J31,0,$H$127),0))</f>
        <v>854.31486709677404</v>
      </c>
      <c r="J146" s="81">
        <f ca="1">IF(Scen_Db_Data_Tables_Off,Scen_Db_Data_Tables_Status_Off,IF(J$123,-OFFSET(Financials!K31,0,$H$127),0))</f>
        <v>818.26629822666655</v>
      </c>
      <c r="K146" s="81">
        <f ca="1">IF(Scen_Db_Data_Tables_Off,Scen_Db_Data_Tables_Status_Off,IF(K$123,-OFFSET(Financials!L31,0,$H$127),0))</f>
        <v>855.99945565591406</v>
      </c>
      <c r="L146" s="81">
        <f ca="1">IF(Scen_Db_Data_Tables_Off,Scen_Db_Data_Tables_Status_Off,IF(L$123,-OFFSET(Financials!M31,0,$H$127),0))</f>
        <v>872.62003400000003</v>
      </c>
      <c r="M146" s="81">
        <f ca="1">IF(Scen_Db_Data_Tables_Off,Scen_Db_Data_Tables_Status_Off,IF(M$123,-OFFSET(Financials!N31,0,$H$127),0))</f>
        <v>786.90421187956986</v>
      </c>
      <c r="N146" s="81">
        <f ca="1">IF(Scen_Db_Data_Tables_Off,Scen_Db_Data_Tables_Status_Off,IF(N$123,-OFFSET(Financials!O31,0,$H$127),0))</f>
        <v>888.45657313978484</v>
      </c>
      <c r="O146" s="81">
        <f ca="1">IF(Scen_Db_Data_Tables_Off,Scen_Db_Data_Tables_Status_Off,IF(O$123,-OFFSET(Financials!P31,0,$H$127),0))</f>
        <v>828.78036479999992</v>
      </c>
      <c r="P146" s="81">
        <f ca="1">IF(Scen_Db_Data_Tables_Off,Scen_Db_Data_Tables_Status_Off,IF(P$123,-OFFSET(Financials!Q31,0,$H$127),0))</f>
        <v>829.86773955698914</v>
      </c>
      <c r="Q146" s="81">
        <f ca="1">IF(Scen_Db_Data_Tables_Off,Scen_Db_Data_Tables_Status_Off,IF(Q$123,-OFFSET(Financials!R31,0,$H$127),0))</f>
        <v>848.83789317333333</v>
      </c>
      <c r="R146" s="81">
        <f ca="1">IF(Scen_Db_Data_Tables_Off,Scen_Db_Data_Tables_Status_Off,IF(R$123,-OFFSET(Financials!S31,0,$H$127),0))</f>
        <v>894.88975449032239</v>
      </c>
      <c r="S146" s="81">
        <f ca="1">IF(Scen_Db_Data_Tables_Off,Scen_Db_Data_Tables_Status_Off,IF(S$123,-OFFSET(Financials!T31,0,$H$127),0))</f>
        <v>794.95674666666662</v>
      </c>
      <c r="T146" s="81">
        <f ca="1">IF(Scen_Db_Data_Tables_Off,Scen_Db_Data_Tables_Status_Off,IF(T$123,-OFFSET(Financials!U31,0,$H$127),0))</f>
        <v>891.10086953978475</v>
      </c>
    </row>
    <row r="147" spans="2:20" hidden="1" outlineLevel="2" x14ac:dyDescent="0.15">
      <c r="B147" s="175" t="str">
        <f>"Active Case ("&amp;INDEX(LU_Scen_Db_Scenario_Names,Scen_Db_Active_Scenario)&amp;")"</f>
        <v>Active Case (Base Case)</v>
      </c>
      <c r="H147" s="80" t="s">
        <v>245</v>
      </c>
      <c r="I147" s="87">
        <f t="shared" ref="I147:T147" ca="1" si="12">I146</f>
        <v>854.31486709677404</v>
      </c>
      <c r="J147" s="87">
        <f t="shared" ca="1" si="12"/>
        <v>818.26629822666655</v>
      </c>
      <c r="K147" s="87">
        <f t="shared" ca="1" si="12"/>
        <v>855.99945565591406</v>
      </c>
      <c r="L147" s="87">
        <f t="shared" ca="1" si="12"/>
        <v>872.62003400000003</v>
      </c>
      <c r="M147" s="87">
        <f t="shared" ca="1" si="12"/>
        <v>786.90421187956986</v>
      </c>
      <c r="N147" s="87">
        <f t="shared" ca="1" si="12"/>
        <v>888.45657313978484</v>
      </c>
      <c r="O147" s="87">
        <f t="shared" ca="1" si="12"/>
        <v>828.78036479999992</v>
      </c>
      <c r="P147" s="87">
        <f t="shared" ca="1" si="12"/>
        <v>829.86773955698914</v>
      </c>
      <c r="Q147" s="87">
        <f t="shared" ca="1" si="12"/>
        <v>848.83789317333333</v>
      </c>
      <c r="R147" s="87">
        <f t="shared" ca="1" si="12"/>
        <v>894.88975449032239</v>
      </c>
      <c r="S147" s="87">
        <f t="shared" ca="1" si="12"/>
        <v>794.95674666666662</v>
      </c>
      <c r="T147" s="87">
        <f t="shared" ca="1" si="12"/>
        <v>891.10086953978475</v>
      </c>
    </row>
    <row r="148" spans="2:20" outlineLevel="1" collapsed="1" x14ac:dyDescent="0.15">
      <c r="B148" s="107" t="str">
        <f>INDEX(LU_Scen_Db_Scenario_Names,$H148)</f>
        <v>Base Case</v>
      </c>
      <c r="H148" s="82">
        <v>1</v>
      </c>
      <c r="I148" s="81">
        <f t="dataTable" ref="I148:T150" dt2D="0" dtr="0" r1="H130" ca="1"/>
        <v>854.31486709677404</v>
      </c>
      <c r="J148" s="81">
        <v>818.26629822666655</v>
      </c>
      <c r="K148" s="81">
        <v>855.99945565591406</v>
      </c>
      <c r="L148" s="81">
        <v>872.62003400000003</v>
      </c>
      <c r="M148" s="81">
        <v>786.90421187956986</v>
      </c>
      <c r="N148" s="81">
        <v>888.45657313978484</v>
      </c>
      <c r="O148" s="81">
        <v>828.78036479999992</v>
      </c>
      <c r="P148" s="81">
        <v>829.86773955698914</v>
      </c>
      <c r="Q148" s="81">
        <v>848.83789317333333</v>
      </c>
      <c r="R148" s="81">
        <v>894.88975449032239</v>
      </c>
      <c r="S148" s="81">
        <v>794.95674666666662</v>
      </c>
      <c r="T148" s="81">
        <v>891.10086953978475</v>
      </c>
    </row>
    <row r="149" spans="2:20" outlineLevel="1" x14ac:dyDescent="0.15">
      <c r="B149" s="107" t="str">
        <f>INDEX(LU_Scen_Db_Scenario_Names,$H149)</f>
        <v>Slower Growth</v>
      </c>
      <c r="H149" s="82">
        <v>2</v>
      </c>
      <c r="I149" s="81">
        <v>854.31486709677404</v>
      </c>
      <c r="J149" s="81">
        <v>816.4016805133333</v>
      </c>
      <c r="K149" s="81">
        <v>852.2532226666666</v>
      </c>
      <c r="L149" s="81">
        <v>866.41548699999998</v>
      </c>
      <c r="M149" s="81">
        <v>781.94867000430111</v>
      </c>
      <c r="N149" s="81">
        <v>879.96538934408579</v>
      </c>
      <c r="O149" s="81">
        <v>818.27033440000002</v>
      </c>
      <c r="P149" s="81">
        <v>817.83457500430109</v>
      </c>
      <c r="Q149" s="81">
        <v>836.97285178666664</v>
      </c>
      <c r="R149" s="81">
        <v>880.43093666451591</v>
      </c>
      <c r="S149" s="81">
        <v>779.23715333333325</v>
      </c>
      <c r="T149" s="81">
        <v>874.79928947956967</v>
      </c>
    </row>
    <row r="150" spans="2:20" outlineLevel="1" x14ac:dyDescent="0.15">
      <c r="B150" s="107" t="str">
        <f>INDEX(LU_Scen_Db_Scenario_Names,$H150)</f>
        <v>Faster Growth</v>
      </c>
      <c r="H150" s="82">
        <v>3</v>
      </c>
      <c r="I150" s="81">
        <v>854.31486709677404</v>
      </c>
      <c r="J150" s="81">
        <v>820.13091594000002</v>
      </c>
      <c r="K150" s="81">
        <v>859.74568864516129</v>
      </c>
      <c r="L150" s="81">
        <v>878.82458099999997</v>
      </c>
      <c r="M150" s="81">
        <v>791.85975375483872</v>
      </c>
      <c r="N150" s="81">
        <v>896.94775693548365</v>
      </c>
      <c r="O150" s="81">
        <v>839.29039519999992</v>
      </c>
      <c r="P150" s="81">
        <v>841.90090410967741</v>
      </c>
      <c r="Q150" s="81">
        <v>860.70293456000002</v>
      </c>
      <c r="R150" s="81">
        <v>909.34857231612887</v>
      </c>
      <c r="S150" s="81">
        <v>810.67633999999998</v>
      </c>
      <c r="T150" s="81">
        <v>907.40244959999984</v>
      </c>
    </row>
    <row r="151" spans="2:20" outlineLevel="1" x14ac:dyDescent="0.15"/>
    <row r="152" spans="2:20" outlineLevel="1" x14ac:dyDescent="0.15">
      <c r="B152" s="16" t="s">
        <v>66</v>
      </c>
      <c r="I152" s="79" t="str">
        <f t="shared" ref="I152:T152" si="13">I$124</f>
        <v>Aug-23</v>
      </c>
      <c r="J152" s="79" t="str">
        <f t="shared" si="13"/>
        <v>Sep-23</v>
      </c>
      <c r="K152" s="79" t="str">
        <f t="shared" si="13"/>
        <v>Oct-23</v>
      </c>
      <c r="L152" s="79" t="str">
        <f t="shared" si="13"/>
        <v>Nov-23</v>
      </c>
      <c r="M152" s="79" t="str">
        <f t="shared" si="13"/>
        <v>Dec-23</v>
      </c>
      <c r="N152" s="79" t="str">
        <f t="shared" si="13"/>
        <v>Jan-24</v>
      </c>
      <c r="O152" s="79" t="str">
        <f t="shared" si="13"/>
        <v>Feb-24</v>
      </c>
      <c r="P152" s="79" t="str">
        <f t="shared" si="13"/>
        <v>Mar-24</v>
      </c>
      <c r="Q152" s="79" t="str">
        <f t="shared" si="13"/>
        <v>Apr-24</v>
      </c>
      <c r="R152" s="79" t="str">
        <f t="shared" si="13"/>
        <v>May-24</v>
      </c>
      <c r="S152" s="79" t="str">
        <f t="shared" si="13"/>
        <v>Jun-24</v>
      </c>
      <c r="T152" s="79" t="str">
        <f t="shared" si="13"/>
        <v>Jul-24</v>
      </c>
    </row>
    <row r="153" spans="2:20" outlineLevel="1" x14ac:dyDescent="0.15">
      <c r="B153" s="107" t="str">
        <f>INDEX(LU_Scen_Db_Scenario_Names,$H153)</f>
        <v>Base Case</v>
      </c>
      <c r="H153" s="82">
        <v>1</v>
      </c>
      <c r="I153" s="81">
        <f t="shared" ref="I153:T153" si="14">IF(Scen_Db_Data_Tables_Off,Scen_Db_Data_Tables_Status_Off,I141-I148)</f>
        <v>2516.747068387097</v>
      </c>
      <c r="J153" s="81">
        <f t="shared" si="14"/>
        <v>4642.1835751066656</v>
      </c>
      <c r="K153" s="81">
        <f t="shared" si="14"/>
        <v>4802.2949959569896</v>
      </c>
      <c r="L153" s="81">
        <f t="shared" si="14"/>
        <v>5865.477632666667</v>
      </c>
      <c r="M153" s="81">
        <f t="shared" si="14"/>
        <v>2111.2537795182789</v>
      </c>
      <c r="N153" s="81">
        <f t="shared" si="14"/>
        <v>4376.0605558924726</v>
      </c>
      <c r="O153" s="81">
        <f t="shared" si="14"/>
        <v>5245.7695018666673</v>
      </c>
      <c r="P153" s="81">
        <f t="shared" si="14"/>
        <v>5214.9708002279567</v>
      </c>
      <c r="Q153" s="81">
        <f t="shared" si="14"/>
        <v>4053.630666826667</v>
      </c>
      <c r="R153" s="81">
        <f t="shared" si="14"/>
        <v>4799.6165186279568</v>
      </c>
      <c r="S153" s="81">
        <f t="shared" si="14"/>
        <v>4824.0965866666666</v>
      </c>
      <c r="T153" s="81">
        <f t="shared" si="14"/>
        <v>4318.0088594924728</v>
      </c>
    </row>
    <row r="154" spans="2:20" outlineLevel="1" x14ac:dyDescent="0.15">
      <c r="B154" s="107" t="str">
        <f>INDEX(LU_Scen_Db_Scenario_Names,$H154)</f>
        <v>Slower Growth</v>
      </c>
      <c r="H154" s="82">
        <v>2</v>
      </c>
      <c r="I154" s="81">
        <f t="shared" ref="I154:T154" si="15">IF(Scen_Db_Data_Tables_Off,Scen_Db_Data_Tables_Status_Off,I142-I149)</f>
        <v>2516.747068387097</v>
      </c>
      <c r="J154" s="81">
        <f t="shared" si="15"/>
        <v>4518.7183561533338</v>
      </c>
      <c r="K154" s="81">
        <f t="shared" si="15"/>
        <v>4600.0007773333346</v>
      </c>
      <c r="L154" s="81">
        <f t="shared" si="15"/>
        <v>5543.7383463333326</v>
      </c>
      <c r="M154" s="81">
        <f t="shared" si="15"/>
        <v>1931.1706160172034</v>
      </c>
      <c r="N154" s="81">
        <f t="shared" si="15"/>
        <v>4000.65765904301</v>
      </c>
      <c r="O154" s="81">
        <f t="shared" si="15"/>
        <v>4781.8725989333334</v>
      </c>
      <c r="P154" s="81">
        <f t="shared" si="15"/>
        <v>4697.4922110172047</v>
      </c>
      <c r="Q154" s="81">
        <f t="shared" si="15"/>
        <v>3601.6832282133332</v>
      </c>
      <c r="R154" s="81">
        <f t="shared" si="15"/>
        <v>4218.6835869913984</v>
      </c>
      <c r="S154" s="81">
        <f t="shared" si="15"/>
        <v>4208.0595133333336</v>
      </c>
      <c r="T154" s="81">
        <f t="shared" si="15"/>
        <v>3714.6737685849448</v>
      </c>
    </row>
    <row r="155" spans="2:20" outlineLevel="1" x14ac:dyDescent="0.15">
      <c r="B155" s="107" t="str">
        <f>INDEX(LU_Scen_Db_Scenario_Names,$H155)</f>
        <v>Faster Growth</v>
      </c>
      <c r="H155" s="82">
        <v>3</v>
      </c>
      <c r="I155" s="81">
        <f t="shared" ref="I155:T155" si="16">IF(Scen_Db_Data_Tables_Off,Scen_Db_Data_Tables_Status_Off,I143-I150)</f>
        <v>2516.747068387097</v>
      </c>
      <c r="J155" s="81">
        <f t="shared" si="16"/>
        <v>4765.64879406</v>
      </c>
      <c r="K155" s="81">
        <f t="shared" si="16"/>
        <v>5004.5892145806456</v>
      </c>
      <c r="L155" s="81">
        <f t="shared" si="16"/>
        <v>6187.2169190000004</v>
      </c>
      <c r="M155" s="81">
        <f t="shared" si="16"/>
        <v>2291.3369430193543</v>
      </c>
      <c r="N155" s="81">
        <f t="shared" si="16"/>
        <v>4751.4634527419357</v>
      </c>
      <c r="O155" s="81">
        <f t="shared" si="16"/>
        <v>5709.6664047999993</v>
      </c>
      <c r="P155" s="81">
        <f t="shared" si="16"/>
        <v>5732.4493894387106</v>
      </c>
      <c r="Q155" s="81">
        <f t="shared" si="16"/>
        <v>4505.5781054399995</v>
      </c>
      <c r="R155" s="81">
        <f t="shared" si="16"/>
        <v>5380.5494502645161</v>
      </c>
      <c r="S155" s="81">
        <f t="shared" si="16"/>
        <v>5440.1336600000004</v>
      </c>
      <c r="T155" s="81">
        <f t="shared" si="16"/>
        <v>4921.3439503999998</v>
      </c>
    </row>
    <row r="156" spans="2:20" outlineLevel="1" x14ac:dyDescent="0.15"/>
    <row r="157" spans="2:20" outlineLevel="1" x14ac:dyDescent="0.15">
      <c r="B157" s="16" t="str">
        <f>B158</f>
        <v>Net Operating Expenditure</v>
      </c>
      <c r="I157" s="79" t="str">
        <f t="shared" ref="I157:T157" si="17">I$124</f>
        <v>Aug-23</v>
      </c>
      <c r="J157" s="79" t="str">
        <f t="shared" si="17"/>
        <v>Sep-23</v>
      </c>
      <c r="K157" s="79" t="str">
        <f t="shared" si="17"/>
        <v>Oct-23</v>
      </c>
      <c r="L157" s="79" t="str">
        <f t="shared" si="17"/>
        <v>Nov-23</v>
      </c>
      <c r="M157" s="79" t="str">
        <f t="shared" si="17"/>
        <v>Dec-23</v>
      </c>
      <c r="N157" s="79" t="str">
        <f t="shared" si="17"/>
        <v>Jan-24</v>
      </c>
      <c r="O157" s="79" t="str">
        <f t="shared" si="17"/>
        <v>Feb-24</v>
      </c>
      <c r="P157" s="79" t="str">
        <f t="shared" si="17"/>
        <v>Mar-24</v>
      </c>
      <c r="Q157" s="79" t="str">
        <f t="shared" si="17"/>
        <v>Apr-24</v>
      </c>
      <c r="R157" s="79" t="str">
        <f t="shared" si="17"/>
        <v>May-24</v>
      </c>
      <c r="S157" s="79" t="str">
        <f t="shared" si="17"/>
        <v>Jun-24</v>
      </c>
      <c r="T157" s="79" t="str">
        <f t="shared" si="17"/>
        <v>Jul-24</v>
      </c>
    </row>
    <row r="158" spans="2:20" hidden="1" outlineLevel="2" x14ac:dyDescent="0.15">
      <c r="B158" s="107" t="s">
        <v>243</v>
      </c>
      <c r="I158" s="81">
        <f ca="1">IF(Scen_Db_Data_Tables_Off,Scen_Db_Data_Tables_Status_Off,IF(I$123,-OFFSET(Financials!J53,0,$H$127),0))</f>
        <v>6676.2466959139792</v>
      </c>
      <c r="J158" s="81">
        <f ca="1">IF(Scen_Db_Data_Tables_Off,Scen_Db_Data_Tables_Status_Off,IF(J$123,-OFFSET(Financials!K53,0,$H$127),0))</f>
        <v>6724.7132305466675</v>
      </c>
      <c r="K158" s="81">
        <f ca="1">IF(Scen_Db_Data_Tables_Off,Scen_Db_Data_Tables_Status_Off,IF(K$123,-OFFSET(Financials!L53,0,$H$127),0))</f>
        <v>6731.5658112688179</v>
      </c>
      <c r="L158" s="81">
        <f ca="1">IF(Scen_Db_Data_Tables_Off,Scen_Db_Data_Tables_Status_Off,IF(L$123,-OFFSET(Financials!M53,0,$H$127),0))</f>
        <v>6757.8214820000003</v>
      </c>
      <c r="M158" s="81">
        <f ca="1">IF(Scen_Db_Data_Tables_Off,Scen_Db_Data_Tables_Status_Off,IF(M$123,-OFFSET(Financials!N53,0,$H$127),0))</f>
        <v>6675.8428091440865</v>
      </c>
      <c r="N158" s="81">
        <f ca="1">IF(Scen_Db_Data_Tables_Off,Scen_Db_Data_Tables_Status_Off,IF(N$123,-OFFSET(Financials!O53,0,$H$127),0))</f>
        <v>6730.402710172044</v>
      </c>
      <c r="O158" s="81">
        <f ca="1">IF(Scen_Db_Data_Tables_Off,Scen_Db_Data_Tables_Status_Off,IF(O$123,-OFFSET(Financials!P53,0,$H$127),0))</f>
        <v>7865.8234304000007</v>
      </c>
      <c r="P158" s="81">
        <f ca="1">IF(Scen_Db_Data_Tables_Off,Scen_Db_Data_Tables_Status_Off,IF(P$123,-OFFSET(Financials!Q53,0,$H$127),0))</f>
        <v>7867.6697812086031</v>
      </c>
      <c r="Q158" s="81">
        <f ca="1">IF(Scen_Db_Data_Tables_Off,Scen_Db_Data_Tables_Status_Off,IF(Q$123,-OFFSET(Financials!R53,0,$H$127),0))</f>
        <v>7898.137641653334</v>
      </c>
      <c r="R158" s="81">
        <f ca="1">IF(Scen_Db_Data_Tables_Off,Scen_Db_Data_Tables_Status_Off,IF(R$123,-OFFSET(Financials!S53,0,$H$127),0))</f>
        <v>7971.162471341936</v>
      </c>
      <c r="S158" s="81">
        <f ca="1">IF(Scen_Db_Data_Tables_Off,Scen_Db_Data_Tables_Status_Off,IF(S$123,-OFFSET(Financials!T53,0,$H$127),0))</f>
        <v>7812.7025066666674</v>
      </c>
      <c r="T158" s="81">
        <f ca="1">IF(Scen_Db_Data_Tables_Off,Scen_Db_Data_Tables_Status_Off,IF(T$123,-OFFSET(Financials!U53,0,$H$127),0))</f>
        <v>7965.4837473720436</v>
      </c>
    </row>
    <row r="159" spans="2:20" hidden="1" outlineLevel="2" x14ac:dyDescent="0.15">
      <c r="B159" s="175" t="str">
        <f>"Active Case ("&amp;INDEX(LU_Scen_Db_Scenario_Names,Scen_Db_Active_Scenario)&amp;")"</f>
        <v>Active Case (Base Case)</v>
      </c>
      <c r="H159" s="80" t="s">
        <v>245</v>
      </c>
      <c r="I159" s="87">
        <f t="shared" ref="I159:T159" ca="1" si="18">I158</f>
        <v>6676.2466959139792</v>
      </c>
      <c r="J159" s="87">
        <f t="shared" ca="1" si="18"/>
        <v>6724.7132305466675</v>
      </c>
      <c r="K159" s="87">
        <f t="shared" ca="1" si="18"/>
        <v>6731.5658112688179</v>
      </c>
      <c r="L159" s="87">
        <f t="shared" ca="1" si="18"/>
        <v>6757.8214820000003</v>
      </c>
      <c r="M159" s="87">
        <f t="shared" ca="1" si="18"/>
        <v>6675.8428091440865</v>
      </c>
      <c r="N159" s="87">
        <f t="shared" ca="1" si="18"/>
        <v>6730.402710172044</v>
      </c>
      <c r="O159" s="87">
        <f t="shared" ca="1" si="18"/>
        <v>7865.8234304000007</v>
      </c>
      <c r="P159" s="87">
        <f t="shared" ca="1" si="18"/>
        <v>7867.6697812086031</v>
      </c>
      <c r="Q159" s="87">
        <f t="shared" ca="1" si="18"/>
        <v>7898.137641653334</v>
      </c>
      <c r="R159" s="87">
        <f t="shared" ca="1" si="18"/>
        <v>7971.162471341936</v>
      </c>
      <c r="S159" s="87">
        <f t="shared" ca="1" si="18"/>
        <v>7812.7025066666674</v>
      </c>
      <c r="T159" s="87">
        <f t="shared" ca="1" si="18"/>
        <v>7965.4837473720436</v>
      </c>
    </row>
    <row r="160" spans="2:20" outlineLevel="1" collapsed="1" x14ac:dyDescent="0.15">
      <c r="B160" s="107" t="str">
        <f>INDEX(LU_Scen_Db_Scenario_Names,$H160)</f>
        <v>Base Case</v>
      </c>
      <c r="H160" s="82">
        <v>1</v>
      </c>
      <c r="I160" s="81">
        <f t="dataTable" ref="I160:T162" dt2D="0" dtr="0" r1="H130" ca="1"/>
        <v>6676.2466959139792</v>
      </c>
      <c r="J160" s="81">
        <v>6724.7132305466675</v>
      </c>
      <c r="K160" s="81">
        <v>6731.5658112688179</v>
      </c>
      <c r="L160" s="81">
        <v>6757.8214820000003</v>
      </c>
      <c r="M160" s="81">
        <v>6675.8428091440865</v>
      </c>
      <c r="N160" s="81">
        <v>6730.402710172044</v>
      </c>
      <c r="O160" s="81">
        <v>7865.8234304000007</v>
      </c>
      <c r="P160" s="81">
        <v>7867.6697812086031</v>
      </c>
      <c r="Q160" s="81">
        <v>7898.137641653334</v>
      </c>
      <c r="R160" s="81">
        <v>7971.162471341936</v>
      </c>
      <c r="S160" s="81">
        <v>7812.7025066666674</v>
      </c>
      <c r="T160" s="81">
        <v>7965.4837473720436</v>
      </c>
    </row>
    <row r="161" spans="2:20" outlineLevel="1" x14ac:dyDescent="0.15">
      <c r="B161" s="107" t="str">
        <f>INDEX(LU_Scen_Db_Scenario_Names,$H161)</f>
        <v>Slower Growth</v>
      </c>
      <c r="H161" s="82">
        <v>2</v>
      </c>
      <c r="I161" s="81">
        <v>6676.2466959139792</v>
      </c>
      <c r="J161" s="81">
        <v>6720.7059741400008</v>
      </c>
      <c r="K161" s="81">
        <v>6724.5329213333343</v>
      </c>
      <c r="L161" s="81">
        <v>6746.8567176666675</v>
      </c>
      <c r="M161" s="81">
        <v>6666.7719576258069</v>
      </c>
      <c r="N161" s="81">
        <v>6715.7070403978496</v>
      </c>
      <c r="O161" s="81">
        <v>7847.8864778666675</v>
      </c>
      <c r="P161" s="81">
        <v>7847.2705226258076</v>
      </c>
      <c r="Q161" s="81">
        <v>7877.9337670933337</v>
      </c>
      <c r="R161" s="81">
        <v>7946.8138528537638</v>
      </c>
      <c r="S161" s="81">
        <v>7786.3038600000009</v>
      </c>
      <c r="T161" s="81">
        <v>7938.101740610753</v>
      </c>
    </row>
    <row r="162" spans="2:20" outlineLevel="1" x14ac:dyDescent="0.15">
      <c r="B162" s="107" t="str">
        <f>INDEX(LU_Scen_Db_Scenario_Names,$H162)</f>
        <v>Faster Growth</v>
      </c>
      <c r="H162" s="82">
        <v>3</v>
      </c>
      <c r="I162" s="81">
        <v>6676.2466959139792</v>
      </c>
      <c r="J162" s="81">
        <v>6728.7204869533343</v>
      </c>
      <c r="K162" s="81">
        <v>6738.5987012043015</v>
      </c>
      <c r="L162" s="81">
        <v>6768.786246333334</v>
      </c>
      <c r="M162" s="81">
        <v>6684.9136606623661</v>
      </c>
      <c r="N162" s="81">
        <v>6745.0983799462374</v>
      </c>
      <c r="O162" s="81">
        <v>7883.7603829333339</v>
      </c>
      <c r="P162" s="81">
        <v>7888.0690397913986</v>
      </c>
      <c r="Q162" s="81">
        <v>7918.3415162133333</v>
      </c>
      <c r="R162" s="81">
        <v>7995.5110898301082</v>
      </c>
      <c r="S162" s="81">
        <v>7839.101153333334</v>
      </c>
      <c r="T162" s="81">
        <v>7992.8657541333341</v>
      </c>
    </row>
    <row r="163" spans="2:20" outlineLevel="1" x14ac:dyDescent="0.15"/>
    <row r="164" spans="2:20" outlineLevel="1" x14ac:dyDescent="0.15">
      <c r="B164" s="16" t="str">
        <f>B165</f>
        <v>Depreciation &amp; Amortisation</v>
      </c>
      <c r="I164" s="79" t="str">
        <f t="shared" ref="I164:T164" si="19">I$124</f>
        <v>Aug-23</v>
      </c>
      <c r="J164" s="79" t="str">
        <f t="shared" si="19"/>
        <v>Sep-23</v>
      </c>
      <c r="K164" s="79" t="str">
        <f t="shared" si="19"/>
        <v>Oct-23</v>
      </c>
      <c r="L164" s="79" t="str">
        <f t="shared" si="19"/>
        <v>Nov-23</v>
      </c>
      <c r="M164" s="79" t="str">
        <f t="shared" si="19"/>
        <v>Dec-23</v>
      </c>
      <c r="N164" s="79" t="str">
        <f t="shared" si="19"/>
        <v>Jan-24</v>
      </c>
      <c r="O164" s="79" t="str">
        <f t="shared" si="19"/>
        <v>Feb-24</v>
      </c>
      <c r="P164" s="79" t="str">
        <f t="shared" si="19"/>
        <v>Mar-24</v>
      </c>
      <c r="Q164" s="79" t="str">
        <f t="shared" si="19"/>
        <v>Apr-24</v>
      </c>
      <c r="R164" s="79" t="str">
        <f t="shared" si="19"/>
        <v>May-24</v>
      </c>
      <c r="S164" s="79" t="str">
        <f t="shared" si="19"/>
        <v>Jun-24</v>
      </c>
      <c r="T164" s="79" t="str">
        <f t="shared" si="19"/>
        <v>Jul-24</v>
      </c>
    </row>
    <row r="165" spans="2:20" hidden="1" outlineLevel="2" x14ac:dyDescent="0.15">
      <c r="B165" s="107" t="s">
        <v>75</v>
      </c>
      <c r="I165" s="81">
        <f ca="1">IF(Scen_Db_Data_Tables_Off,Scen_Db_Data_Tables_Status_Off,IF(I$123,-OFFSET(Financials!J62,0,$H$127),0))</f>
        <v>2952.9722222222222</v>
      </c>
      <c r="J165" s="81">
        <f ca="1">IF(Scen_Db_Data_Tables_Off,Scen_Db_Data_Tables_Status_Off,IF(J$123,-OFFSET(Financials!K62,0,$H$127),0))</f>
        <v>5800.1944444444443</v>
      </c>
      <c r="K165" s="81">
        <f ca="1">IF(Scen_Db_Data_Tables_Off,Scen_Db_Data_Tables_Status_Off,IF(K$123,-OFFSET(Financials!L62,0,$H$127),0))</f>
        <v>5800.1944444444443</v>
      </c>
      <c r="L165" s="81">
        <f ca="1">IF(Scen_Db_Data_Tables_Off,Scen_Db_Data_Tables_Status_Off,IF(L$123,-OFFSET(Financials!M62,0,$H$127),0))</f>
        <v>5800.1944444444443</v>
      </c>
      <c r="M165" s="81">
        <f ca="1">IF(Scen_Db_Data_Tables_Off,Scen_Db_Data_Tables_Status_Off,IF(M$123,-OFFSET(Financials!N62,0,$H$127),0))</f>
        <v>5800.1944444444443</v>
      </c>
      <c r="N165" s="81">
        <f ca="1">IF(Scen_Db_Data_Tables_Off,Scen_Db_Data_Tables_Status_Off,IF(N$123,-OFFSET(Financials!O62,0,$H$127),0))</f>
        <v>5800.1944444444443</v>
      </c>
      <c r="O165" s="81">
        <f ca="1">IF(Scen_Db_Data_Tables_Off,Scen_Db_Data_Tables_Status_Off,IF(O$123,-OFFSET(Financials!P62,0,$H$127),0))</f>
        <v>5800.1944444444443</v>
      </c>
      <c r="P165" s="81">
        <f ca="1">IF(Scen_Db_Data_Tables_Off,Scen_Db_Data_Tables_Status_Off,IF(P$123,-OFFSET(Financials!Q62,0,$H$127),0))</f>
        <v>5800.1944444444443</v>
      </c>
      <c r="Q165" s="81">
        <f ca="1">IF(Scen_Db_Data_Tables_Off,Scen_Db_Data_Tables_Status_Off,IF(Q$123,-OFFSET(Financials!R62,0,$H$127),0))</f>
        <v>5800.1944444444443</v>
      </c>
      <c r="R165" s="81">
        <f ca="1">IF(Scen_Db_Data_Tables_Off,Scen_Db_Data_Tables_Status_Off,IF(R$123,-OFFSET(Financials!S62,0,$H$127),0))</f>
        <v>5800.1944444444443</v>
      </c>
      <c r="S165" s="81">
        <f ca="1">IF(Scen_Db_Data_Tables_Off,Scen_Db_Data_Tables_Status_Off,IF(S$123,-OFFSET(Financials!T62,0,$H$127),0))</f>
        <v>5800.1944444444443</v>
      </c>
      <c r="T165" s="81">
        <f ca="1">IF(Scen_Db_Data_Tables_Off,Scen_Db_Data_Tables_Status_Off,IF(T$123,-OFFSET(Financials!U62,0,$H$127),0))</f>
        <v>5800.1944444444443</v>
      </c>
    </row>
    <row r="166" spans="2:20" hidden="1" outlineLevel="2" x14ac:dyDescent="0.15">
      <c r="B166" s="175" t="str">
        <f>"Active Case ("&amp;INDEX(LU_Scen_Db_Scenario_Names,Scen_Db_Active_Scenario)&amp;")"</f>
        <v>Active Case (Base Case)</v>
      </c>
      <c r="H166" s="80" t="s">
        <v>245</v>
      </c>
      <c r="I166" s="87">
        <f t="shared" ref="I166:T166" ca="1" si="20">I165</f>
        <v>2952.9722222222222</v>
      </c>
      <c r="J166" s="87">
        <f t="shared" ca="1" si="20"/>
        <v>5800.1944444444443</v>
      </c>
      <c r="K166" s="87">
        <f t="shared" ca="1" si="20"/>
        <v>5800.1944444444443</v>
      </c>
      <c r="L166" s="87">
        <f t="shared" ca="1" si="20"/>
        <v>5800.1944444444443</v>
      </c>
      <c r="M166" s="87">
        <f t="shared" ca="1" si="20"/>
        <v>5800.1944444444443</v>
      </c>
      <c r="N166" s="87">
        <f t="shared" ca="1" si="20"/>
        <v>5800.1944444444443</v>
      </c>
      <c r="O166" s="87">
        <f t="shared" ca="1" si="20"/>
        <v>5800.1944444444443</v>
      </c>
      <c r="P166" s="87">
        <f t="shared" ca="1" si="20"/>
        <v>5800.1944444444443</v>
      </c>
      <c r="Q166" s="87">
        <f t="shared" ca="1" si="20"/>
        <v>5800.1944444444443</v>
      </c>
      <c r="R166" s="87">
        <f t="shared" ca="1" si="20"/>
        <v>5800.1944444444443</v>
      </c>
      <c r="S166" s="87">
        <f t="shared" ca="1" si="20"/>
        <v>5800.1944444444443</v>
      </c>
      <c r="T166" s="87">
        <f t="shared" ca="1" si="20"/>
        <v>5800.1944444444443</v>
      </c>
    </row>
    <row r="167" spans="2:20" outlineLevel="1" collapsed="1" x14ac:dyDescent="0.15">
      <c r="B167" s="107" t="str">
        <f>INDEX(LU_Scen_Db_Scenario_Names,$H167)</f>
        <v>Base Case</v>
      </c>
      <c r="H167" s="82">
        <v>1</v>
      </c>
      <c r="I167" s="81">
        <f t="dataTable" ref="I167:T169" dt2D="0" dtr="0" r1="H130" ca="1"/>
        <v>2952.9722222222222</v>
      </c>
      <c r="J167" s="81">
        <v>5800.1944444444443</v>
      </c>
      <c r="K167" s="81">
        <v>5800.1944444444443</v>
      </c>
      <c r="L167" s="81">
        <v>5800.1944444444443</v>
      </c>
      <c r="M167" s="81">
        <v>5800.1944444444443</v>
      </c>
      <c r="N167" s="81">
        <v>5800.1944444444443</v>
      </c>
      <c r="O167" s="81">
        <v>5800.1944444444443</v>
      </c>
      <c r="P167" s="81">
        <v>5800.1944444444443</v>
      </c>
      <c r="Q167" s="81">
        <v>5800.1944444444443</v>
      </c>
      <c r="R167" s="81">
        <v>5800.1944444444443</v>
      </c>
      <c r="S167" s="81">
        <v>5800.1944444444443</v>
      </c>
      <c r="T167" s="81">
        <v>5800.1944444444443</v>
      </c>
    </row>
    <row r="168" spans="2:20" outlineLevel="1" x14ac:dyDescent="0.15">
      <c r="B168" s="107" t="str">
        <f>INDEX(LU_Scen_Db_Scenario_Names,$H168)</f>
        <v>Slower Growth</v>
      </c>
      <c r="H168" s="82">
        <v>2</v>
      </c>
      <c r="I168" s="81">
        <v>2952.9722222222222</v>
      </c>
      <c r="J168" s="81">
        <v>5800.1944444444443</v>
      </c>
      <c r="K168" s="81">
        <v>5800.1944444444443</v>
      </c>
      <c r="L168" s="81">
        <v>5800.1944444444443</v>
      </c>
      <c r="M168" s="81">
        <v>5800.1944444444443</v>
      </c>
      <c r="N168" s="81">
        <v>5800.1944444444443</v>
      </c>
      <c r="O168" s="81">
        <v>5800.1944444444443</v>
      </c>
      <c r="P168" s="81">
        <v>5800.1944444444443</v>
      </c>
      <c r="Q168" s="81">
        <v>5800.1944444444443</v>
      </c>
      <c r="R168" s="81">
        <v>5800.1944444444443</v>
      </c>
      <c r="S168" s="81">
        <v>5800.1944444444443</v>
      </c>
      <c r="T168" s="81">
        <v>5800.1944444444443</v>
      </c>
    </row>
    <row r="169" spans="2:20" outlineLevel="1" x14ac:dyDescent="0.15">
      <c r="B169" s="107" t="str">
        <f>INDEX(LU_Scen_Db_Scenario_Names,$H169)</f>
        <v>Faster Growth</v>
      </c>
      <c r="H169" s="82">
        <v>3</v>
      </c>
      <c r="I169" s="81">
        <v>2952.9722222222222</v>
      </c>
      <c r="J169" s="81">
        <v>5800.1944444444443</v>
      </c>
      <c r="K169" s="81">
        <v>5800.1944444444443</v>
      </c>
      <c r="L169" s="81">
        <v>5800.1944444444443</v>
      </c>
      <c r="M169" s="81">
        <v>5800.1944444444443</v>
      </c>
      <c r="N169" s="81">
        <v>5800.1944444444443</v>
      </c>
      <c r="O169" s="81">
        <v>5800.1944444444443</v>
      </c>
      <c r="P169" s="81">
        <v>5800.1944444444443</v>
      </c>
      <c r="Q169" s="81">
        <v>5800.1944444444443</v>
      </c>
      <c r="R169" s="81">
        <v>5800.1944444444443</v>
      </c>
      <c r="S169" s="81">
        <v>5800.1944444444443</v>
      </c>
      <c r="T169" s="81">
        <v>5800.1944444444443</v>
      </c>
    </row>
    <row r="170" spans="2:20" outlineLevel="1" x14ac:dyDescent="0.15"/>
    <row r="171" spans="2:20" outlineLevel="1" x14ac:dyDescent="0.15">
      <c r="B171" s="16" t="str">
        <f>B172</f>
        <v>Net Interest Expense</v>
      </c>
      <c r="I171" s="79" t="str">
        <f t="shared" ref="I171:T171" si="21">I$124</f>
        <v>Aug-23</v>
      </c>
      <c r="J171" s="79" t="str">
        <f t="shared" si="21"/>
        <v>Sep-23</v>
      </c>
      <c r="K171" s="79" t="str">
        <f t="shared" si="21"/>
        <v>Oct-23</v>
      </c>
      <c r="L171" s="79" t="str">
        <f t="shared" si="21"/>
        <v>Nov-23</v>
      </c>
      <c r="M171" s="79" t="str">
        <f t="shared" si="21"/>
        <v>Dec-23</v>
      </c>
      <c r="N171" s="79" t="str">
        <f t="shared" si="21"/>
        <v>Jan-24</v>
      </c>
      <c r="O171" s="79" t="str">
        <f t="shared" si="21"/>
        <v>Feb-24</v>
      </c>
      <c r="P171" s="79" t="str">
        <f t="shared" si="21"/>
        <v>Mar-24</v>
      </c>
      <c r="Q171" s="79" t="str">
        <f t="shared" si="21"/>
        <v>Apr-24</v>
      </c>
      <c r="R171" s="79" t="str">
        <f t="shared" si="21"/>
        <v>May-24</v>
      </c>
      <c r="S171" s="79" t="str">
        <f t="shared" si="21"/>
        <v>Jun-24</v>
      </c>
      <c r="T171" s="79" t="str">
        <f t="shared" si="21"/>
        <v>Jul-24</v>
      </c>
    </row>
    <row r="172" spans="2:20" hidden="1" outlineLevel="2" x14ac:dyDescent="0.15">
      <c r="B172" s="107" t="s">
        <v>78</v>
      </c>
      <c r="I172" s="81">
        <f ca="1">IF(Scen_Db_Data_Tables_Off,Scen_Db_Data_Tables_Status_Off,IF(I$123,-OFFSET(Financials!J72,0,$H$127),0))</f>
        <v>0</v>
      </c>
      <c r="J172" s="81">
        <f ca="1">IF(Scen_Db_Data_Tables_Off,Scen_Db_Data_Tables_Status_Off,IF(J$123,-OFFSET(Financials!K72,0,$H$127),0))</f>
        <v>0</v>
      </c>
      <c r="K172" s="81">
        <f ca="1">IF(Scen_Db_Data_Tables_Off,Scen_Db_Data_Tables_Status_Off,IF(K$123,-OFFSET(Financials!L72,0,$H$127),0))</f>
        <v>0</v>
      </c>
      <c r="L172" s="81">
        <f ca="1">IF(Scen_Db_Data_Tables_Off,Scen_Db_Data_Tables_Status_Off,IF(L$123,-OFFSET(Financials!M72,0,$H$127),0))</f>
        <v>0</v>
      </c>
      <c r="M172" s="81">
        <f ca="1">IF(Scen_Db_Data_Tables_Off,Scen_Db_Data_Tables_Status_Off,IF(M$123,-OFFSET(Financials!N72,0,$H$127),0))</f>
        <v>0</v>
      </c>
      <c r="N172" s="81">
        <f ca="1">IF(Scen_Db_Data_Tables_Off,Scen_Db_Data_Tables_Status_Off,IF(N$123,-OFFSET(Financials!O72,0,$H$127),0))</f>
        <v>0</v>
      </c>
      <c r="O172" s="81">
        <f ca="1">IF(Scen_Db_Data_Tables_Off,Scen_Db_Data_Tables_Status_Off,IF(O$123,-OFFSET(Financials!P72,0,$H$127),0))</f>
        <v>0</v>
      </c>
      <c r="P172" s="81">
        <f ca="1">IF(Scen_Db_Data_Tables_Off,Scen_Db_Data_Tables_Status_Off,IF(P$123,-OFFSET(Financials!Q72,0,$H$127),0))</f>
        <v>0</v>
      </c>
      <c r="Q172" s="81">
        <f ca="1">IF(Scen_Db_Data_Tables_Off,Scen_Db_Data_Tables_Status_Off,IF(Q$123,-OFFSET(Financials!R72,0,$H$127),0))</f>
        <v>0</v>
      </c>
      <c r="R172" s="81">
        <f ca="1">IF(Scen_Db_Data_Tables_Off,Scen_Db_Data_Tables_Status_Off,IF(R$123,-OFFSET(Financials!S72,0,$H$127),0))</f>
        <v>0</v>
      </c>
      <c r="S172" s="81">
        <f ca="1">IF(Scen_Db_Data_Tables_Off,Scen_Db_Data_Tables_Status_Off,IF(S$123,-OFFSET(Financials!T72,0,$H$127),0))</f>
        <v>0</v>
      </c>
      <c r="T172" s="81">
        <f ca="1">IF(Scen_Db_Data_Tables_Off,Scen_Db_Data_Tables_Status_Off,IF(T$123,-OFFSET(Financials!U72,0,$H$127),0))</f>
        <v>0</v>
      </c>
    </row>
    <row r="173" spans="2:20" hidden="1" outlineLevel="2" x14ac:dyDescent="0.15">
      <c r="B173" s="175" t="str">
        <f>"Active Case ("&amp;INDEX(LU_Scen_Db_Scenario_Names,Scen_Db_Active_Scenario)&amp;")"</f>
        <v>Active Case (Base Case)</v>
      </c>
      <c r="H173" s="80" t="s">
        <v>245</v>
      </c>
      <c r="I173" s="87">
        <f t="shared" ref="I173:T173" ca="1" si="22">I172</f>
        <v>0</v>
      </c>
      <c r="J173" s="87">
        <f t="shared" ca="1" si="22"/>
        <v>0</v>
      </c>
      <c r="K173" s="87">
        <f t="shared" ca="1" si="22"/>
        <v>0</v>
      </c>
      <c r="L173" s="87">
        <f t="shared" ca="1" si="22"/>
        <v>0</v>
      </c>
      <c r="M173" s="87">
        <f t="shared" ca="1" si="22"/>
        <v>0</v>
      </c>
      <c r="N173" s="87">
        <f t="shared" ca="1" si="22"/>
        <v>0</v>
      </c>
      <c r="O173" s="87">
        <f t="shared" ca="1" si="22"/>
        <v>0</v>
      </c>
      <c r="P173" s="87">
        <f t="shared" ca="1" si="22"/>
        <v>0</v>
      </c>
      <c r="Q173" s="87">
        <f t="shared" ca="1" si="22"/>
        <v>0</v>
      </c>
      <c r="R173" s="87">
        <f t="shared" ca="1" si="22"/>
        <v>0</v>
      </c>
      <c r="S173" s="87">
        <f t="shared" ca="1" si="22"/>
        <v>0</v>
      </c>
      <c r="T173" s="87">
        <f t="shared" ca="1" si="22"/>
        <v>0</v>
      </c>
    </row>
    <row r="174" spans="2:20" outlineLevel="1" collapsed="1" x14ac:dyDescent="0.15">
      <c r="B174" s="107" t="str">
        <f>INDEX(LU_Scen_Db_Scenario_Names,$H174)</f>
        <v>Base Case</v>
      </c>
      <c r="H174" s="82">
        <v>1</v>
      </c>
      <c r="I174" s="81">
        <f t="dataTable" ref="I174:T176" dt2D="0" dtr="0" r1="H130" ca="1"/>
        <v>0</v>
      </c>
      <c r="J174" s="81">
        <v>0</v>
      </c>
      <c r="K174" s="81">
        <v>0</v>
      </c>
      <c r="L174" s="81">
        <v>0</v>
      </c>
      <c r="M174" s="81">
        <v>0</v>
      </c>
      <c r="N174" s="81">
        <v>0</v>
      </c>
      <c r="O174" s="81">
        <v>0</v>
      </c>
      <c r="P174" s="81">
        <v>0</v>
      </c>
      <c r="Q174" s="81">
        <v>0</v>
      </c>
      <c r="R174" s="81">
        <v>0</v>
      </c>
      <c r="S174" s="81">
        <v>0</v>
      </c>
      <c r="T174" s="81">
        <v>0</v>
      </c>
    </row>
    <row r="175" spans="2:20" outlineLevel="1" x14ac:dyDescent="0.15">
      <c r="B175" s="107" t="str">
        <f>INDEX(LU_Scen_Db_Scenario_Names,$H175)</f>
        <v>Slower Growth</v>
      </c>
      <c r="H175" s="82">
        <v>2</v>
      </c>
      <c r="I175" s="81">
        <v>0</v>
      </c>
      <c r="J175" s="81">
        <v>0</v>
      </c>
      <c r="K175" s="81">
        <v>0</v>
      </c>
      <c r="L175" s="81">
        <v>0</v>
      </c>
      <c r="M175" s="81">
        <v>0</v>
      </c>
      <c r="N175" s="81">
        <v>0</v>
      </c>
      <c r="O175" s="81">
        <v>0</v>
      </c>
      <c r="P175" s="81">
        <v>0</v>
      </c>
      <c r="Q175" s="81">
        <v>0</v>
      </c>
      <c r="R175" s="81">
        <v>0</v>
      </c>
      <c r="S175" s="81">
        <v>0</v>
      </c>
      <c r="T175" s="81">
        <v>0</v>
      </c>
    </row>
    <row r="176" spans="2:20" outlineLevel="1" x14ac:dyDescent="0.15">
      <c r="B176" s="107" t="str">
        <f>INDEX(LU_Scen_Db_Scenario_Names,$H176)</f>
        <v>Faster Growth</v>
      </c>
      <c r="H176" s="82">
        <v>3</v>
      </c>
      <c r="I176" s="81">
        <v>0</v>
      </c>
      <c r="J176" s="81">
        <v>0</v>
      </c>
      <c r="K176" s="81">
        <v>0</v>
      </c>
      <c r="L176" s="81">
        <v>0</v>
      </c>
      <c r="M176" s="81">
        <v>0</v>
      </c>
      <c r="N176" s="81">
        <v>0</v>
      </c>
      <c r="O176" s="81">
        <v>0</v>
      </c>
      <c r="P176" s="81">
        <v>0</v>
      </c>
      <c r="Q176" s="81">
        <v>0</v>
      </c>
      <c r="R176" s="81">
        <v>0</v>
      </c>
      <c r="S176" s="81">
        <v>0</v>
      </c>
      <c r="T176" s="81">
        <v>0</v>
      </c>
    </row>
    <row r="177" spans="2:20" outlineLevel="1" x14ac:dyDescent="0.15"/>
    <row r="178" spans="2:20" outlineLevel="1" x14ac:dyDescent="0.15">
      <c r="B178" s="16" t="str">
        <f>B179</f>
        <v>Tax Expense</v>
      </c>
      <c r="I178" s="79" t="str">
        <f t="shared" ref="I178:T178" si="23">I$124</f>
        <v>Aug-23</v>
      </c>
      <c r="J178" s="79" t="str">
        <f t="shared" si="23"/>
        <v>Sep-23</v>
      </c>
      <c r="K178" s="79" t="str">
        <f t="shared" si="23"/>
        <v>Oct-23</v>
      </c>
      <c r="L178" s="79" t="str">
        <f t="shared" si="23"/>
        <v>Nov-23</v>
      </c>
      <c r="M178" s="79" t="str">
        <f t="shared" si="23"/>
        <v>Dec-23</v>
      </c>
      <c r="N178" s="79" t="str">
        <f t="shared" si="23"/>
        <v>Jan-24</v>
      </c>
      <c r="O178" s="79" t="str">
        <f t="shared" si="23"/>
        <v>Feb-24</v>
      </c>
      <c r="P178" s="79" t="str">
        <f t="shared" si="23"/>
        <v>Mar-24</v>
      </c>
      <c r="Q178" s="79" t="str">
        <f t="shared" si="23"/>
        <v>Apr-24</v>
      </c>
      <c r="R178" s="79" t="str">
        <f t="shared" si="23"/>
        <v>May-24</v>
      </c>
      <c r="S178" s="79" t="str">
        <f t="shared" si="23"/>
        <v>Jun-24</v>
      </c>
      <c r="T178" s="79" t="str">
        <f t="shared" si="23"/>
        <v>Jul-24</v>
      </c>
    </row>
    <row r="179" spans="2:20" hidden="1" outlineLevel="2" x14ac:dyDescent="0.15">
      <c r="B179" s="107" t="s">
        <v>81</v>
      </c>
      <c r="I179" s="81">
        <f ca="1">IF(Scen_Db_Data_Tables_Off,Scen_Db_Data_Tables_Status_Off,IF(I$123,-OFFSET(Financials!J76,0,$H$127),0))</f>
        <v>0</v>
      </c>
      <c r="J179" s="81">
        <f ca="1">IF(Scen_Db_Data_Tables_Off,Scen_Db_Data_Tables_Status_Off,IF(J$123,-OFFSET(Financials!K76,0,$H$127),0))</f>
        <v>0</v>
      </c>
      <c r="K179" s="81">
        <f ca="1">IF(Scen_Db_Data_Tables_Off,Scen_Db_Data_Tables_Status_Off,IF(K$123,-OFFSET(Financials!L76,0,$H$127),0))</f>
        <v>0</v>
      </c>
      <c r="L179" s="81">
        <f ca="1">IF(Scen_Db_Data_Tables_Off,Scen_Db_Data_Tables_Status_Off,IF(L$123,-OFFSET(Financials!M76,0,$H$127),0))</f>
        <v>0</v>
      </c>
      <c r="M179" s="81">
        <f ca="1">IF(Scen_Db_Data_Tables_Off,Scen_Db_Data_Tables_Status_Off,IF(M$123,-OFFSET(Financials!N76,0,$H$127),0))</f>
        <v>0</v>
      </c>
      <c r="N179" s="81">
        <f ca="1">IF(Scen_Db_Data_Tables_Off,Scen_Db_Data_Tables_Status_Off,IF(N$123,-OFFSET(Financials!O76,0,$H$127),0))</f>
        <v>0</v>
      </c>
      <c r="O179" s="81">
        <f ca="1">IF(Scen_Db_Data_Tables_Off,Scen_Db_Data_Tables_Status_Off,IF(O$123,-OFFSET(Financials!P76,0,$H$127),0))</f>
        <v>0</v>
      </c>
      <c r="P179" s="81">
        <f ca="1">IF(Scen_Db_Data_Tables_Off,Scen_Db_Data_Tables_Status_Off,IF(P$123,-OFFSET(Financials!Q76,0,$H$127),0))</f>
        <v>0</v>
      </c>
      <c r="Q179" s="81">
        <f ca="1">IF(Scen_Db_Data_Tables_Off,Scen_Db_Data_Tables_Status_Off,IF(Q$123,-OFFSET(Financials!R76,0,$H$127),0))</f>
        <v>0</v>
      </c>
      <c r="R179" s="81">
        <f ca="1">IF(Scen_Db_Data_Tables_Off,Scen_Db_Data_Tables_Status_Off,IF(R$123,-OFFSET(Financials!S76,0,$H$127),0))</f>
        <v>0</v>
      </c>
      <c r="S179" s="81">
        <f ca="1">IF(Scen_Db_Data_Tables_Off,Scen_Db_Data_Tables_Status_Off,IF(S$123,-OFFSET(Financials!T76,0,$H$127),0))</f>
        <v>0</v>
      </c>
      <c r="T179" s="81">
        <f ca="1">IF(Scen_Db_Data_Tables_Off,Scen_Db_Data_Tables_Status_Off,IF(T$123,-OFFSET(Financials!U76,0,$H$127),0))</f>
        <v>0</v>
      </c>
    </row>
    <row r="180" spans="2:20" hidden="1" outlineLevel="2" x14ac:dyDescent="0.15">
      <c r="B180" s="175" t="str">
        <f>"Active Case ("&amp;INDEX(LU_Scen_Db_Scenario_Names,Scen_Db_Active_Scenario)&amp;")"</f>
        <v>Active Case (Base Case)</v>
      </c>
      <c r="H180" s="80" t="s">
        <v>245</v>
      </c>
      <c r="I180" s="87">
        <f t="shared" ref="I180:T180" ca="1" si="24">I179</f>
        <v>0</v>
      </c>
      <c r="J180" s="87">
        <f t="shared" ca="1" si="24"/>
        <v>0</v>
      </c>
      <c r="K180" s="87">
        <f t="shared" ca="1" si="24"/>
        <v>0</v>
      </c>
      <c r="L180" s="87">
        <f t="shared" ca="1" si="24"/>
        <v>0</v>
      </c>
      <c r="M180" s="87">
        <f t="shared" ca="1" si="24"/>
        <v>0</v>
      </c>
      <c r="N180" s="87">
        <f t="shared" ca="1" si="24"/>
        <v>0</v>
      </c>
      <c r="O180" s="87">
        <f t="shared" ca="1" si="24"/>
        <v>0</v>
      </c>
      <c r="P180" s="87">
        <f t="shared" ca="1" si="24"/>
        <v>0</v>
      </c>
      <c r="Q180" s="87">
        <f t="shared" ca="1" si="24"/>
        <v>0</v>
      </c>
      <c r="R180" s="87">
        <f t="shared" ca="1" si="24"/>
        <v>0</v>
      </c>
      <c r="S180" s="87">
        <f t="shared" ca="1" si="24"/>
        <v>0</v>
      </c>
      <c r="T180" s="87">
        <f t="shared" ca="1" si="24"/>
        <v>0</v>
      </c>
    </row>
    <row r="181" spans="2:20" outlineLevel="1" collapsed="1" x14ac:dyDescent="0.15">
      <c r="B181" s="107" t="str">
        <f>INDEX(LU_Scen_Db_Scenario_Names,$H181)</f>
        <v>Base Case</v>
      </c>
      <c r="H181" s="82">
        <v>1</v>
      </c>
      <c r="I181" s="81">
        <f t="dataTable" ref="I181:T183" dt2D="0" dtr="0" r1="H130" ca="1"/>
        <v>0</v>
      </c>
      <c r="J181" s="81">
        <v>0</v>
      </c>
      <c r="K181" s="81">
        <v>0</v>
      </c>
      <c r="L181" s="81">
        <v>0</v>
      </c>
      <c r="M181" s="81">
        <v>0</v>
      </c>
      <c r="N181" s="81">
        <v>0</v>
      </c>
      <c r="O181" s="81">
        <v>0</v>
      </c>
      <c r="P181" s="81">
        <v>0</v>
      </c>
      <c r="Q181" s="81">
        <v>0</v>
      </c>
      <c r="R181" s="81">
        <v>0</v>
      </c>
      <c r="S181" s="81">
        <v>0</v>
      </c>
      <c r="T181" s="81">
        <v>0</v>
      </c>
    </row>
    <row r="182" spans="2:20" outlineLevel="1" x14ac:dyDescent="0.15">
      <c r="B182" s="107" t="str">
        <f>INDEX(LU_Scen_Db_Scenario_Names,$H182)</f>
        <v>Slower Growth</v>
      </c>
      <c r="H182" s="82">
        <v>2</v>
      </c>
      <c r="I182" s="81">
        <v>0</v>
      </c>
      <c r="J182" s="81">
        <v>0</v>
      </c>
      <c r="K182" s="81">
        <v>0</v>
      </c>
      <c r="L182" s="81">
        <v>0</v>
      </c>
      <c r="M182" s="81">
        <v>0</v>
      </c>
      <c r="N182" s="81">
        <v>0</v>
      </c>
      <c r="O182" s="81">
        <v>0</v>
      </c>
      <c r="P182" s="81">
        <v>0</v>
      </c>
      <c r="Q182" s="81">
        <v>0</v>
      </c>
      <c r="R182" s="81">
        <v>0</v>
      </c>
      <c r="S182" s="81">
        <v>0</v>
      </c>
      <c r="T182" s="81">
        <v>0</v>
      </c>
    </row>
    <row r="183" spans="2:20" outlineLevel="1" x14ac:dyDescent="0.15">
      <c r="B183" s="107" t="str">
        <f>INDEX(LU_Scen_Db_Scenario_Names,$H183)</f>
        <v>Faster Growth</v>
      </c>
      <c r="H183" s="82">
        <v>3</v>
      </c>
      <c r="I183" s="81">
        <v>0</v>
      </c>
      <c r="J183" s="81">
        <v>0</v>
      </c>
      <c r="K183" s="81">
        <v>0</v>
      </c>
      <c r="L183" s="81">
        <v>0</v>
      </c>
      <c r="M183" s="81">
        <v>0</v>
      </c>
      <c r="N183" s="81">
        <v>0</v>
      </c>
      <c r="O183" s="81">
        <v>0</v>
      </c>
      <c r="P183" s="81">
        <v>0</v>
      </c>
      <c r="Q183" s="81">
        <v>0</v>
      </c>
      <c r="R183" s="81">
        <v>0</v>
      </c>
      <c r="S183" s="81">
        <v>0</v>
      </c>
      <c r="T183" s="81">
        <v>0</v>
      </c>
    </row>
    <row r="184" spans="2:20" outlineLevel="1" x14ac:dyDescent="0.15"/>
    <row r="185" spans="2:20" outlineLevel="1" x14ac:dyDescent="0.15">
      <c r="B185" s="16" t="str">
        <f>B186</f>
        <v>Net Profit After Tax</v>
      </c>
      <c r="I185" s="79" t="str">
        <f t="shared" ref="I185:T185" si="25">I$124</f>
        <v>Aug-23</v>
      </c>
      <c r="J185" s="79" t="str">
        <f t="shared" si="25"/>
        <v>Sep-23</v>
      </c>
      <c r="K185" s="79" t="str">
        <f t="shared" si="25"/>
        <v>Oct-23</v>
      </c>
      <c r="L185" s="79" t="str">
        <f t="shared" si="25"/>
        <v>Nov-23</v>
      </c>
      <c r="M185" s="79" t="str">
        <f t="shared" si="25"/>
        <v>Dec-23</v>
      </c>
      <c r="N185" s="79" t="str">
        <f t="shared" si="25"/>
        <v>Jan-24</v>
      </c>
      <c r="O185" s="79" t="str">
        <f t="shared" si="25"/>
        <v>Feb-24</v>
      </c>
      <c r="P185" s="79" t="str">
        <f t="shared" si="25"/>
        <v>Mar-24</v>
      </c>
      <c r="Q185" s="79" t="str">
        <f t="shared" si="25"/>
        <v>Apr-24</v>
      </c>
      <c r="R185" s="79" t="str">
        <f t="shared" si="25"/>
        <v>May-24</v>
      </c>
      <c r="S185" s="79" t="str">
        <f t="shared" si="25"/>
        <v>Jun-24</v>
      </c>
      <c r="T185" s="79" t="str">
        <f t="shared" si="25"/>
        <v>Jul-24</v>
      </c>
    </row>
    <row r="186" spans="2:20" hidden="1" outlineLevel="2" x14ac:dyDescent="0.15">
      <c r="B186" s="107" t="s">
        <v>83</v>
      </c>
      <c r="I186" s="81">
        <f ca="1">IF(Scen_Db_Data_Tables_Off,Scen_Db_Data_Tables_Status_Off,IF(I$123,OFFSET(Financials!J78,0,$H$127),0))</f>
        <v>-7112.4718497491049</v>
      </c>
      <c r="J186" s="81">
        <f ca="1">IF(Scen_Db_Data_Tables_Off,Scen_Db_Data_Tables_Status_Off,IF(J$123,OFFSET(Financials!K78,0,$H$127),0))</f>
        <v>-7882.7240998844463</v>
      </c>
      <c r="K186" s="81">
        <f ca="1">IF(Scen_Db_Data_Tables_Off,Scen_Db_Data_Tables_Status_Off,IF(K$123,OFFSET(Financials!L78,0,$H$127),0))</f>
        <v>-7729.4652597562726</v>
      </c>
      <c r="L186" s="81">
        <f ca="1">IF(Scen_Db_Data_Tables_Off,Scen_Db_Data_Tables_Status_Off,IF(L$123,OFFSET(Financials!M78,0,$H$127),0))</f>
        <v>-6692.5382937777777</v>
      </c>
      <c r="M186" s="81">
        <f ca="1">IF(Scen_Db_Data_Tables_Off,Scen_Db_Data_Tables_Status_Off,IF(M$123,OFFSET(Financials!N78,0,$H$127),0))</f>
        <v>-10364.783474070253</v>
      </c>
      <c r="N186" s="81">
        <f ca="1">IF(Scen_Db_Data_Tables_Off,Scen_Db_Data_Tables_Status_Off,IF(N$123,OFFSET(Financials!O78,0,$H$127),0))</f>
        <v>-8154.5365987240157</v>
      </c>
      <c r="O186" s="81">
        <f ca="1">IF(Scen_Db_Data_Tables_Off,Scen_Db_Data_Tables_Status_Off,IF(O$123,OFFSET(Financials!P78,0,$H$127),0))</f>
        <v>-8420.2483729777778</v>
      </c>
      <c r="P186" s="81">
        <f ca="1">IF(Scen_Db_Data_Tables_Off,Scen_Db_Data_Tables_Status_Off,IF(P$123,OFFSET(Financials!Q78,0,$H$127),0))</f>
        <v>-8452.8934254250908</v>
      </c>
      <c r="Q186" s="81">
        <f ca="1">IF(Scen_Db_Data_Tables_Off,Scen_Db_Data_Tables_Status_Off,IF(Q$123,OFFSET(Financials!R78,0,$H$127),0))</f>
        <v>-9644.7014192711104</v>
      </c>
      <c r="R186" s="81">
        <f ca="1">IF(Scen_Db_Data_Tables_Off,Scen_Db_Data_Tables_Status_Off,IF(R$123,OFFSET(Financials!S78,0,$H$127),0))</f>
        <v>-8971.7403971584245</v>
      </c>
      <c r="S186" s="81">
        <f ca="1">IF(Scen_Db_Data_Tables_Off,Scen_Db_Data_Tables_Status_Off,IF(S$123,OFFSET(Financials!T78,0,$H$127),0))</f>
        <v>-8788.8003644444452</v>
      </c>
      <c r="T186" s="81">
        <f ca="1">IF(Scen_Db_Data_Tables_Off,Scen_Db_Data_Tables_Status_Off,IF(T$123,OFFSET(Financials!U78,0,$H$127),0))</f>
        <v>-9447.6693323240142</v>
      </c>
    </row>
    <row r="187" spans="2:20" hidden="1" outlineLevel="2" x14ac:dyDescent="0.15">
      <c r="B187" s="175" t="str">
        <f>"Active Case ("&amp;INDEX(LU_Scen_Db_Scenario_Names,Scen_Db_Active_Scenario)&amp;")"</f>
        <v>Active Case (Base Case)</v>
      </c>
      <c r="H187" s="80" t="s">
        <v>245</v>
      </c>
      <c r="I187" s="87">
        <f t="shared" ref="I187:T187" ca="1" si="26">I186</f>
        <v>-7112.4718497491049</v>
      </c>
      <c r="J187" s="87">
        <f t="shared" ca="1" si="26"/>
        <v>-7882.7240998844463</v>
      </c>
      <c r="K187" s="87">
        <f t="shared" ca="1" si="26"/>
        <v>-7729.4652597562726</v>
      </c>
      <c r="L187" s="87">
        <f t="shared" ca="1" si="26"/>
        <v>-6692.5382937777777</v>
      </c>
      <c r="M187" s="87">
        <f t="shared" ca="1" si="26"/>
        <v>-10364.783474070253</v>
      </c>
      <c r="N187" s="87">
        <f t="shared" ca="1" si="26"/>
        <v>-8154.5365987240157</v>
      </c>
      <c r="O187" s="87">
        <f t="shared" ca="1" si="26"/>
        <v>-8420.2483729777778</v>
      </c>
      <c r="P187" s="87">
        <f t="shared" ca="1" si="26"/>
        <v>-8452.8934254250908</v>
      </c>
      <c r="Q187" s="87">
        <f t="shared" ca="1" si="26"/>
        <v>-9644.7014192711104</v>
      </c>
      <c r="R187" s="87">
        <f t="shared" ca="1" si="26"/>
        <v>-8971.7403971584245</v>
      </c>
      <c r="S187" s="87">
        <f t="shared" ca="1" si="26"/>
        <v>-8788.8003644444452</v>
      </c>
      <c r="T187" s="87">
        <f t="shared" ca="1" si="26"/>
        <v>-9447.6693323240142</v>
      </c>
    </row>
    <row r="188" spans="2:20" outlineLevel="1" collapsed="1" x14ac:dyDescent="0.15">
      <c r="B188" s="107" t="str">
        <f>INDEX(LU_Scen_Db_Scenario_Names,$H188)</f>
        <v>Base Case</v>
      </c>
      <c r="H188" s="82">
        <v>1</v>
      </c>
      <c r="I188" s="81">
        <f t="dataTable" ref="I188:T190" dt2D="0" dtr="0" r1="H130" ca="1"/>
        <v>-7112.4718497491049</v>
      </c>
      <c r="J188" s="81">
        <v>-7882.7240998844463</v>
      </c>
      <c r="K188" s="81">
        <v>-7729.4652597562726</v>
      </c>
      <c r="L188" s="81">
        <v>-6692.5382937777777</v>
      </c>
      <c r="M188" s="81">
        <v>-10364.783474070253</v>
      </c>
      <c r="N188" s="81">
        <v>-8154.5365987240157</v>
      </c>
      <c r="O188" s="81">
        <v>-8420.2483729777778</v>
      </c>
      <c r="P188" s="81">
        <v>-8452.8934254250908</v>
      </c>
      <c r="Q188" s="81">
        <v>-9644.7014192711104</v>
      </c>
      <c r="R188" s="81">
        <v>-8971.7403971584245</v>
      </c>
      <c r="S188" s="81">
        <v>-8788.8003644444452</v>
      </c>
      <c r="T188" s="81">
        <v>-9447.6693323240142</v>
      </c>
    </row>
    <row r="189" spans="2:20" outlineLevel="1" x14ac:dyDescent="0.15">
      <c r="B189" s="107" t="str">
        <f>INDEX(LU_Scen_Db_Scenario_Names,$H189)</f>
        <v>Slower Growth</v>
      </c>
      <c r="H189" s="82">
        <v>2</v>
      </c>
      <c r="I189" s="81">
        <v>-7112.4718497491049</v>
      </c>
      <c r="J189" s="81">
        <v>-8002.1820624311113</v>
      </c>
      <c r="K189" s="81">
        <v>-7924.7265884444441</v>
      </c>
      <c r="L189" s="81">
        <v>-7003.3128157777792</v>
      </c>
      <c r="M189" s="81">
        <v>-10535.795786053048</v>
      </c>
      <c r="N189" s="81">
        <v>-8515.2438257992835</v>
      </c>
      <c r="O189" s="81">
        <v>-8866.2083233777776</v>
      </c>
      <c r="P189" s="81">
        <v>-8949.9727560530482</v>
      </c>
      <c r="Q189" s="81">
        <v>-10076.444983324443</v>
      </c>
      <c r="R189" s="81">
        <v>-9528.3247103068097</v>
      </c>
      <c r="S189" s="81">
        <v>-9378.4387911111116</v>
      </c>
      <c r="T189" s="81">
        <v>-10023.622416470253</v>
      </c>
    </row>
    <row r="190" spans="2:20" outlineLevel="1" x14ac:dyDescent="0.15">
      <c r="B190" s="107" t="str">
        <f>INDEX(LU_Scen_Db_Scenario_Names,$H190)</f>
        <v>Faster Growth</v>
      </c>
      <c r="H190" s="82">
        <v>3</v>
      </c>
      <c r="I190" s="81">
        <v>-7112.4718497491049</v>
      </c>
      <c r="J190" s="81">
        <v>-7763.2661373377787</v>
      </c>
      <c r="K190" s="81">
        <v>-7534.2039310681002</v>
      </c>
      <c r="L190" s="81">
        <v>-6381.7637717777779</v>
      </c>
      <c r="M190" s="81">
        <v>-10193.771162087456</v>
      </c>
      <c r="N190" s="81">
        <v>-7793.829371648746</v>
      </c>
      <c r="O190" s="81">
        <v>-7974.2884225777789</v>
      </c>
      <c r="P190" s="81">
        <v>-7955.8140947971324</v>
      </c>
      <c r="Q190" s="81">
        <v>-9212.9578552177773</v>
      </c>
      <c r="R190" s="81">
        <v>-8415.1560840100356</v>
      </c>
      <c r="S190" s="81">
        <v>-8199.1619377777788</v>
      </c>
      <c r="T190" s="81">
        <v>-8871.7162481777777</v>
      </c>
    </row>
    <row r="191" spans="2:20" outlineLevel="1" x14ac:dyDescent="0.15"/>
    <row r="192" spans="2:20" outlineLevel="1" x14ac:dyDescent="0.15">
      <c r="B192" s="108" t="s">
        <v>88</v>
      </c>
      <c r="C192" s="108"/>
      <c r="D192" s="108"/>
      <c r="E192" s="108"/>
      <c r="F192" s="108"/>
      <c r="G192" s="108"/>
      <c r="H192" s="108"/>
      <c r="I192" s="108"/>
      <c r="J192" s="108"/>
      <c r="K192" s="108"/>
      <c r="L192" s="108"/>
      <c r="M192" s="108"/>
      <c r="N192" s="108"/>
      <c r="O192" s="108"/>
      <c r="P192" s="108"/>
      <c r="Q192" s="108"/>
      <c r="R192" s="108"/>
      <c r="S192" s="108"/>
      <c r="T192" s="108"/>
    </row>
    <row r="193" spans="2:20" outlineLevel="1" x14ac:dyDescent="0.15"/>
    <row r="194" spans="2:20" outlineLevel="1" x14ac:dyDescent="0.15">
      <c r="B194" s="16" t="str">
        <f>B195</f>
        <v>Closing Cash</v>
      </c>
      <c r="I194" s="79" t="str">
        <f t="shared" ref="I194:T194" si="27">I$124</f>
        <v>Aug-23</v>
      </c>
      <c r="J194" s="79" t="str">
        <f t="shared" si="27"/>
        <v>Sep-23</v>
      </c>
      <c r="K194" s="79" t="str">
        <f t="shared" si="27"/>
        <v>Oct-23</v>
      </c>
      <c r="L194" s="79" t="str">
        <f t="shared" si="27"/>
        <v>Nov-23</v>
      </c>
      <c r="M194" s="79" t="str">
        <f t="shared" si="27"/>
        <v>Dec-23</v>
      </c>
      <c r="N194" s="79" t="str">
        <f t="shared" si="27"/>
        <v>Jan-24</v>
      </c>
      <c r="O194" s="79" t="str">
        <f t="shared" si="27"/>
        <v>Feb-24</v>
      </c>
      <c r="P194" s="79" t="str">
        <f t="shared" si="27"/>
        <v>Mar-24</v>
      </c>
      <c r="Q194" s="79" t="str">
        <f t="shared" si="27"/>
        <v>Apr-24</v>
      </c>
      <c r="R194" s="79" t="str">
        <f t="shared" si="27"/>
        <v>May-24</v>
      </c>
      <c r="S194" s="79" t="str">
        <f t="shared" si="27"/>
        <v>Jun-24</v>
      </c>
      <c r="T194" s="79" t="str">
        <f t="shared" si="27"/>
        <v>Jul-24</v>
      </c>
    </row>
    <row r="195" spans="2:20" hidden="1" outlineLevel="2" x14ac:dyDescent="0.15">
      <c r="B195" s="107" t="s">
        <v>177</v>
      </c>
      <c r="I195" s="81">
        <f ca="1">IF(Scen_Db_Data_Tables_Off,Scen_Db_Data_Tables_Status_Off,IF(I$123,OFFSET(Financials!J86,0,$H$127),0))</f>
        <v>56366.869850494637</v>
      </c>
      <c r="J195" s="81">
        <f ca="1">IF(Scen_Db_Data_Tables_Off,Scen_Db_Data_Tables_Status_Off,IF(J$123,OFFSET(Financials!K86,0,$H$127),0))</f>
        <v>44565.745398407664</v>
      </c>
      <c r="K195" s="81">
        <f ca="1">IF(Scen_Db_Data_Tables_Off,Scen_Db_Data_Tables_Status_Off,IF(K$123,OFFSET(Financials!L86,0,$H$127),0))</f>
        <v>93791.017492155705</v>
      </c>
      <c r="L195" s="81">
        <f ca="1">IF(Scen_Db_Data_Tables_Off,Scen_Db_Data_Tables_Status_Off,IF(L$123,OFFSET(Financials!M86,0,$H$127),0))</f>
        <v>99434.209346422373</v>
      </c>
      <c r="M195" s="81">
        <f ca="1">IF(Scen_Db_Data_Tables_Off,Scen_Db_Data_Tables_Status_Off,IF(M$123,OFFSET(Financials!N86,0,$H$127),0))</f>
        <v>77892.898421634411</v>
      </c>
      <c r="N195" s="81">
        <f ca="1">IF(Scen_Db_Data_Tables_Off,Scen_Db_Data_Tables_Status_Off,IF(N$123,OFFSET(Financials!O86,0,$H$127),0))</f>
        <v>86016.935079136339</v>
      </c>
      <c r="O195" s="81">
        <f ca="1">IF(Scen_Db_Data_Tables_Off,Scen_Db_Data_Tables_Status_Off,IF(O$123,OFFSET(Financials!P86,0,$H$127),0))</f>
        <v>90029.52162581333</v>
      </c>
      <c r="P195" s="81">
        <f ca="1">IF(Scen_Db_Data_Tables_Off,Scen_Db_Data_Tables_Status_Off,IF(P$123,OFFSET(Financials!Q86,0,$H$127),0))</f>
        <v>69976.570193967302</v>
      </c>
      <c r="Q195" s="81">
        <f ca="1">IF(Scen_Db_Data_Tables_Off,Scen_Db_Data_Tables_Status_Off,IF(Q$123,OFFSET(Financials!R86,0,$H$127),0))</f>
        <v>76726.490789144591</v>
      </c>
      <c r="R195" s="81">
        <f ca="1">IF(Scen_Db_Data_Tables_Off,Scen_Db_Data_Tables_Status_Off,IF(R$123,OFFSET(Financials!S86,0,$H$127),0))</f>
        <v>79679.59382603319</v>
      </c>
      <c r="S195" s="81">
        <f ca="1">IF(Scen_Db_Data_Tables_Off,Scen_Db_Data_Tables_Status_Off,IF(S$123,OFFSET(Financials!T86,0,$H$127),0))</f>
        <v>59829.112587495554</v>
      </c>
      <c r="T195" s="81">
        <f ca="1">IF(Scen_Db_Data_Tables_Off,Scen_Db_Data_Tables_Status_Off,IF(T$123,OFFSET(Financials!U86,0,$H$127),0))</f>
        <v>66932.032226762138</v>
      </c>
    </row>
    <row r="196" spans="2:20" hidden="1" outlineLevel="2" x14ac:dyDescent="0.15">
      <c r="B196" s="175" t="str">
        <f>"Active Case ("&amp;INDEX(LU_Scen_Db_Scenario_Names,Scen_Db_Active_Scenario)&amp;")"</f>
        <v>Active Case (Base Case)</v>
      </c>
      <c r="H196" s="80" t="s">
        <v>245</v>
      </c>
      <c r="I196" s="87">
        <f t="shared" ref="I196:T196" ca="1" si="28">I195</f>
        <v>56366.869850494637</v>
      </c>
      <c r="J196" s="87">
        <f t="shared" ca="1" si="28"/>
        <v>44565.745398407664</v>
      </c>
      <c r="K196" s="87">
        <f t="shared" ca="1" si="28"/>
        <v>93791.017492155705</v>
      </c>
      <c r="L196" s="87">
        <f t="shared" ca="1" si="28"/>
        <v>99434.209346422373</v>
      </c>
      <c r="M196" s="87">
        <f t="shared" ca="1" si="28"/>
        <v>77892.898421634411</v>
      </c>
      <c r="N196" s="87">
        <f t="shared" ca="1" si="28"/>
        <v>86016.935079136339</v>
      </c>
      <c r="O196" s="87">
        <f t="shared" ca="1" si="28"/>
        <v>90029.52162581333</v>
      </c>
      <c r="P196" s="87">
        <f t="shared" ca="1" si="28"/>
        <v>69976.570193967302</v>
      </c>
      <c r="Q196" s="87">
        <f t="shared" ca="1" si="28"/>
        <v>76726.490789144591</v>
      </c>
      <c r="R196" s="87">
        <f t="shared" ca="1" si="28"/>
        <v>79679.59382603319</v>
      </c>
      <c r="S196" s="87">
        <f t="shared" ca="1" si="28"/>
        <v>59829.112587495554</v>
      </c>
      <c r="T196" s="87">
        <f t="shared" ca="1" si="28"/>
        <v>66932.032226762138</v>
      </c>
    </row>
    <row r="197" spans="2:20" outlineLevel="1" collapsed="1" x14ac:dyDescent="0.15">
      <c r="B197" s="107" t="str">
        <f>INDEX(LU_Scen_Db_Scenario_Names,$H197)</f>
        <v>Base Case</v>
      </c>
      <c r="H197" s="82">
        <v>1</v>
      </c>
      <c r="I197" s="81">
        <f t="dataTable" ref="I197:T199" dt2D="0" dtr="0" r1="H130" ca="1"/>
        <v>56366.869850494637</v>
      </c>
      <c r="J197" s="81">
        <v>44565.745398407664</v>
      </c>
      <c r="K197" s="81">
        <v>93791.017492155705</v>
      </c>
      <c r="L197" s="81">
        <v>99434.209346422373</v>
      </c>
      <c r="M197" s="81">
        <v>77892.898421634411</v>
      </c>
      <c r="N197" s="81">
        <v>86016.935079136339</v>
      </c>
      <c r="O197" s="81">
        <v>90029.52162581333</v>
      </c>
      <c r="P197" s="81">
        <v>69976.570193967302</v>
      </c>
      <c r="Q197" s="81">
        <v>76726.490789144591</v>
      </c>
      <c r="R197" s="81">
        <v>79679.59382603319</v>
      </c>
      <c r="S197" s="81">
        <v>59829.112587495554</v>
      </c>
      <c r="T197" s="81">
        <v>66932.032226762138</v>
      </c>
    </row>
    <row r="198" spans="2:20" outlineLevel="1" x14ac:dyDescent="0.15">
      <c r="B198" s="107" t="str">
        <f>INDEX(LU_Scen_Db_Scenario_Names,$H198)</f>
        <v>Slower Growth</v>
      </c>
      <c r="H198" s="82">
        <v>2</v>
      </c>
      <c r="I198" s="81">
        <v>56366.869850494637</v>
      </c>
      <c r="J198" s="81">
        <v>44446.505553808995</v>
      </c>
      <c r="K198" s="81">
        <v>93476.53811224128</v>
      </c>
      <c r="L198" s="81">
        <v>98809.398397374607</v>
      </c>
      <c r="M198" s="81">
        <v>77096.555997574178</v>
      </c>
      <c r="N198" s="81">
        <v>84859.744194131606</v>
      </c>
      <c r="O198" s="81">
        <v>88426.458180915259</v>
      </c>
      <c r="P198" s="81">
        <v>67876.423936824503</v>
      </c>
      <c r="Q198" s="81">
        <v>74193.868700015722</v>
      </c>
      <c r="R198" s="81">
        <v>76590.00714745358</v>
      </c>
      <c r="S198" s="81">
        <v>56149.333878249279</v>
      </c>
      <c r="T198" s="81">
        <v>62676.919940112246</v>
      </c>
    </row>
    <row r="199" spans="2:20" outlineLevel="1" x14ac:dyDescent="0.15">
      <c r="B199" s="107" t="str">
        <f>INDEX(LU_Scen_Db_Scenario_Names,$H199)</f>
        <v>Faster Growth</v>
      </c>
      <c r="H199" s="82">
        <v>3</v>
      </c>
      <c r="I199" s="81">
        <v>56366.869850494637</v>
      </c>
      <c r="J199" s="81">
        <v>44684.985243006333</v>
      </c>
      <c r="K199" s="81">
        <v>94105.496872070114</v>
      </c>
      <c r="L199" s="81">
        <v>100059.02029547011</v>
      </c>
      <c r="M199" s="81">
        <v>78689.240845694614</v>
      </c>
      <c r="N199" s="81">
        <v>87174.125964141072</v>
      </c>
      <c r="O199" s="81">
        <v>91632.585070711386</v>
      </c>
      <c r="P199" s="81">
        <v>72076.716451110085</v>
      </c>
      <c r="Q199" s="81">
        <v>79259.112878273445</v>
      </c>
      <c r="R199" s="81">
        <v>82769.180504612799</v>
      </c>
      <c r="S199" s="81">
        <v>63508.891296741829</v>
      </c>
      <c r="T199" s="81">
        <v>71187.144513412029</v>
      </c>
    </row>
    <row r="200" spans="2:20" outlineLevel="1" x14ac:dyDescent="0.15"/>
    <row r="201" spans="2:20" outlineLevel="1" x14ac:dyDescent="0.15">
      <c r="B201" s="16" t="str">
        <f>B202</f>
        <v>Total Current Assets</v>
      </c>
      <c r="I201" s="79" t="str">
        <f t="shared" ref="I201:T201" si="29">I$124</f>
        <v>Aug-23</v>
      </c>
      <c r="J201" s="79" t="str">
        <f t="shared" si="29"/>
        <v>Sep-23</v>
      </c>
      <c r="K201" s="79" t="str">
        <f t="shared" si="29"/>
        <v>Oct-23</v>
      </c>
      <c r="L201" s="79" t="str">
        <f t="shared" si="29"/>
        <v>Nov-23</v>
      </c>
      <c r="M201" s="79" t="str">
        <f t="shared" si="29"/>
        <v>Dec-23</v>
      </c>
      <c r="N201" s="79" t="str">
        <f t="shared" si="29"/>
        <v>Jan-24</v>
      </c>
      <c r="O201" s="79" t="str">
        <f t="shared" si="29"/>
        <v>Feb-24</v>
      </c>
      <c r="P201" s="79" t="str">
        <f t="shared" si="29"/>
        <v>Mar-24</v>
      </c>
      <c r="Q201" s="79" t="str">
        <f t="shared" si="29"/>
        <v>Apr-24</v>
      </c>
      <c r="R201" s="79" t="str">
        <f t="shared" si="29"/>
        <v>May-24</v>
      </c>
      <c r="S201" s="79" t="str">
        <f t="shared" si="29"/>
        <v>Jun-24</v>
      </c>
      <c r="T201" s="79" t="str">
        <f t="shared" si="29"/>
        <v>Jul-24</v>
      </c>
    </row>
    <row r="202" spans="2:20" hidden="1" outlineLevel="2" x14ac:dyDescent="0.15">
      <c r="B202" s="107" t="s">
        <v>283</v>
      </c>
      <c r="I202" s="81">
        <f ca="1">IF(Scen_Db_Data_Tables_Off,Scen_Db_Data_Tables_Status_Off,IF(I$123,OFFSET(Financials!J97,0,$H$127),0))</f>
        <v>56366.869850494637</v>
      </c>
      <c r="J202" s="81">
        <f ca="1">IF(Scen_Db_Data_Tables_Off,Scen_Db_Data_Tables_Status_Off,IF(J$123,OFFSET(Financials!K97,0,$H$127),0))</f>
        <v>44565.745398407664</v>
      </c>
      <c r="K202" s="81">
        <f ca="1">IF(Scen_Db_Data_Tables_Off,Scen_Db_Data_Tables_Status_Off,IF(K$123,OFFSET(Financials!L97,0,$H$127),0))</f>
        <v>93791.017492155705</v>
      </c>
      <c r="L202" s="81">
        <f ca="1">IF(Scen_Db_Data_Tables_Off,Scen_Db_Data_Tables_Status_Off,IF(L$123,OFFSET(Financials!M97,0,$H$127),0))</f>
        <v>99434.209346422373</v>
      </c>
      <c r="M202" s="81">
        <f ca="1">IF(Scen_Db_Data_Tables_Off,Scen_Db_Data_Tables_Status_Off,IF(M$123,OFFSET(Financials!N97,0,$H$127),0))</f>
        <v>77892.898421634411</v>
      </c>
      <c r="N202" s="81">
        <f ca="1">IF(Scen_Db_Data_Tables_Off,Scen_Db_Data_Tables_Status_Off,IF(N$123,OFFSET(Financials!O97,0,$H$127),0))</f>
        <v>86016.935079136339</v>
      </c>
      <c r="O202" s="81">
        <f ca="1">IF(Scen_Db_Data_Tables_Off,Scen_Db_Data_Tables_Status_Off,IF(O$123,OFFSET(Financials!P97,0,$H$127),0))</f>
        <v>90029.52162581333</v>
      </c>
      <c r="P202" s="81">
        <f ca="1">IF(Scen_Db_Data_Tables_Off,Scen_Db_Data_Tables_Status_Off,IF(P$123,OFFSET(Financials!Q97,0,$H$127),0))</f>
        <v>69976.570193967302</v>
      </c>
      <c r="Q202" s="81">
        <f ca="1">IF(Scen_Db_Data_Tables_Off,Scen_Db_Data_Tables_Status_Off,IF(Q$123,OFFSET(Financials!R97,0,$H$127),0))</f>
        <v>76726.490789144591</v>
      </c>
      <c r="R202" s="81">
        <f ca="1">IF(Scen_Db_Data_Tables_Off,Scen_Db_Data_Tables_Status_Off,IF(R$123,OFFSET(Financials!S97,0,$H$127),0))</f>
        <v>79679.59382603319</v>
      </c>
      <c r="S202" s="81">
        <f ca="1">IF(Scen_Db_Data_Tables_Off,Scen_Db_Data_Tables_Status_Off,IF(S$123,OFFSET(Financials!T97,0,$H$127),0))</f>
        <v>59829.112587495554</v>
      </c>
      <c r="T202" s="81">
        <f ca="1">IF(Scen_Db_Data_Tables_Off,Scen_Db_Data_Tables_Status_Off,IF(T$123,OFFSET(Financials!U97,0,$H$127),0))</f>
        <v>66932.032226762138</v>
      </c>
    </row>
    <row r="203" spans="2:20" hidden="1" outlineLevel="2" x14ac:dyDescent="0.15">
      <c r="B203" s="175" t="str">
        <f>"Active Case ("&amp;INDEX(LU_Scen_Db_Scenario_Names,Scen_Db_Active_Scenario)&amp;")"</f>
        <v>Active Case (Base Case)</v>
      </c>
      <c r="H203" s="80" t="s">
        <v>245</v>
      </c>
      <c r="I203" s="87">
        <f t="shared" ref="I203:T203" ca="1" si="30">I202</f>
        <v>56366.869850494637</v>
      </c>
      <c r="J203" s="87">
        <f t="shared" ca="1" si="30"/>
        <v>44565.745398407664</v>
      </c>
      <c r="K203" s="87">
        <f t="shared" ca="1" si="30"/>
        <v>93791.017492155705</v>
      </c>
      <c r="L203" s="87">
        <f t="shared" ca="1" si="30"/>
        <v>99434.209346422373</v>
      </c>
      <c r="M203" s="87">
        <f t="shared" ca="1" si="30"/>
        <v>77892.898421634411</v>
      </c>
      <c r="N203" s="87">
        <f t="shared" ca="1" si="30"/>
        <v>86016.935079136339</v>
      </c>
      <c r="O203" s="87">
        <f t="shared" ca="1" si="30"/>
        <v>90029.52162581333</v>
      </c>
      <c r="P203" s="87">
        <f t="shared" ca="1" si="30"/>
        <v>69976.570193967302</v>
      </c>
      <c r="Q203" s="87">
        <f t="shared" ca="1" si="30"/>
        <v>76726.490789144591</v>
      </c>
      <c r="R203" s="87">
        <f t="shared" ca="1" si="30"/>
        <v>79679.59382603319</v>
      </c>
      <c r="S203" s="87">
        <f t="shared" ca="1" si="30"/>
        <v>59829.112587495554</v>
      </c>
      <c r="T203" s="87">
        <f t="shared" ca="1" si="30"/>
        <v>66932.032226762138</v>
      </c>
    </row>
    <row r="204" spans="2:20" outlineLevel="1" collapsed="1" x14ac:dyDescent="0.15">
      <c r="B204" s="107" t="str">
        <f>INDEX(LU_Scen_Db_Scenario_Names,$H204)</f>
        <v>Base Case</v>
      </c>
      <c r="H204" s="82">
        <v>1</v>
      </c>
      <c r="I204" s="81">
        <f t="dataTable" ref="I204:T206" dt2D="0" dtr="0" r1="H130" ca="1"/>
        <v>56366.869850494637</v>
      </c>
      <c r="J204" s="81">
        <v>44565.745398407664</v>
      </c>
      <c r="K204" s="81">
        <v>93791.017492155705</v>
      </c>
      <c r="L204" s="81">
        <v>99434.209346422373</v>
      </c>
      <c r="M204" s="81">
        <v>77892.898421634411</v>
      </c>
      <c r="N204" s="81">
        <v>86016.935079136339</v>
      </c>
      <c r="O204" s="81">
        <v>90029.52162581333</v>
      </c>
      <c r="P204" s="81">
        <v>69976.570193967302</v>
      </c>
      <c r="Q204" s="81">
        <v>76726.490789144591</v>
      </c>
      <c r="R204" s="81">
        <v>79679.59382603319</v>
      </c>
      <c r="S204" s="81">
        <v>59829.112587495554</v>
      </c>
      <c r="T204" s="81">
        <v>66932.032226762138</v>
      </c>
    </row>
    <row r="205" spans="2:20" outlineLevel="1" x14ac:dyDescent="0.15">
      <c r="B205" s="107" t="str">
        <f>INDEX(LU_Scen_Db_Scenario_Names,$H205)</f>
        <v>Slower Growth</v>
      </c>
      <c r="H205" s="82">
        <v>2</v>
      </c>
      <c r="I205" s="81">
        <v>56366.869850494637</v>
      </c>
      <c r="J205" s="81">
        <v>44446.505553808995</v>
      </c>
      <c r="K205" s="81">
        <v>93476.53811224128</v>
      </c>
      <c r="L205" s="81">
        <v>98809.398397374607</v>
      </c>
      <c r="M205" s="81">
        <v>77096.555997574178</v>
      </c>
      <c r="N205" s="81">
        <v>84859.744194131606</v>
      </c>
      <c r="O205" s="81">
        <v>88426.458180915259</v>
      </c>
      <c r="P205" s="81">
        <v>67876.423936824503</v>
      </c>
      <c r="Q205" s="81">
        <v>74193.868700015722</v>
      </c>
      <c r="R205" s="81">
        <v>76590.00714745358</v>
      </c>
      <c r="S205" s="81">
        <v>56149.333878249279</v>
      </c>
      <c r="T205" s="81">
        <v>62676.919940112246</v>
      </c>
    </row>
    <row r="206" spans="2:20" outlineLevel="1" x14ac:dyDescent="0.15">
      <c r="B206" s="107" t="str">
        <f>INDEX(LU_Scen_Db_Scenario_Names,$H206)</f>
        <v>Faster Growth</v>
      </c>
      <c r="H206" s="82">
        <v>3</v>
      </c>
      <c r="I206" s="81">
        <v>56366.869850494637</v>
      </c>
      <c r="J206" s="81">
        <v>44684.985243006333</v>
      </c>
      <c r="K206" s="81">
        <v>94105.496872070114</v>
      </c>
      <c r="L206" s="81">
        <v>100059.02029547011</v>
      </c>
      <c r="M206" s="81">
        <v>78689.240845694614</v>
      </c>
      <c r="N206" s="81">
        <v>87174.125964141072</v>
      </c>
      <c r="O206" s="81">
        <v>91632.585070711386</v>
      </c>
      <c r="P206" s="81">
        <v>72076.716451110085</v>
      </c>
      <c r="Q206" s="81">
        <v>79259.112878273445</v>
      </c>
      <c r="R206" s="81">
        <v>82769.180504612799</v>
      </c>
      <c r="S206" s="81">
        <v>63508.891296741829</v>
      </c>
      <c r="T206" s="81">
        <v>71187.144513412029</v>
      </c>
    </row>
    <row r="207" spans="2:20" outlineLevel="1" x14ac:dyDescent="0.15"/>
    <row r="208" spans="2:20" outlineLevel="1" x14ac:dyDescent="0.15">
      <c r="B208" s="16" t="str">
        <f>B209</f>
        <v>Total Assets</v>
      </c>
      <c r="I208" s="79" t="str">
        <f t="shared" ref="I208:T208" si="31">I$124</f>
        <v>Aug-23</v>
      </c>
      <c r="J208" s="79" t="str">
        <f t="shared" si="31"/>
        <v>Sep-23</v>
      </c>
      <c r="K208" s="79" t="str">
        <f t="shared" si="31"/>
        <v>Oct-23</v>
      </c>
      <c r="L208" s="79" t="str">
        <f t="shared" si="31"/>
        <v>Nov-23</v>
      </c>
      <c r="M208" s="79" t="str">
        <f t="shared" si="31"/>
        <v>Dec-23</v>
      </c>
      <c r="N208" s="79" t="str">
        <f t="shared" si="31"/>
        <v>Jan-24</v>
      </c>
      <c r="O208" s="79" t="str">
        <f t="shared" si="31"/>
        <v>Feb-24</v>
      </c>
      <c r="P208" s="79" t="str">
        <f t="shared" si="31"/>
        <v>Mar-24</v>
      </c>
      <c r="Q208" s="79" t="str">
        <f t="shared" si="31"/>
        <v>Apr-24</v>
      </c>
      <c r="R208" s="79" t="str">
        <f t="shared" si="31"/>
        <v>May-24</v>
      </c>
      <c r="S208" s="79" t="str">
        <f t="shared" si="31"/>
        <v>Jun-24</v>
      </c>
      <c r="T208" s="79" t="str">
        <f t="shared" si="31"/>
        <v>Jul-24</v>
      </c>
    </row>
    <row r="209" spans="2:20" hidden="1" outlineLevel="2" x14ac:dyDescent="0.15">
      <c r="B209" s="107" t="s">
        <v>97</v>
      </c>
      <c r="I209" s="81">
        <f ca="1">IF(Scen_Db_Data_Tables_Off,Scen_Db_Data_Tables_Status_Off,IF(I$123,OFFSET(Financials!J108,0,$H$127),0))</f>
        <v>265951.89762827242</v>
      </c>
      <c r="J209" s="81">
        <f ca="1">IF(Scen_Db_Data_Tables_Off,Scen_Db_Data_Tables_Status_Off,IF(J$123,OFFSET(Financials!K108,0,$H$127),0))</f>
        <v>248350.57873174097</v>
      </c>
      <c r="K209" s="81">
        <f ca="1">IF(Scen_Db_Data_Tables_Off,Scen_Db_Data_Tables_Status_Off,IF(K$123,OFFSET(Financials!L108,0,$H$127),0))</f>
        <v>291775.6563810446</v>
      </c>
      <c r="L209" s="81">
        <f ca="1">IF(Scen_Db_Data_Tables_Off,Scen_Db_Data_Tables_Status_Off,IF(L$123,OFFSET(Financials!M108,0,$H$127),0))</f>
        <v>291618.65379086678</v>
      </c>
      <c r="M209" s="81">
        <f ca="1">IF(Scen_Db_Data_Tables_Off,Scen_Db_Data_Tables_Status_Off,IF(M$123,OFFSET(Financials!N108,0,$H$127),0))</f>
        <v>264277.1484216344</v>
      </c>
      <c r="N209" s="81">
        <f ca="1">IF(Scen_Db_Data_Tables_Off,Scen_Db_Data_Tables_Status_Off,IF(N$123,OFFSET(Financials!O108,0,$H$127),0))</f>
        <v>266600.9906346919</v>
      </c>
      <c r="O209" s="81">
        <f ca="1">IF(Scen_Db_Data_Tables_Off,Scen_Db_Data_Tables_Status_Off,IF(O$123,OFFSET(Financials!P108,0,$H$127),0))</f>
        <v>264813.3827369244</v>
      </c>
      <c r="P209" s="81">
        <f ca="1">IF(Scen_Db_Data_Tables_Off,Scen_Db_Data_Tables_Status_Off,IF(P$123,OFFSET(Financials!Q108,0,$H$127),0))</f>
        <v>238960.23686063394</v>
      </c>
      <c r="Q209" s="81">
        <f ca="1">IF(Scen_Db_Data_Tables_Off,Scen_Db_Data_Tables_Status_Off,IF(Q$123,OFFSET(Financials!R108,0,$H$127),0))</f>
        <v>239909.96301136675</v>
      </c>
      <c r="R209" s="81">
        <f ca="1">IF(Scen_Db_Data_Tables_Off,Scen_Db_Data_Tables_Status_Off,IF(R$123,OFFSET(Financials!S108,0,$H$127),0))</f>
        <v>237062.87160381093</v>
      </c>
      <c r="S209" s="81">
        <f ca="1">IF(Scen_Db_Data_Tables_Off,Scen_Db_Data_Tables_Status_Off,IF(S$123,OFFSET(Financials!T108,0,$H$127),0))</f>
        <v>211412.19592082882</v>
      </c>
      <c r="T209" s="81">
        <f ca="1">IF(Scen_Db_Data_Tables_Off,Scen_Db_Data_Tables_Status_Off,IF(T$123,OFFSET(Financials!U108,0,$H$127),0))</f>
        <v>212714.92111565097</v>
      </c>
    </row>
    <row r="210" spans="2:20" hidden="1" outlineLevel="2" x14ac:dyDescent="0.15">
      <c r="B210" s="175" t="str">
        <f>"Active Case ("&amp;INDEX(LU_Scen_Db_Scenario_Names,Scen_Db_Active_Scenario)&amp;")"</f>
        <v>Active Case (Base Case)</v>
      </c>
      <c r="H210" s="80" t="s">
        <v>245</v>
      </c>
      <c r="I210" s="87">
        <f t="shared" ref="I210:T210" ca="1" si="32">I209</f>
        <v>265951.89762827242</v>
      </c>
      <c r="J210" s="87">
        <f t="shared" ca="1" si="32"/>
        <v>248350.57873174097</v>
      </c>
      <c r="K210" s="87">
        <f t="shared" ca="1" si="32"/>
        <v>291775.6563810446</v>
      </c>
      <c r="L210" s="87">
        <f t="shared" ca="1" si="32"/>
        <v>291618.65379086678</v>
      </c>
      <c r="M210" s="87">
        <f t="shared" ca="1" si="32"/>
        <v>264277.1484216344</v>
      </c>
      <c r="N210" s="87">
        <f t="shared" ca="1" si="32"/>
        <v>266600.9906346919</v>
      </c>
      <c r="O210" s="87">
        <f t="shared" ca="1" si="32"/>
        <v>264813.3827369244</v>
      </c>
      <c r="P210" s="87">
        <f t="shared" ca="1" si="32"/>
        <v>238960.23686063394</v>
      </c>
      <c r="Q210" s="87">
        <f t="shared" ca="1" si="32"/>
        <v>239909.96301136675</v>
      </c>
      <c r="R210" s="87">
        <f t="shared" ca="1" si="32"/>
        <v>237062.87160381093</v>
      </c>
      <c r="S210" s="87">
        <f t="shared" ca="1" si="32"/>
        <v>211412.19592082882</v>
      </c>
      <c r="T210" s="87">
        <f t="shared" ca="1" si="32"/>
        <v>212714.92111565097</v>
      </c>
    </row>
    <row r="211" spans="2:20" outlineLevel="1" collapsed="1" x14ac:dyDescent="0.15">
      <c r="B211" s="107" t="str">
        <f>INDEX(LU_Scen_Db_Scenario_Names,$H211)</f>
        <v>Base Case</v>
      </c>
      <c r="H211" s="82">
        <v>1</v>
      </c>
      <c r="I211" s="81">
        <f t="dataTable" ref="I211:T213" dt2D="0" dtr="0" r1="H130" ca="1"/>
        <v>265951.89762827242</v>
      </c>
      <c r="J211" s="81">
        <v>248350.57873174097</v>
      </c>
      <c r="K211" s="81">
        <v>291775.6563810446</v>
      </c>
      <c r="L211" s="81">
        <v>291618.65379086678</v>
      </c>
      <c r="M211" s="81">
        <v>264277.1484216344</v>
      </c>
      <c r="N211" s="81">
        <v>266600.9906346919</v>
      </c>
      <c r="O211" s="81">
        <v>264813.3827369244</v>
      </c>
      <c r="P211" s="81">
        <v>238960.23686063394</v>
      </c>
      <c r="Q211" s="81">
        <v>239909.96301136675</v>
      </c>
      <c r="R211" s="81">
        <v>237062.87160381093</v>
      </c>
      <c r="S211" s="81">
        <v>211412.19592082882</v>
      </c>
      <c r="T211" s="81">
        <v>212714.92111565097</v>
      </c>
    </row>
    <row r="212" spans="2:20" outlineLevel="1" x14ac:dyDescent="0.15">
      <c r="B212" s="107" t="str">
        <f>INDEX(LU_Scen_Db_Scenario_Names,$H212)</f>
        <v>Slower Growth</v>
      </c>
      <c r="H212" s="82">
        <v>2</v>
      </c>
      <c r="I212" s="81">
        <v>265951.89762827242</v>
      </c>
      <c r="J212" s="81">
        <v>248231.33888714231</v>
      </c>
      <c r="K212" s="81">
        <v>291461.17700113019</v>
      </c>
      <c r="L212" s="81">
        <v>290993.84284181905</v>
      </c>
      <c r="M212" s="81">
        <v>263480.80599757412</v>
      </c>
      <c r="N212" s="81">
        <v>265443.79974968714</v>
      </c>
      <c r="O212" s="81">
        <v>263210.31929202634</v>
      </c>
      <c r="P212" s="81">
        <v>236860.09060349112</v>
      </c>
      <c r="Q212" s="81">
        <v>237377.3409222379</v>
      </c>
      <c r="R212" s="81">
        <v>233973.2849252313</v>
      </c>
      <c r="S212" s="81">
        <v>207732.41721158253</v>
      </c>
      <c r="T212" s="81">
        <v>208459.80882900106</v>
      </c>
    </row>
    <row r="213" spans="2:20" outlineLevel="1" x14ac:dyDescent="0.15">
      <c r="B213" s="107" t="str">
        <f>INDEX(LU_Scen_Db_Scenario_Names,$H213)</f>
        <v>Faster Growth</v>
      </c>
      <c r="H213" s="82">
        <v>3</v>
      </c>
      <c r="I213" s="81">
        <v>265951.89762827242</v>
      </c>
      <c r="J213" s="81">
        <v>248469.81857633963</v>
      </c>
      <c r="K213" s="81">
        <v>292090.135760959</v>
      </c>
      <c r="L213" s="81">
        <v>292243.46473991452</v>
      </c>
      <c r="M213" s="81">
        <v>265073.49084569456</v>
      </c>
      <c r="N213" s="81">
        <v>267758.18151969661</v>
      </c>
      <c r="O213" s="81">
        <v>266416.44618182245</v>
      </c>
      <c r="P213" s="81">
        <v>241060.38311777671</v>
      </c>
      <c r="Q213" s="81">
        <v>242442.58510049561</v>
      </c>
      <c r="R213" s="81">
        <v>240152.45828239052</v>
      </c>
      <c r="S213" s="81">
        <v>215091.9746300751</v>
      </c>
      <c r="T213" s="81">
        <v>216970.03340230085</v>
      </c>
    </row>
    <row r="214" spans="2:20" outlineLevel="1" x14ac:dyDescent="0.15"/>
    <row r="215" spans="2:20" outlineLevel="1" x14ac:dyDescent="0.15">
      <c r="B215" s="16" t="str">
        <f>B216</f>
        <v>Total Liabilities</v>
      </c>
      <c r="I215" s="79" t="str">
        <f t="shared" ref="I215:T215" si="33">I$124</f>
        <v>Aug-23</v>
      </c>
      <c r="J215" s="79" t="str">
        <f t="shared" si="33"/>
        <v>Sep-23</v>
      </c>
      <c r="K215" s="79" t="str">
        <f t="shared" si="33"/>
        <v>Oct-23</v>
      </c>
      <c r="L215" s="79" t="str">
        <f t="shared" si="33"/>
        <v>Nov-23</v>
      </c>
      <c r="M215" s="79" t="str">
        <f t="shared" si="33"/>
        <v>Dec-23</v>
      </c>
      <c r="N215" s="79" t="str">
        <f t="shared" si="33"/>
        <v>Jan-24</v>
      </c>
      <c r="O215" s="79" t="str">
        <f t="shared" si="33"/>
        <v>Feb-24</v>
      </c>
      <c r="P215" s="79" t="str">
        <f t="shared" si="33"/>
        <v>Mar-24</v>
      </c>
      <c r="Q215" s="79" t="str">
        <f t="shared" si="33"/>
        <v>Apr-24</v>
      </c>
      <c r="R215" s="79" t="str">
        <f t="shared" si="33"/>
        <v>May-24</v>
      </c>
      <c r="S215" s="79" t="str">
        <f t="shared" si="33"/>
        <v>Jun-24</v>
      </c>
      <c r="T215" s="79" t="str">
        <f t="shared" si="33"/>
        <v>Jul-24</v>
      </c>
    </row>
    <row r="216" spans="2:20" hidden="1" outlineLevel="2" x14ac:dyDescent="0.15">
      <c r="B216" s="107" t="s">
        <v>110</v>
      </c>
      <c r="I216" s="81">
        <f ca="1">IF(Scen_Db_Data_Tables_Off,Scen_Db_Data_Tables_Status_Off,IF(I$123,OFFSET(Financials!J148,0,$H$127),0))</f>
        <v>265661.36947802152</v>
      </c>
      <c r="J216" s="81">
        <f ca="1">IF(Scen_Db_Data_Tables_Off,Scen_Db_Data_Tables_Status_Off,IF(J$123,OFFSET(Financials!K148,0,$H$127),0))</f>
        <v>255942.77468137455</v>
      </c>
      <c r="K216" s="81">
        <f ca="1">IF(Scen_Db_Data_Tables_Off,Scen_Db_Data_Tables_Status_Off,IF(K$123,OFFSET(Financials!L148,0,$H$127),0))</f>
        <v>307097.3175904344</v>
      </c>
      <c r="L216" s="81">
        <f ca="1">IF(Scen_Db_Data_Tables_Off,Scen_Db_Data_Tables_Status_Off,IF(L$123,OFFSET(Financials!M148,0,$H$127),0))</f>
        <v>313632.85329403443</v>
      </c>
      <c r="M216" s="81">
        <f ca="1">IF(Scen_Db_Data_Tables_Off,Scen_Db_Data_Tables_Status_Off,IF(M$123,OFFSET(Financials!N148,0,$H$127),0))</f>
        <v>296656.13139887224</v>
      </c>
      <c r="N216" s="81">
        <f ca="1">IF(Scen_Db_Data_Tables_Off,Scen_Db_Data_Tables_Status_Off,IF(N$123,OFFSET(Financials!O148,0,$H$127),0))</f>
        <v>307134.51021065377</v>
      </c>
      <c r="O216" s="81">
        <f ca="1">IF(Scen_Db_Data_Tables_Off,Scen_Db_Data_Tables_Status_Off,IF(O$123,OFFSET(Financials!P148,0,$H$127),0))</f>
        <v>313767.15068586409</v>
      </c>
      <c r="P216" s="81">
        <f ca="1">IF(Scen_Db_Data_Tables_Off,Scen_Db_Data_Tables_Status_Off,IF(P$123,OFFSET(Financials!Q148,0,$H$127),0))</f>
        <v>296366.89823499869</v>
      </c>
      <c r="Q216" s="81">
        <f ca="1">IF(Scen_Db_Data_Tables_Off,Scen_Db_Data_Tables_Status_Off,IF(Q$123,OFFSET(Financials!R148,0,$H$127),0))</f>
        <v>306961.32580500265</v>
      </c>
      <c r="R216" s="81">
        <f ca="1">IF(Scen_Db_Data_Tables_Off,Scen_Db_Data_Tables_Status_Off,IF(R$123,OFFSET(Financials!S148,0,$H$127),0))</f>
        <v>313085.97479460522</v>
      </c>
      <c r="S216" s="81">
        <f ca="1">IF(Scen_Db_Data_Tables_Off,Scen_Db_Data_Tables_Status_Off,IF(S$123,OFFSET(Financials!T148,0,$H$127),0))</f>
        <v>296224.09947606758</v>
      </c>
      <c r="T216" s="81">
        <f ca="1">IF(Scen_Db_Data_Tables_Off,Scen_Db_Data_Tables_Status_Off,IF(T$123,OFFSET(Financials!U148,0,$H$127),0))</f>
        <v>306974.49400321377</v>
      </c>
    </row>
    <row r="217" spans="2:20" hidden="1" outlineLevel="2" x14ac:dyDescent="0.15">
      <c r="B217" s="175" t="str">
        <f>"Active Case ("&amp;INDEX(LU_Scen_Db_Scenario_Names,Scen_Db_Active_Scenario)&amp;")"</f>
        <v>Active Case (Base Case)</v>
      </c>
      <c r="H217" s="80" t="s">
        <v>245</v>
      </c>
      <c r="I217" s="87">
        <f t="shared" ref="I217:T217" ca="1" si="34">I216</f>
        <v>265661.36947802152</v>
      </c>
      <c r="J217" s="87">
        <f t="shared" ca="1" si="34"/>
        <v>255942.77468137455</v>
      </c>
      <c r="K217" s="87">
        <f t="shared" ca="1" si="34"/>
        <v>307097.3175904344</v>
      </c>
      <c r="L217" s="87">
        <f t="shared" ca="1" si="34"/>
        <v>313632.85329403443</v>
      </c>
      <c r="M217" s="87">
        <f t="shared" ca="1" si="34"/>
        <v>296656.13139887224</v>
      </c>
      <c r="N217" s="87">
        <f t="shared" ca="1" si="34"/>
        <v>307134.51021065377</v>
      </c>
      <c r="O217" s="87">
        <f t="shared" ca="1" si="34"/>
        <v>313767.15068586409</v>
      </c>
      <c r="P217" s="87">
        <f t="shared" ca="1" si="34"/>
        <v>296366.89823499869</v>
      </c>
      <c r="Q217" s="87">
        <f t="shared" ca="1" si="34"/>
        <v>306961.32580500265</v>
      </c>
      <c r="R217" s="87">
        <f t="shared" ca="1" si="34"/>
        <v>313085.97479460522</v>
      </c>
      <c r="S217" s="87">
        <f t="shared" ca="1" si="34"/>
        <v>296224.09947606758</v>
      </c>
      <c r="T217" s="87">
        <f t="shared" ca="1" si="34"/>
        <v>306974.49400321377</v>
      </c>
    </row>
    <row r="218" spans="2:20" outlineLevel="1" collapsed="1" x14ac:dyDescent="0.15">
      <c r="B218" s="107" t="str">
        <f>INDEX(LU_Scen_Db_Scenario_Names,$H218)</f>
        <v>Base Case</v>
      </c>
      <c r="H218" s="82">
        <v>1</v>
      </c>
      <c r="I218" s="81">
        <f t="dataTable" ref="I218:T220" dt2D="0" dtr="0" r1="H130" ca="1"/>
        <v>265661.36947802152</v>
      </c>
      <c r="J218" s="81">
        <v>255942.77468137455</v>
      </c>
      <c r="K218" s="81">
        <v>307097.3175904344</v>
      </c>
      <c r="L218" s="81">
        <v>313632.85329403443</v>
      </c>
      <c r="M218" s="81">
        <v>296656.13139887224</v>
      </c>
      <c r="N218" s="81">
        <v>307134.51021065377</v>
      </c>
      <c r="O218" s="81">
        <v>313767.15068586409</v>
      </c>
      <c r="P218" s="81">
        <v>296366.89823499869</v>
      </c>
      <c r="Q218" s="81">
        <v>306961.32580500265</v>
      </c>
      <c r="R218" s="81">
        <v>313085.97479460522</v>
      </c>
      <c r="S218" s="81">
        <v>296224.09947606758</v>
      </c>
      <c r="T218" s="81">
        <v>306974.49400321377</v>
      </c>
    </row>
    <row r="219" spans="2:20" outlineLevel="1" x14ac:dyDescent="0.15">
      <c r="B219" s="107" t="str">
        <f>INDEX(LU_Scen_Db_Scenario_Names,$H219)</f>
        <v>Slower Growth</v>
      </c>
      <c r="H219" s="82">
        <v>2</v>
      </c>
      <c r="I219" s="81">
        <v>265661.36947802152</v>
      </c>
      <c r="J219" s="81">
        <v>255942.99279932253</v>
      </c>
      <c r="K219" s="81">
        <v>307097.55750175484</v>
      </c>
      <c r="L219" s="81">
        <v>313633.53615822148</v>
      </c>
      <c r="M219" s="81">
        <v>296656.29510002967</v>
      </c>
      <c r="N219" s="81">
        <v>307134.53267794196</v>
      </c>
      <c r="O219" s="81">
        <v>313767.26054365892</v>
      </c>
      <c r="P219" s="81">
        <v>296367.00461117679</v>
      </c>
      <c r="Q219" s="81">
        <v>306960.69991324801</v>
      </c>
      <c r="R219" s="81">
        <v>313084.96862654819</v>
      </c>
      <c r="S219" s="81">
        <v>296222.53970401059</v>
      </c>
      <c r="T219" s="81">
        <v>306973.55373789935</v>
      </c>
    </row>
    <row r="220" spans="2:20" outlineLevel="1" x14ac:dyDescent="0.15">
      <c r="B220" s="107" t="str">
        <f>INDEX(LU_Scen_Db_Scenario_Names,$H220)</f>
        <v>Faster Growth</v>
      </c>
      <c r="H220" s="82">
        <v>3</v>
      </c>
      <c r="I220" s="81">
        <v>265661.36947802152</v>
      </c>
      <c r="J220" s="81">
        <v>255942.55656342654</v>
      </c>
      <c r="K220" s="81">
        <v>307097.07767911395</v>
      </c>
      <c r="L220" s="81">
        <v>313632.17042984732</v>
      </c>
      <c r="M220" s="81">
        <v>296655.96769771486</v>
      </c>
      <c r="N220" s="81">
        <v>307134.48774336558</v>
      </c>
      <c r="O220" s="81">
        <v>313767.04082806926</v>
      </c>
      <c r="P220" s="81">
        <v>296366.79185882065</v>
      </c>
      <c r="Q220" s="81">
        <v>306961.95169675734</v>
      </c>
      <c r="R220" s="81">
        <v>313086.98096266226</v>
      </c>
      <c r="S220" s="81">
        <v>296225.65924812463</v>
      </c>
      <c r="T220" s="81">
        <v>306975.43426852819</v>
      </c>
    </row>
    <row r="221" spans="2:20" outlineLevel="1" x14ac:dyDescent="0.15"/>
    <row r="222" spans="2:20" outlineLevel="1" x14ac:dyDescent="0.15">
      <c r="B222" s="16" t="s">
        <v>103</v>
      </c>
      <c r="I222" s="79" t="str">
        <f t="shared" ref="I222:T222" si="35">I$124</f>
        <v>Aug-23</v>
      </c>
      <c r="J222" s="79" t="str">
        <f t="shared" si="35"/>
        <v>Sep-23</v>
      </c>
      <c r="K222" s="79" t="str">
        <f t="shared" si="35"/>
        <v>Oct-23</v>
      </c>
      <c r="L222" s="79" t="str">
        <f t="shared" si="35"/>
        <v>Nov-23</v>
      </c>
      <c r="M222" s="79" t="str">
        <f t="shared" si="35"/>
        <v>Dec-23</v>
      </c>
      <c r="N222" s="79" t="str">
        <f t="shared" si="35"/>
        <v>Jan-24</v>
      </c>
      <c r="O222" s="79" t="str">
        <f t="shared" si="35"/>
        <v>Feb-24</v>
      </c>
      <c r="P222" s="79" t="str">
        <f t="shared" si="35"/>
        <v>Mar-24</v>
      </c>
      <c r="Q222" s="79" t="str">
        <f t="shared" si="35"/>
        <v>Apr-24</v>
      </c>
      <c r="R222" s="79" t="str">
        <f t="shared" si="35"/>
        <v>May-24</v>
      </c>
      <c r="S222" s="79" t="str">
        <f t="shared" si="35"/>
        <v>Jun-24</v>
      </c>
      <c r="T222" s="79" t="str">
        <f t="shared" si="35"/>
        <v>Jul-24</v>
      </c>
    </row>
    <row r="223" spans="2:20" outlineLevel="1" x14ac:dyDescent="0.15">
      <c r="B223" s="107" t="str">
        <f>INDEX(LU_Scen_Db_Scenario_Names,$H223)</f>
        <v>Base Case</v>
      </c>
      <c r="H223" s="82">
        <v>1</v>
      </c>
      <c r="I223" s="81">
        <f t="shared" ref="I223:T223" si="36">IF(Scen_Db_Data_Tables_Off,Scen_Db_Data_Tables_Status_Off,I211-I218)</f>
        <v>290.5281502509024</v>
      </c>
      <c r="J223" s="81">
        <f t="shared" si="36"/>
        <v>-7592.1959496335767</v>
      </c>
      <c r="K223" s="81">
        <f t="shared" si="36"/>
        <v>-15321.6612093898</v>
      </c>
      <c r="L223" s="81">
        <f t="shared" si="36"/>
        <v>-22014.199503167649</v>
      </c>
      <c r="M223" s="81">
        <f t="shared" si="36"/>
        <v>-32378.982977237843</v>
      </c>
      <c r="N223" s="81">
        <f t="shared" si="36"/>
        <v>-40533.519575961865</v>
      </c>
      <c r="O223" s="81">
        <f t="shared" si="36"/>
        <v>-48953.767948939698</v>
      </c>
      <c r="P223" s="81">
        <f t="shared" si="36"/>
        <v>-57406.661374364747</v>
      </c>
      <c r="Q223" s="81">
        <f t="shared" si="36"/>
        <v>-67051.362793635897</v>
      </c>
      <c r="R223" s="81">
        <f t="shared" si="36"/>
        <v>-76023.103190794296</v>
      </c>
      <c r="S223" s="81">
        <f t="shared" si="36"/>
        <v>-84811.903555238765</v>
      </c>
      <c r="T223" s="81">
        <f t="shared" si="36"/>
        <v>-94259.572887562797</v>
      </c>
    </row>
    <row r="224" spans="2:20" outlineLevel="1" x14ac:dyDescent="0.15">
      <c r="B224" s="107" t="str">
        <f>INDEX(LU_Scen_Db_Scenario_Names,$H224)</f>
        <v>Slower Growth</v>
      </c>
      <c r="H224" s="82">
        <v>2</v>
      </c>
      <c r="I224" s="81">
        <f t="shared" ref="I224:T224" si="37">IF(Scen_Db_Data_Tables_Off,Scen_Db_Data_Tables_Status_Off,I212-I219)</f>
        <v>290.5281502509024</v>
      </c>
      <c r="J224" s="81">
        <f t="shared" si="37"/>
        <v>-7711.6539121802198</v>
      </c>
      <c r="K224" s="81">
        <f t="shared" si="37"/>
        <v>-15636.380500624655</v>
      </c>
      <c r="L224" s="81">
        <f t="shared" si="37"/>
        <v>-22639.693316402438</v>
      </c>
      <c r="M224" s="81">
        <f t="shared" si="37"/>
        <v>-33175.489102455555</v>
      </c>
      <c r="N224" s="81">
        <f t="shared" si="37"/>
        <v>-41690.732928254816</v>
      </c>
      <c r="O224" s="81">
        <f t="shared" si="37"/>
        <v>-50556.941251632583</v>
      </c>
      <c r="P224" s="81">
        <f t="shared" si="37"/>
        <v>-59506.914007685671</v>
      </c>
      <c r="Q224" s="81">
        <f t="shared" si="37"/>
        <v>-69583.358991010115</v>
      </c>
      <c r="R224" s="81">
        <f t="shared" si="37"/>
        <v>-79111.683701316884</v>
      </c>
      <c r="S224" s="81">
        <f t="shared" si="37"/>
        <v>-88490.122492428054</v>
      </c>
      <c r="T224" s="81">
        <f t="shared" si="37"/>
        <v>-98513.744908898283</v>
      </c>
    </row>
    <row r="225" spans="2:20" outlineLevel="1" x14ac:dyDescent="0.15">
      <c r="B225" s="107" t="str">
        <f>INDEX(LU_Scen_Db_Scenario_Names,$H225)</f>
        <v>Faster Growth</v>
      </c>
      <c r="H225" s="82">
        <v>3</v>
      </c>
      <c r="I225" s="81">
        <f t="shared" ref="I225:T225" si="38">IF(Scen_Db_Data_Tables_Off,Scen_Db_Data_Tables_Status_Off,I213-I220)</f>
        <v>290.5281502509024</v>
      </c>
      <c r="J225" s="81">
        <f t="shared" si="38"/>
        <v>-7472.7379870869045</v>
      </c>
      <c r="K225" s="81">
        <f t="shared" si="38"/>
        <v>-15006.941918154946</v>
      </c>
      <c r="L225" s="81">
        <f t="shared" si="38"/>
        <v>-21388.705689932802</v>
      </c>
      <c r="M225" s="81">
        <f t="shared" si="38"/>
        <v>-31582.476852020307</v>
      </c>
      <c r="N225" s="81">
        <f t="shared" si="38"/>
        <v>-39376.306223668973</v>
      </c>
      <c r="O225" s="81">
        <f t="shared" si="38"/>
        <v>-47350.594646246813</v>
      </c>
      <c r="P225" s="81">
        <f t="shared" si="38"/>
        <v>-55306.408741043939</v>
      </c>
      <c r="Q225" s="81">
        <f t="shared" si="38"/>
        <v>-64519.366596261738</v>
      </c>
      <c r="R225" s="81">
        <f t="shared" si="38"/>
        <v>-72934.522680271737</v>
      </c>
      <c r="S225" s="81">
        <f t="shared" si="38"/>
        <v>-81133.684618049534</v>
      </c>
      <c r="T225" s="81">
        <f t="shared" si="38"/>
        <v>-90005.400866227341</v>
      </c>
    </row>
    <row r="226" spans="2:20" outlineLevel="1" x14ac:dyDescent="0.15"/>
    <row r="227" spans="2:20" outlineLevel="1" x14ac:dyDescent="0.15">
      <c r="B227" s="108" t="s">
        <v>116</v>
      </c>
      <c r="C227" s="108"/>
      <c r="D227" s="108"/>
      <c r="E227" s="108"/>
      <c r="F227" s="108"/>
      <c r="G227" s="108"/>
      <c r="H227" s="108"/>
      <c r="I227" s="108"/>
      <c r="J227" s="108"/>
      <c r="K227" s="108"/>
      <c r="L227" s="108"/>
      <c r="M227" s="108"/>
      <c r="N227" s="108"/>
      <c r="O227" s="108"/>
      <c r="P227" s="108"/>
      <c r="Q227" s="108"/>
      <c r="R227" s="108"/>
      <c r="S227" s="108"/>
      <c r="T227" s="108"/>
    </row>
    <row r="228" spans="2:20" outlineLevel="1" x14ac:dyDescent="0.15"/>
    <row r="229" spans="2:20" outlineLevel="1" x14ac:dyDescent="0.15">
      <c r="B229" s="16" t="str">
        <f>B230</f>
        <v>Operating Cash Flows</v>
      </c>
      <c r="I229" s="79" t="str">
        <f t="shared" ref="I229:T229" si="39">I$124</f>
        <v>Aug-23</v>
      </c>
      <c r="J229" s="79" t="str">
        <f t="shared" si="39"/>
        <v>Sep-23</v>
      </c>
      <c r="K229" s="79" t="str">
        <f t="shared" si="39"/>
        <v>Oct-23</v>
      </c>
      <c r="L229" s="79" t="str">
        <f t="shared" si="39"/>
        <v>Nov-23</v>
      </c>
      <c r="M229" s="79" t="str">
        <f t="shared" si="39"/>
        <v>Dec-23</v>
      </c>
      <c r="N229" s="79" t="str">
        <f t="shared" si="39"/>
        <v>Jan-24</v>
      </c>
      <c r="O229" s="79" t="str">
        <f t="shared" si="39"/>
        <v>Feb-24</v>
      </c>
      <c r="P229" s="79" t="str">
        <f t="shared" si="39"/>
        <v>Mar-24</v>
      </c>
      <c r="Q229" s="79" t="str">
        <f t="shared" si="39"/>
        <v>Apr-24</v>
      </c>
      <c r="R229" s="79" t="str">
        <f t="shared" si="39"/>
        <v>May-24</v>
      </c>
      <c r="S229" s="79" t="str">
        <f t="shared" si="39"/>
        <v>Jun-24</v>
      </c>
      <c r="T229" s="79" t="str">
        <f t="shared" si="39"/>
        <v>Jul-24</v>
      </c>
    </row>
    <row r="230" spans="2:20" hidden="1" outlineLevel="2" x14ac:dyDescent="0.15">
      <c r="B230" s="107" t="s">
        <v>132</v>
      </c>
      <c r="I230" s="81">
        <f ca="1">IF(Scen_Db_Data_Tables_Off,Scen_Db_Data_Tables_Status_Off,IF(I$123,OFFSET(Financials!J240,0,$H$127),0))</f>
        <v>-44839.13014950537</v>
      </c>
      <c r="J230" s="81">
        <f ca="1">IF(Scen_Db_Data_Tables_Off,Scen_Db_Data_Tables_Status_Off,IF(J$123,OFFSET(Financials!K240,0,$H$127),0))</f>
        <v>-11801.124452086973</v>
      </c>
      <c r="K230" s="81">
        <f ca="1">IF(Scen_Db_Data_Tables_Off,Scen_Db_Data_Tables_Status_Off,IF(K$123,OFFSET(Financials!L240,0,$H$127),0))</f>
        <v>49225.272093748041</v>
      </c>
      <c r="L230" s="81">
        <f ca="1">IF(Scen_Db_Data_Tables_Off,Scen_Db_Data_Tables_Status_Off,IF(L$123,OFFSET(Financials!M240,0,$H$127),0))</f>
        <v>5643.1918542666654</v>
      </c>
      <c r="M230" s="81">
        <f ca="1">IF(Scen_Db_Data_Tables_Off,Scen_Db_Data_Tables_Status_Off,IF(M$123,OFFSET(Financials!N240,0,$H$127),0))</f>
        <v>-21541.310924787958</v>
      </c>
      <c r="N230" s="81">
        <f ca="1">IF(Scen_Db_Data_Tables_Off,Scen_Db_Data_Tables_Status_Off,IF(N$123,OFFSET(Financials!O240,0,$H$127),0))</f>
        <v>8124.0366575019361</v>
      </c>
      <c r="O230" s="81">
        <f ca="1">IF(Scen_Db_Data_Tables_Off,Scen_Db_Data_Tables_Status_Off,IF(O$123,OFFSET(Financials!P240,0,$H$127),0))</f>
        <v>4012.5865466769901</v>
      </c>
      <c r="P230" s="81">
        <f ca="1">IF(Scen_Db_Data_Tables_Off,Scen_Db_Data_Tables_Status_Off,IF(P$123,OFFSET(Financials!Q240,0,$H$127),0))</f>
        <v>-20052.951431846024</v>
      </c>
      <c r="Q230" s="81">
        <f ca="1">IF(Scen_Db_Data_Tables_Off,Scen_Db_Data_Tables_Status_Off,IF(Q$123,OFFSET(Financials!R240,0,$H$127),0))</f>
        <v>6749.9205951772892</v>
      </c>
      <c r="R230" s="81">
        <f ca="1">IF(Scen_Db_Data_Tables_Off,Scen_Db_Data_Tables_Status_Off,IF(R$123,OFFSET(Financials!S240,0,$H$127),0))</f>
        <v>2953.1030368886022</v>
      </c>
      <c r="S230" s="81">
        <f ca="1">IF(Scen_Db_Data_Tables_Off,Scen_Db_Data_Tables_Status_Off,IF(S$123,OFFSET(Financials!T240,0,$H$127),0))</f>
        <v>-19850.481238537635</v>
      </c>
      <c r="T230" s="81">
        <f ca="1">IF(Scen_Db_Data_Tables_Off,Scen_Db_Data_Tables_Status_Off,IF(T$123,OFFSET(Financials!U240,0,$H$127),0))</f>
        <v>7102.9196392665808</v>
      </c>
    </row>
    <row r="231" spans="2:20" hidden="1" outlineLevel="2" x14ac:dyDescent="0.15">
      <c r="B231" s="175" t="str">
        <f>"Active Case ("&amp;INDEX(LU_Scen_Db_Scenario_Names,Scen_Db_Active_Scenario)&amp;")"</f>
        <v>Active Case (Base Case)</v>
      </c>
      <c r="H231" s="80" t="s">
        <v>245</v>
      </c>
      <c r="I231" s="87">
        <f t="shared" ref="I231:T231" ca="1" si="40">I230</f>
        <v>-44839.13014950537</v>
      </c>
      <c r="J231" s="87">
        <f t="shared" ca="1" si="40"/>
        <v>-11801.124452086973</v>
      </c>
      <c r="K231" s="87">
        <f t="shared" ca="1" si="40"/>
        <v>49225.272093748041</v>
      </c>
      <c r="L231" s="87">
        <f t="shared" ca="1" si="40"/>
        <v>5643.1918542666654</v>
      </c>
      <c r="M231" s="87">
        <f t="shared" ca="1" si="40"/>
        <v>-21541.310924787958</v>
      </c>
      <c r="N231" s="87">
        <f t="shared" ca="1" si="40"/>
        <v>8124.0366575019361</v>
      </c>
      <c r="O231" s="87">
        <f t="shared" ca="1" si="40"/>
        <v>4012.5865466769901</v>
      </c>
      <c r="P231" s="87">
        <f t="shared" ca="1" si="40"/>
        <v>-20052.951431846024</v>
      </c>
      <c r="Q231" s="87">
        <f t="shared" ca="1" si="40"/>
        <v>6749.9205951772892</v>
      </c>
      <c r="R231" s="87">
        <f t="shared" ca="1" si="40"/>
        <v>2953.1030368886022</v>
      </c>
      <c r="S231" s="87">
        <f t="shared" ca="1" si="40"/>
        <v>-19850.481238537635</v>
      </c>
      <c r="T231" s="87">
        <f t="shared" ca="1" si="40"/>
        <v>7102.9196392665808</v>
      </c>
    </row>
    <row r="232" spans="2:20" outlineLevel="1" collapsed="1" x14ac:dyDescent="0.15">
      <c r="B232" s="107" t="str">
        <f>INDEX(LU_Scen_Db_Scenario_Names,$H232)</f>
        <v>Base Case</v>
      </c>
      <c r="H232" s="82">
        <v>1</v>
      </c>
      <c r="I232" s="81">
        <f t="dataTable" ref="I232:T234" dt2D="0" dtr="0" r1="H130" ca="1"/>
        <v>-44839.13014950537</v>
      </c>
      <c r="J232" s="81">
        <v>-11801.124452086973</v>
      </c>
      <c r="K232" s="81">
        <v>49225.272093748041</v>
      </c>
      <c r="L232" s="81">
        <v>5643.1918542666654</v>
      </c>
      <c r="M232" s="81">
        <v>-21541.310924787958</v>
      </c>
      <c r="N232" s="81">
        <v>8124.0366575019361</v>
      </c>
      <c r="O232" s="81">
        <v>4012.5865466769901</v>
      </c>
      <c r="P232" s="81">
        <v>-20052.951431846024</v>
      </c>
      <c r="Q232" s="81">
        <v>6749.9205951772892</v>
      </c>
      <c r="R232" s="81">
        <v>2953.1030368886022</v>
      </c>
      <c r="S232" s="81">
        <v>-19850.481238537635</v>
      </c>
      <c r="T232" s="81">
        <v>7102.9196392665808</v>
      </c>
    </row>
    <row r="233" spans="2:20" outlineLevel="1" x14ac:dyDescent="0.15">
      <c r="B233" s="107" t="str">
        <f>INDEX(LU_Scen_Db_Scenario_Names,$H233)</f>
        <v>Slower Growth</v>
      </c>
      <c r="H233" s="82">
        <v>2</v>
      </c>
      <c r="I233" s="81">
        <v>-44839.13014950537</v>
      </c>
      <c r="J233" s="81">
        <v>-11920.364296685639</v>
      </c>
      <c r="K233" s="81">
        <v>49030.032558432293</v>
      </c>
      <c r="L233" s="81">
        <v>5332.8602851333317</v>
      </c>
      <c r="M233" s="81">
        <v>-21712.842399800433</v>
      </c>
      <c r="N233" s="81">
        <v>7763.1881965574212</v>
      </c>
      <c r="O233" s="81">
        <v>3566.7139867836577</v>
      </c>
      <c r="P233" s="81">
        <v>-20550.034244090755</v>
      </c>
      <c r="Q233" s="81">
        <v>6317.4447631912253</v>
      </c>
      <c r="R233" s="81">
        <v>2396.1384474378501</v>
      </c>
      <c r="S233" s="81">
        <v>-20440.673269204301</v>
      </c>
      <c r="T233" s="81">
        <v>6527.5860618629677</v>
      </c>
    </row>
    <row r="234" spans="2:20" outlineLevel="1" x14ac:dyDescent="0.15">
      <c r="B234" s="107" t="str">
        <f>INDEX(LU_Scen_Db_Scenario_Names,$H234)</f>
        <v>Faster Growth</v>
      </c>
      <c r="H234" s="82">
        <v>3</v>
      </c>
      <c r="I234" s="81">
        <v>-44839.13014950537</v>
      </c>
      <c r="J234" s="81">
        <v>-11681.884607488304</v>
      </c>
      <c r="K234" s="81">
        <v>49420.511629063782</v>
      </c>
      <c r="L234" s="81">
        <v>5953.5234234</v>
      </c>
      <c r="M234" s="81">
        <v>-21369.779449775488</v>
      </c>
      <c r="N234" s="81">
        <v>8484.8851184464547</v>
      </c>
      <c r="O234" s="81">
        <v>4458.4591065703207</v>
      </c>
      <c r="P234" s="81">
        <v>-19555.868619601293</v>
      </c>
      <c r="Q234" s="81">
        <v>7182.3964271633558</v>
      </c>
      <c r="R234" s="81">
        <v>3510.0676263393552</v>
      </c>
      <c r="S234" s="81">
        <v>-19260.28920787097</v>
      </c>
      <c r="T234" s="81">
        <v>7678.2532166701931</v>
      </c>
    </row>
    <row r="235" spans="2:20" outlineLevel="1" x14ac:dyDescent="0.15"/>
    <row r="236" spans="2:20" outlineLevel="1" x14ac:dyDescent="0.15">
      <c r="B236" s="16" t="str">
        <f>B237</f>
        <v>Investing Cash Flows</v>
      </c>
      <c r="I236" s="79" t="str">
        <f t="shared" ref="I236:T236" si="41">I$124</f>
        <v>Aug-23</v>
      </c>
      <c r="J236" s="79" t="str">
        <f t="shared" si="41"/>
        <v>Sep-23</v>
      </c>
      <c r="K236" s="79" t="str">
        <f t="shared" si="41"/>
        <v>Oct-23</v>
      </c>
      <c r="L236" s="79" t="str">
        <f t="shared" si="41"/>
        <v>Nov-23</v>
      </c>
      <c r="M236" s="79" t="str">
        <f t="shared" si="41"/>
        <v>Dec-23</v>
      </c>
      <c r="N236" s="79" t="str">
        <f t="shared" si="41"/>
        <v>Jan-24</v>
      </c>
      <c r="O236" s="79" t="str">
        <f t="shared" si="41"/>
        <v>Feb-24</v>
      </c>
      <c r="P236" s="79" t="str">
        <f t="shared" si="41"/>
        <v>Mar-24</v>
      </c>
      <c r="Q236" s="79" t="str">
        <f t="shared" si="41"/>
        <v>Apr-24</v>
      </c>
      <c r="R236" s="79" t="str">
        <f t="shared" si="41"/>
        <v>May-24</v>
      </c>
      <c r="S236" s="79" t="str">
        <f t="shared" si="41"/>
        <v>Jun-24</v>
      </c>
      <c r="T236" s="79" t="str">
        <f t="shared" si="41"/>
        <v>Jul-24</v>
      </c>
    </row>
    <row r="237" spans="2:20" hidden="1" outlineLevel="2" x14ac:dyDescent="0.15">
      <c r="B237" s="107" t="s">
        <v>135</v>
      </c>
      <c r="I237" s="81">
        <f ca="1">IF(Scen_Db_Data_Tables_Off,Scen_Db_Data_Tables_Status_Off,IF(I$123,OFFSET(Financials!J249,0,$H$127),0))</f>
        <v>-210000</v>
      </c>
      <c r="J237" s="81">
        <f ca="1">IF(Scen_Db_Data_Tables_Off,Scen_Db_Data_Tables_Status_Off,IF(J$123,OFFSET(Financials!K249,0,$H$127),0))</f>
        <v>0</v>
      </c>
      <c r="K237" s="81">
        <f ca="1">IF(Scen_Db_Data_Tables_Off,Scen_Db_Data_Tables_Status_Off,IF(K$123,OFFSET(Financials!L249,0,$H$127),0))</f>
        <v>0</v>
      </c>
      <c r="L237" s="81">
        <f ca="1">IF(Scen_Db_Data_Tables_Off,Scen_Db_Data_Tables_Status_Off,IF(L$123,OFFSET(Financials!M249,0,$H$127),0))</f>
        <v>0</v>
      </c>
      <c r="M237" s="81">
        <f ca="1">IF(Scen_Db_Data_Tables_Off,Scen_Db_Data_Tables_Status_Off,IF(M$123,OFFSET(Financials!N249,0,$H$127),0))</f>
        <v>0</v>
      </c>
      <c r="N237" s="81">
        <f ca="1">IF(Scen_Db_Data_Tables_Off,Scen_Db_Data_Tables_Status_Off,IF(N$123,OFFSET(Financials!O249,0,$H$127),0))</f>
        <v>0</v>
      </c>
      <c r="O237" s="81">
        <f ca="1">IF(Scen_Db_Data_Tables_Off,Scen_Db_Data_Tables_Status_Off,IF(O$123,OFFSET(Financials!P249,0,$H$127),0))</f>
        <v>0</v>
      </c>
      <c r="P237" s="81">
        <f ca="1">IF(Scen_Db_Data_Tables_Off,Scen_Db_Data_Tables_Status_Off,IF(P$123,OFFSET(Financials!Q249,0,$H$127),0))</f>
        <v>0</v>
      </c>
      <c r="Q237" s="81">
        <f ca="1">IF(Scen_Db_Data_Tables_Off,Scen_Db_Data_Tables_Status_Off,IF(Q$123,OFFSET(Financials!R249,0,$H$127),0))</f>
        <v>0</v>
      </c>
      <c r="R237" s="81">
        <f ca="1">IF(Scen_Db_Data_Tables_Off,Scen_Db_Data_Tables_Status_Off,IF(R$123,OFFSET(Financials!S249,0,$H$127),0))</f>
        <v>0</v>
      </c>
      <c r="S237" s="81">
        <f ca="1">IF(Scen_Db_Data_Tables_Off,Scen_Db_Data_Tables_Status_Off,IF(S$123,OFFSET(Financials!T249,0,$H$127),0))</f>
        <v>0</v>
      </c>
      <c r="T237" s="81">
        <f ca="1">IF(Scen_Db_Data_Tables_Off,Scen_Db_Data_Tables_Status_Off,IF(T$123,OFFSET(Financials!U249,0,$H$127),0))</f>
        <v>0</v>
      </c>
    </row>
    <row r="238" spans="2:20" hidden="1" outlineLevel="2" x14ac:dyDescent="0.15">
      <c r="B238" s="175" t="str">
        <f>"Active Case ("&amp;INDEX(LU_Scen_Db_Scenario_Names,Scen_Db_Active_Scenario)&amp;")"</f>
        <v>Active Case (Base Case)</v>
      </c>
      <c r="H238" s="80" t="s">
        <v>245</v>
      </c>
      <c r="I238" s="87">
        <f t="shared" ref="I238:T238" ca="1" si="42">I237</f>
        <v>-210000</v>
      </c>
      <c r="J238" s="87">
        <f t="shared" ca="1" si="42"/>
        <v>0</v>
      </c>
      <c r="K238" s="87">
        <f t="shared" ca="1" si="42"/>
        <v>0</v>
      </c>
      <c r="L238" s="87">
        <f t="shared" ca="1" si="42"/>
        <v>0</v>
      </c>
      <c r="M238" s="87">
        <f t="shared" ca="1" si="42"/>
        <v>0</v>
      </c>
      <c r="N238" s="87">
        <f t="shared" ca="1" si="42"/>
        <v>0</v>
      </c>
      <c r="O238" s="87">
        <f t="shared" ca="1" si="42"/>
        <v>0</v>
      </c>
      <c r="P238" s="87">
        <f t="shared" ca="1" si="42"/>
        <v>0</v>
      </c>
      <c r="Q238" s="87">
        <f t="shared" ca="1" si="42"/>
        <v>0</v>
      </c>
      <c r="R238" s="87">
        <f t="shared" ca="1" si="42"/>
        <v>0</v>
      </c>
      <c r="S238" s="87">
        <f t="shared" ca="1" si="42"/>
        <v>0</v>
      </c>
      <c r="T238" s="87">
        <f t="shared" ca="1" si="42"/>
        <v>0</v>
      </c>
    </row>
    <row r="239" spans="2:20" outlineLevel="1" collapsed="1" x14ac:dyDescent="0.15">
      <c r="B239" s="107" t="str">
        <f>INDEX(LU_Scen_Db_Scenario_Names,$H239)</f>
        <v>Base Case</v>
      </c>
      <c r="H239" s="82">
        <v>1</v>
      </c>
      <c r="I239" s="81">
        <f t="dataTable" ref="I239:T241" dt2D="0" dtr="0" r1="H130" ca="1"/>
        <v>-210000</v>
      </c>
      <c r="J239" s="81">
        <v>0</v>
      </c>
      <c r="K239" s="81">
        <v>0</v>
      </c>
      <c r="L239" s="81">
        <v>0</v>
      </c>
      <c r="M239" s="81">
        <v>0</v>
      </c>
      <c r="N239" s="81">
        <v>0</v>
      </c>
      <c r="O239" s="81">
        <v>0</v>
      </c>
      <c r="P239" s="81">
        <v>0</v>
      </c>
      <c r="Q239" s="81">
        <v>0</v>
      </c>
      <c r="R239" s="81">
        <v>0</v>
      </c>
      <c r="S239" s="81">
        <v>0</v>
      </c>
      <c r="T239" s="81">
        <v>0</v>
      </c>
    </row>
    <row r="240" spans="2:20" outlineLevel="1" x14ac:dyDescent="0.15">
      <c r="B240" s="107" t="str">
        <f>INDEX(LU_Scen_Db_Scenario_Names,$H240)</f>
        <v>Slower Growth</v>
      </c>
      <c r="H240" s="82">
        <v>2</v>
      </c>
      <c r="I240" s="81">
        <v>-210000</v>
      </c>
      <c r="J240" s="81">
        <v>0</v>
      </c>
      <c r="K240" s="81">
        <v>0</v>
      </c>
      <c r="L240" s="81">
        <v>0</v>
      </c>
      <c r="M240" s="81">
        <v>0</v>
      </c>
      <c r="N240" s="81">
        <v>0</v>
      </c>
      <c r="O240" s="81">
        <v>0</v>
      </c>
      <c r="P240" s="81">
        <v>0</v>
      </c>
      <c r="Q240" s="81">
        <v>0</v>
      </c>
      <c r="R240" s="81">
        <v>0</v>
      </c>
      <c r="S240" s="81">
        <v>0</v>
      </c>
      <c r="T240" s="81">
        <v>0</v>
      </c>
    </row>
    <row r="241" spans="2:20" outlineLevel="1" x14ac:dyDescent="0.15">
      <c r="B241" s="107" t="str">
        <f>INDEX(LU_Scen_Db_Scenario_Names,$H241)</f>
        <v>Faster Growth</v>
      </c>
      <c r="H241" s="82">
        <v>3</v>
      </c>
      <c r="I241" s="81">
        <v>-210000</v>
      </c>
      <c r="J241" s="81">
        <v>0</v>
      </c>
      <c r="K241" s="81">
        <v>0</v>
      </c>
      <c r="L241" s="81">
        <v>0</v>
      </c>
      <c r="M241" s="81">
        <v>0</v>
      </c>
      <c r="N241" s="81">
        <v>0</v>
      </c>
      <c r="O241" s="81">
        <v>0</v>
      </c>
      <c r="P241" s="81">
        <v>0</v>
      </c>
      <c r="Q241" s="81">
        <v>0</v>
      </c>
      <c r="R241" s="81">
        <v>0</v>
      </c>
      <c r="S241" s="81">
        <v>0</v>
      </c>
      <c r="T241" s="81">
        <v>0</v>
      </c>
    </row>
    <row r="242" spans="2:20" outlineLevel="1" x14ac:dyDescent="0.15"/>
    <row r="243" spans="2:20" outlineLevel="1" x14ac:dyDescent="0.15">
      <c r="B243" s="16" t="str">
        <f>B244</f>
        <v>Financing Cash Flows</v>
      </c>
      <c r="I243" s="79" t="str">
        <f t="shared" ref="I243:T243" si="43">I$124</f>
        <v>Aug-23</v>
      </c>
      <c r="J243" s="79" t="str">
        <f t="shared" si="43"/>
        <v>Sep-23</v>
      </c>
      <c r="K243" s="79" t="str">
        <f t="shared" si="43"/>
        <v>Oct-23</v>
      </c>
      <c r="L243" s="79" t="str">
        <f t="shared" si="43"/>
        <v>Nov-23</v>
      </c>
      <c r="M243" s="79" t="str">
        <f t="shared" si="43"/>
        <v>Dec-23</v>
      </c>
      <c r="N243" s="79" t="str">
        <f t="shared" si="43"/>
        <v>Jan-24</v>
      </c>
      <c r="O243" s="79" t="str">
        <f t="shared" si="43"/>
        <v>Feb-24</v>
      </c>
      <c r="P243" s="79" t="str">
        <f t="shared" si="43"/>
        <v>Mar-24</v>
      </c>
      <c r="Q243" s="79" t="str">
        <f t="shared" si="43"/>
        <v>Apr-24</v>
      </c>
      <c r="R243" s="79" t="str">
        <f t="shared" si="43"/>
        <v>May-24</v>
      </c>
      <c r="S243" s="79" t="str">
        <f t="shared" si="43"/>
        <v>Jun-24</v>
      </c>
      <c r="T243" s="79" t="str">
        <f t="shared" si="43"/>
        <v>Jul-24</v>
      </c>
    </row>
    <row r="244" spans="2:20" hidden="1" outlineLevel="2" x14ac:dyDescent="0.15">
      <c r="B244" s="107" t="s">
        <v>143</v>
      </c>
      <c r="I244" s="81">
        <f ca="1">IF(Scen_Db_Data_Tables_Off,Scen_Db_Data_Tables_Status_Off,IF(I$123,OFFSET(Financials!J269,0,$H$127),0))</f>
        <v>300000</v>
      </c>
      <c r="J244" s="81">
        <f ca="1">IF(Scen_Db_Data_Tables_Off,Scen_Db_Data_Tables_Status_Off,IF(J$123,OFFSET(Financials!K269,0,$H$127),0))</f>
        <v>0</v>
      </c>
      <c r="K244" s="81">
        <f ca="1">IF(Scen_Db_Data_Tables_Off,Scen_Db_Data_Tables_Status_Off,IF(K$123,OFFSET(Financials!L269,0,$H$127),0))</f>
        <v>0</v>
      </c>
      <c r="L244" s="81">
        <f ca="1">IF(Scen_Db_Data_Tables_Off,Scen_Db_Data_Tables_Status_Off,IF(L$123,OFFSET(Financials!M269,0,$H$127),0))</f>
        <v>0</v>
      </c>
      <c r="M244" s="81">
        <f ca="1">IF(Scen_Db_Data_Tables_Off,Scen_Db_Data_Tables_Status_Off,IF(M$123,OFFSET(Financials!N269,0,$H$127),0))</f>
        <v>0</v>
      </c>
      <c r="N244" s="81">
        <f ca="1">IF(Scen_Db_Data_Tables_Off,Scen_Db_Data_Tables_Status_Off,IF(N$123,OFFSET(Financials!O269,0,$H$127),0))</f>
        <v>0</v>
      </c>
      <c r="O244" s="81">
        <f ca="1">IF(Scen_Db_Data_Tables_Off,Scen_Db_Data_Tables_Status_Off,IF(O$123,OFFSET(Financials!P269,0,$H$127),0))</f>
        <v>0</v>
      </c>
      <c r="P244" s="81">
        <f ca="1">IF(Scen_Db_Data_Tables_Off,Scen_Db_Data_Tables_Status_Off,IF(P$123,OFFSET(Financials!Q269,0,$H$127),0))</f>
        <v>0</v>
      </c>
      <c r="Q244" s="81">
        <f ca="1">IF(Scen_Db_Data_Tables_Off,Scen_Db_Data_Tables_Status_Off,IF(Q$123,OFFSET(Financials!R269,0,$H$127),0))</f>
        <v>0</v>
      </c>
      <c r="R244" s="81">
        <f ca="1">IF(Scen_Db_Data_Tables_Off,Scen_Db_Data_Tables_Status_Off,IF(R$123,OFFSET(Financials!S269,0,$H$127),0))</f>
        <v>0</v>
      </c>
      <c r="S244" s="81">
        <f ca="1">IF(Scen_Db_Data_Tables_Off,Scen_Db_Data_Tables_Status_Off,IF(S$123,OFFSET(Financials!T269,0,$H$127),0))</f>
        <v>0</v>
      </c>
      <c r="T244" s="81">
        <f ca="1">IF(Scen_Db_Data_Tables_Off,Scen_Db_Data_Tables_Status_Off,IF(T$123,OFFSET(Financials!U269,0,$H$127),0))</f>
        <v>0</v>
      </c>
    </row>
    <row r="245" spans="2:20" hidden="1" outlineLevel="2" x14ac:dyDescent="0.15">
      <c r="B245" s="175" t="str">
        <f>"Active Case ("&amp;INDEX(LU_Scen_Db_Scenario_Names,Scen_Db_Active_Scenario)&amp;")"</f>
        <v>Active Case (Base Case)</v>
      </c>
      <c r="H245" s="80" t="s">
        <v>245</v>
      </c>
      <c r="I245" s="87">
        <f t="shared" ref="I245:T245" ca="1" si="44">I244</f>
        <v>300000</v>
      </c>
      <c r="J245" s="87">
        <f t="shared" ca="1" si="44"/>
        <v>0</v>
      </c>
      <c r="K245" s="87">
        <f t="shared" ca="1" si="44"/>
        <v>0</v>
      </c>
      <c r="L245" s="87">
        <f t="shared" ca="1" si="44"/>
        <v>0</v>
      </c>
      <c r="M245" s="87">
        <f t="shared" ca="1" si="44"/>
        <v>0</v>
      </c>
      <c r="N245" s="87">
        <f t="shared" ca="1" si="44"/>
        <v>0</v>
      </c>
      <c r="O245" s="87">
        <f t="shared" ca="1" si="44"/>
        <v>0</v>
      </c>
      <c r="P245" s="87">
        <f t="shared" ca="1" si="44"/>
        <v>0</v>
      </c>
      <c r="Q245" s="87">
        <f t="shared" ca="1" si="44"/>
        <v>0</v>
      </c>
      <c r="R245" s="87">
        <f t="shared" ca="1" si="44"/>
        <v>0</v>
      </c>
      <c r="S245" s="87">
        <f t="shared" ca="1" si="44"/>
        <v>0</v>
      </c>
      <c r="T245" s="87">
        <f t="shared" ca="1" si="44"/>
        <v>0</v>
      </c>
    </row>
    <row r="246" spans="2:20" outlineLevel="1" collapsed="1" x14ac:dyDescent="0.15">
      <c r="B246" s="107" t="str">
        <f>INDEX(LU_Scen_Db_Scenario_Names,$H246)</f>
        <v>Base Case</v>
      </c>
      <c r="H246" s="82">
        <v>1</v>
      </c>
      <c r="I246" s="81">
        <f t="dataTable" ref="I246:T248" dt2D="0" dtr="0" r1="H130" ca="1"/>
        <v>300000</v>
      </c>
      <c r="J246" s="81">
        <v>0</v>
      </c>
      <c r="K246" s="81">
        <v>0</v>
      </c>
      <c r="L246" s="81">
        <v>0</v>
      </c>
      <c r="M246" s="81">
        <v>0</v>
      </c>
      <c r="N246" s="81">
        <v>0</v>
      </c>
      <c r="O246" s="81">
        <v>0</v>
      </c>
      <c r="P246" s="81">
        <v>0</v>
      </c>
      <c r="Q246" s="81">
        <v>0</v>
      </c>
      <c r="R246" s="81">
        <v>0</v>
      </c>
      <c r="S246" s="81">
        <v>0</v>
      </c>
      <c r="T246" s="81">
        <v>0</v>
      </c>
    </row>
    <row r="247" spans="2:20" outlineLevel="1" x14ac:dyDescent="0.15">
      <c r="B247" s="107" t="str">
        <f>INDEX(LU_Scen_Db_Scenario_Names,$H247)</f>
        <v>Slower Growth</v>
      </c>
      <c r="H247" s="82">
        <v>2</v>
      </c>
      <c r="I247" s="81">
        <v>300000</v>
      </c>
      <c r="J247" s="81">
        <v>0</v>
      </c>
      <c r="K247" s="81">
        <v>0</v>
      </c>
      <c r="L247" s="81">
        <v>0</v>
      </c>
      <c r="M247" s="81">
        <v>0</v>
      </c>
      <c r="N247" s="81">
        <v>0</v>
      </c>
      <c r="O247" s="81">
        <v>0</v>
      </c>
      <c r="P247" s="81">
        <v>0</v>
      </c>
      <c r="Q247" s="81">
        <v>0</v>
      </c>
      <c r="R247" s="81">
        <v>0</v>
      </c>
      <c r="S247" s="81">
        <v>0</v>
      </c>
      <c r="T247" s="81">
        <v>0</v>
      </c>
    </row>
    <row r="248" spans="2:20" outlineLevel="1" x14ac:dyDescent="0.15">
      <c r="B248" s="107" t="str">
        <f>INDEX(LU_Scen_Db_Scenario_Names,$H248)</f>
        <v>Faster Growth</v>
      </c>
      <c r="H248" s="82">
        <v>3</v>
      </c>
      <c r="I248" s="81">
        <v>300000</v>
      </c>
      <c r="J248" s="81">
        <v>0</v>
      </c>
      <c r="K248" s="81">
        <v>0</v>
      </c>
      <c r="L248" s="81">
        <v>0</v>
      </c>
      <c r="M248" s="81">
        <v>0</v>
      </c>
      <c r="N248" s="81">
        <v>0</v>
      </c>
      <c r="O248" s="81">
        <v>0</v>
      </c>
      <c r="P248" s="81">
        <v>0</v>
      </c>
      <c r="Q248" s="81">
        <v>0</v>
      </c>
      <c r="R248" s="81">
        <v>0</v>
      </c>
      <c r="S248" s="81">
        <v>0</v>
      </c>
      <c r="T248" s="81">
        <v>0</v>
      </c>
    </row>
    <row r="249" spans="2:20" outlineLevel="1" x14ac:dyDescent="0.15"/>
    <row r="250" spans="2:20" outlineLevel="1" x14ac:dyDescent="0.15">
      <c r="B250" s="16" t="s">
        <v>144</v>
      </c>
      <c r="I250" s="79" t="str">
        <f t="shared" ref="I250:T250" si="45">I$124</f>
        <v>Aug-23</v>
      </c>
      <c r="J250" s="79" t="str">
        <f t="shared" si="45"/>
        <v>Sep-23</v>
      </c>
      <c r="K250" s="79" t="str">
        <f t="shared" si="45"/>
        <v>Oct-23</v>
      </c>
      <c r="L250" s="79" t="str">
        <f t="shared" si="45"/>
        <v>Nov-23</v>
      </c>
      <c r="M250" s="79" t="str">
        <f t="shared" si="45"/>
        <v>Dec-23</v>
      </c>
      <c r="N250" s="79" t="str">
        <f t="shared" si="45"/>
        <v>Jan-24</v>
      </c>
      <c r="O250" s="79" t="str">
        <f t="shared" si="45"/>
        <v>Feb-24</v>
      </c>
      <c r="P250" s="79" t="str">
        <f t="shared" si="45"/>
        <v>Mar-24</v>
      </c>
      <c r="Q250" s="79" t="str">
        <f t="shared" si="45"/>
        <v>Apr-24</v>
      </c>
      <c r="R250" s="79" t="str">
        <f t="shared" si="45"/>
        <v>May-24</v>
      </c>
      <c r="S250" s="79" t="str">
        <f t="shared" si="45"/>
        <v>Jun-24</v>
      </c>
      <c r="T250" s="79" t="str">
        <f t="shared" si="45"/>
        <v>Jul-24</v>
      </c>
    </row>
    <row r="251" spans="2:20" outlineLevel="1" x14ac:dyDescent="0.15">
      <c r="B251" s="107" t="str">
        <f>INDEX(LU_Scen_Db_Scenario_Names,$H251)</f>
        <v>Base Case</v>
      </c>
      <c r="H251" s="82">
        <v>1</v>
      </c>
      <c r="I251" s="81">
        <f t="shared" ref="I251:T251" si="46">IF(Scen_Db_Data_Tables_Off,Scen_Db_Data_Tables_Status_Off,I232+I239+I246)</f>
        <v>45160.869850494637</v>
      </c>
      <c r="J251" s="81">
        <f t="shared" si="46"/>
        <v>-11801.124452086973</v>
      </c>
      <c r="K251" s="81">
        <f t="shared" si="46"/>
        <v>49225.272093748041</v>
      </c>
      <c r="L251" s="81">
        <f t="shared" si="46"/>
        <v>5643.1918542666654</v>
      </c>
      <c r="M251" s="81">
        <f t="shared" si="46"/>
        <v>-21541.310924787958</v>
      </c>
      <c r="N251" s="81">
        <f t="shared" si="46"/>
        <v>8124.0366575019361</v>
      </c>
      <c r="O251" s="81">
        <f t="shared" si="46"/>
        <v>4012.5865466769901</v>
      </c>
      <c r="P251" s="81">
        <f t="shared" si="46"/>
        <v>-20052.951431846024</v>
      </c>
      <c r="Q251" s="81">
        <f t="shared" si="46"/>
        <v>6749.9205951772892</v>
      </c>
      <c r="R251" s="81">
        <f t="shared" si="46"/>
        <v>2953.1030368886022</v>
      </c>
      <c r="S251" s="81">
        <f t="shared" si="46"/>
        <v>-19850.481238537635</v>
      </c>
      <c r="T251" s="81">
        <f t="shared" si="46"/>
        <v>7102.9196392665808</v>
      </c>
    </row>
    <row r="252" spans="2:20" outlineLevel="1" x14ac:dyDescent="0.15">
      <c r="B252" s="107" t="str">
        <f>INDEX(LU_Scen_Db_Scenario_Names,$H252)</f>
        <v>Slower Growth</v>
      </c>
      <c r="H252" s="82">
        <v>2</v>
      </c>
      <c r="I252" s="81">
        <f t="shared" ref="I252:T252" si="47">IF(Scen_Db_Data_Tables_Off,Scen_Db_Data_Tables_Status_Off,I233+I240+I247)</f>
        <v>45160.869850494637</v>
      </c>
      <c r="J252" s="81">
        <f t="shared" si="47"/>
        <v>-11920.364296685639</v>
      </c>
      <c r="K252" s="81">
        <f t="shared" si="47"/>
        <v>49030.032558432293</v>
      </c>
      <c r="L252" s="81">
        <f t="shared" si="47"/>
        <v>5332.8602851333317</v>
      </c>
      <c r="M252" s="81">
        <f t="shared" si="47"/>
        <v>-21712.842399800433</v>
      </c>
      <c r="N252" s="81">
        <f t="shared" si="47"/>
        <v>7763.1881965574212</v>
      </c>
      <c r="O252" s="81">
        <f t="shared" si="47"/>
        <v>3566.7139867836577</v>
      </c>
      <c r="P252" s="81">
        <f t="shared" si="47"/>
        <v>-20550.034244090755</v>
      </c>
      <c r="Q252" s="81">
        <f t="shared" si="47"/>
        <v>6317.4447631912253</v>
      </c>
      <c r="R252" s="81">
        <f t="shared" si="47"/>
        <v>2396.1384474378501</v>
      </c>
      <c r="S252" s="81">
        <f t="shared" si="47"/>
        <v>-20440.673269204301</v>
      </c>
      <c r="T252" s="81">
        <f t="shared" si="47"/>
        <v>6527.5860618629677</v>
      </c>
    </row>
    <row r="253" spans="2:20" outlineLevel="1" x14ac:dyDescent="0.15">
      <c r="B253" s="107" t="str">
        <f>INDEX(LU_Scen_Db_Scenario_Names,$H253)</f>
        <v>Faster Growth</v>
      </c>
      <c r="H253" s="82">
        <v>3</v>
      </c>
      <c r="I253" s="81">
        <f t="shared" ref="I253:T253" si="48">IF(Scen_Db_Data_Tables_Off,Scen_Db_Data_Tables_Status_Off,I234+I241+I248)</f>
        <v>45160.869850494637</v>
      </c>
      <c r="J253" s="81">
        <f t="shared" si="48"/>
        <v>-11681.884607488304</v>
      </c>
      <c r="K253" s="81">
        <f t="shared" si="48"/>
        <v>49420.511629063782</v>
      </c>
      <c r="L253" s="81">
        <f t="shared" si="48"/>
        <v>5953.5234234</v>
      </c>
      <c r="M253" s="81">
        <f t="shared" si="48"/>
        <v>-21369.779449775488</v>
      </c>
      <c r="N253" s="81">
        <f t="shared" si="48"/>
        <v>8484.8851184464547</v>
      </c>
      <c r="O253" s="81">
        <f t="shared" si="48"/>
        <v>4458.4591065703207</v>
      </c>
      <c r="P253" s="81">
        <f t="shared" si="48"/>
        <v>-19555.868619601293</v>
      </c>
      <c r="Q253" s="81">
        <f t="shared" si="48"/>
        <v>7182.3964271633558</v>
      </c>
      <c r="R253" s="81">
        <f t="shared" si="48"/>
        <v>3510.0676263393552</v>
      </c>
      <c r="S253" s="81">
        <f t="shared" si="48"/>
        <v>-19260.28920787097</v>
      </c>
      <c r="T253" s="81">
        <f t="shared" si="48"/>
        <v>7678.2532166701931</v>
      </c>
    </row>
    <row r="254" spans="2:20" outlineLevel="1" x14ac:dyDescent="0.15"/>
    <row r="255" spans="2:20" outlineLevel="1" x14ac:dyDescent="0.15">
      <c r="B255" s="108" t="s">
        <v>197</v>
      </c>
      <c r="C255" s="108"/>
      <c r="D255" s="108"/>
      <c r="E255" s="108"/>
      <c r="F255" s="108"/>
      <c r="G255" s="108"/>
      <c r="H255" s="108"/>
      <c r="I255" s="108"/>
      <c r="J255" s="108"/>
      <c r="K255" s="108"/>
      <c r="L255" s="108"/>
      <c r="M255" s="108"/>
      <c r="N255" s="108"/>
      <c r="O255" s="108"/>
      <c r="P255" s="108"/>
      <c r="Q255" s="108"/>
      <c r="R255" s="108"/>
      <c r="S255" s="108"/>
      <c r="T255" s="108"/>
    </row>
    <row r="256" spans="2:20" outlineLevel="1" x14ac:dyDescent="0.15"/>
    <row r="257" spans="2:20" outlineLevel="1" x14ac:dyDescent="0.15">
      <c r="B257" s="16" t="s">
        <v>284</v>
      </c>
    </row>
    <row r="258" spans="2:20" outlineLevel="1" x14ac:dyDescent="0.15">
      <c r="B258" s="107" t="str">
        <f>B188</f>
        <v>Base Case</v>
      </c>
      <c r="I258" s="23">
        <f>IF(Scen_Db_Data_Tables_Off,0,ROUND(Scen_Db!D47-I188,5))</f>
        <v>0</v>
      </c>
      <c r="J258" s="23">
        <f>IF(Scen_Db_Data_Tables_Off,0,ROUND(Scen_Db!E47-J188,5))</f>
        <v>0</v>
      </c>
      <c r="K258" s="23">
        <f>IF(Scen_Db_Data_Tables_Off,0,ROUND(Scen_Db!F47-K188,5))</f>
        <v>0</v>
      </c>
      <c r="L258" s="23">
        <f>IF(Scen_Db_Data_Tables_Off,0,ROUND(Scen_Db!G47-L188,5))</f>
        <v>0</v>
      </c>
      <c r="M258" s="23">
        <f>IF(Scen_Db_Data_Tables_Off,0,ROUND(Scen_Db!H47-M188,5))</f>
        <v>0</v>
      </c>
      <c r="N258" s="23">
        <f>IF(Scen_Db_Data_Tables_Off,0,ROUND(Scen_Db!I47-N188,5))</f>
        <v>0</v>
      </c>
      <c r="O258" s="23">
        <f>IF(Scen_Db_Data_Tables_Off,0,ROUND(Scen_Db!J47-O188,5))</f>
        <v>0</v>
      </c>
      <c r="P258" s="23">
        <f>IF(Scen_Db_Data_Tables_Off,0,ROUND(Scen_Db!K47-P188,5))</f>
        <v>0</v>
      </c>
      <c r="Q258" s="23">
        <f>IF(Scen_Db_Data_Tables_Off,0,ROUND(Scen_Db!L47-Q188,5))</f>
        <v>0</v>
      </c>
      <c r="R258" s="23">
        <f>IF(Scen_Db_Data_Tables_Off,0,ROUND(Scen_Db!M47-R188,5))</f>
        <v>0</v>
      </c>
      <c r="S258" s="23">
        <f>IF(Scen_Db_Data_Tables_Off,0,ROUND(Scen_Db!N47-S188,5))</f>
        <v>0</v>
      </c>
      <c r="T258" s="23">
        <f>IF(Scen_Db_Data_Tables_Off,0,ROUND(Scen_Db!O47-T188,5))</f>
        <v>0</v>
      </c>
    </row>
    <row r="259" spans="2:20" outlineLevel="1" x14ac:dyDescent="0.15">
      <c r="B259" s="107" t="str">
        <f>B189</f>
        <v>Slower Growth</v>
      </c>
      <c r="I259" s="23">
        <f>IF(Scen_Db_Data_Tables_Off,0,ROUND(Scen_Db!D62-I189,5))</f>
        <v>0</v>
      </c>
      <c r="J259" s="23">
        <f>IF(Scen_Db_Data_Tables_Off,0,ROUND(Scen_Db!E62-J189,5))</f>
        <v>0</v>
      </c>
      <c r="K259" s="23">
        <f>IF(Scen_Db_Data_Tables_Off,0,ROUND(Scen_Db!F62-K189,5))</f>
        <v>0</v>
      </c>
      <c r="L259" s="23">
        <f>IF(Scen_Db_Data_Tables_Off,0,ROUND(Scen_Db!G62-L189,5))</f>
        <v>0</v>
      </c>
      <c r="M259" s="23">
        <f>IF(Scen_Db_Data_Tables_Off,0,ROUND(Scen_Db!H62-M189,5))</f>
        <v>0</v>
      </c>
      <c r="N259" s="23">
        <f>IF(Scen_Db_Data_Tables_Off,0,ROUND(Scen_Db!I62-N189,5))</f>
        <v>0</v>
      </c>
      <c r="O259" s="23">
        <f>IF(Scen_Db_Data_Tables_Off,0,ROUND(Scen_Db!J62-O189,5))</f>
        <v>0</v>
      </c>
      <c r="P259" s="23">
        <f>IF(Scen_Db_Data_Tables_Off,0,ROUND(Scen_Db!K62-P189,5))</f>
        <v>0</v>
      </c>
      <c r="Q259" s="23">
        <f>IF(Scen_Db_Data_Tables_Off,0,ROUND(Scen_Db!L62-Q189,5))</f>
        <v>0</v>
      </c>
      <c r="R259" s="23">
        <f>IF(Scen_Db_Data_Tables_Off,0,ROUND(Scen_Db!M62-R189,5))</f>
        <v>0</v>
      </c>
      <c r="S259" s="23">
        <f>IF(Scen_Db_Data_Tables_Off,0,ROUND(Scen_Db!N62-S189,5))</f>
        <v>0</v>
      </c>
      <c r="T259" s="23">
        <f>IF(Scen_Db_Data_Tables_Off,0,ROUND(Scen_Db!O62-T189,5))</f>
        <v>0</v>
      </c>
    </row>
    <row r="260" spans="2:20" outlineLevel="1" x14ac:dyDescent="0.15">
      <c r="B260" s="107" t="str">
        <f>B190</f>
        <v>Faster Growth</v>
      </c>
      <c r="I260" s="24">
        <f>IF(Scen_Db_Data_Tables_Off,0,ROUND(Scen_Db!D77-I190,5))</f>
        <v>0</v>
      </c>
      <c r="J260" s="24">
        <f>IF(Scen_Db_Data_Tables_Off,0,ROUND(Scen_Db!E77-J190,5))</f>
        <v>0</v>
      </c>
      <c r="K260" s="24">
        <f>IF(Scen_Db_Data_Tables_Off,0,ROUND(Scen_Db!F77-K190,5))</f>
        <v>0</v>
      </c>
      <c r="L260" s="24">
        <f>IF(Scen_Db_Data_Tables_Off,0,ROUND(Scen_Db!G77-L190,5))</f>
        <v>0</v>
      </c>
      <c r="M260" s="24">
        <f>IF(Scen_Db_Data_Tables_Off,0,ROUND(Scen_Db!H77-M190,5))</f>
        <v>0</v>
      </c>
      <c r="N260" s="24">
        <f>IF(Scen_Db_Data_Tables_Off,0,ROUND(Scen_Db!I77-N190,5))</f>
        <v>0</v>
      </c>
      <c r="O260" s="24">
        <f>IF(Scen_Db_Data_Tables_Off,0,ROUND(Scen_Db!J77-O190,5))</f>
        <v>0</v>
      </c>
      <c r="P260" s="24">
        <f>IF(Scen_Db_Data_Tables_Off,0,ROUND(Scen_Db!K77-P190,5))</f>
        <v>0</v>
      </c>
      <c r="Q260" s="24">
        <f>IF(Scen_Db_Data_Tables_Off,0,ROUND(Scen_Db!L77-Q190,5))</f>
        <v>0</v>
      </c>
      <c r="R260" s="24">
        <f>IF(Scen_Db_Data_Tables_Off,0,ROUND(Scen_Db!M77-R190,5))</f>
        <v>0</v>
      </c>
      <c r="S260" s="24">
        <f>IF(Scen_Db_Data_Tables_Off,0,ROUND(Scen_Db!N77-S190,5))</f>
        <v>0</v>
      </c>
      <c r="T260" s="24">
        <f>IF(Scen_Db_Data_Tables_Off,0,ROUND(Scen_Db!O77-T190,5))</f>
        <v>0</v>
      </c>
    </row>
    <row r="261" spans="2:20" outlineLevel="1" x14ac:dyDescent="0.15">
      <c r="B261" s="107" t="s">
        <v>285</v>
      </c>
      <c r="H261" s="22">
        <f>IF(ISERROR(SUM(I261:T261)),1,MIN(SUM(I261:T261),1))</f>
        <v>0</v>
      </c>
      <c r="I261" s="17">
        <f t="shared" ref="I261:T261" si="49">IF(COUNTIF(I258:I260,"&lt;&gt;0"),1,0)</f>
        <v>0</v>
      </c>
      <c r="J261" s="17">
        <f t="shared" si="49"/>
        <v>0</v>
      </c>
      <c r="K261" s="17">
        <f t="shared" si="49"/>
        <v>0</v>
      </c>
      <c r="L261" s="17">
        <f t="shared" si="49"/>
        <v>0</v>
      </c>
      <c r="M261" s="17">
        <f t="shared" si="49"/>
        <v>0</v>
      </c>
      <c r="N261" s="17">
        <f t="shared" si="49"/>
        <v>0</v>
      </c>
      <c r="O261" s="17">
        <f t="shared" si="49"/>
        <v>0</v>
      </c>
      <c r="P261" s="17">
        <f t="shared" si="49"/>
        <v>0</v>
      </c>
      <c r="Q261" s="17">
        <f t="shared" si="49"/>
        <v>0</v>
      </c>
      <c r="R261" s="17">
        <f t="shared" si="49"/>
        <v>0</v>
      </c>
      <c r="S261" s="17">
        <f t="shared" si="49"/>
        <v>0</v>
      </c>
      <c r="T261" s="17">
        <f t="shared" si="49"/>
        <v>0</v>
      </c>
    </row>
  </sheetData>
  <sheetProtection algorithmName="SHA-512" hashValue="FAkunUcDd8naW0OT04hCXqW18H3+ieXbhqZs0+lPNyUoMNTSTaTFvMxShqInq7WPBhqO964dEYVIyrSjRi44wg==" saltValue="DeGqjaPtyGkmh2R1WgNLvw==" spinCount="100000" sheet="1" objects="1" scenarios="1" formatColumns="0" formatRows="0"/>
  <mergeCells count="3">
    <mergeCell ref="F21:I21"/>
    <mergeCell ref="F22:I22"/>
    <mergeCell ref="F23:I23"/>
  </mergeCells>
  <conditionalFormatting sqref="H261:T261">
    <cfRule type="cellIs" dxfId="193" priority="20" operator="notEqual">
      <formula>0</formula>
    </cfRule>
  </conditionalFormatting>
  <conditionalFormatting sqref="I26">
    <cfRule type="cellIs" dxfId="192" priority="51" operator="notEqual">
      <formula>0</formula>
    </cfRule>
  </conditionalFormatting>
  <conditionalFormatting sqref="I31">
    <cfRule type="cellIs" dxfId="191" priority="33" operator="notEqual">
      <formula>0</formula>
    </cfRule>
  </conditionalFormatting>
  <conditionalFormatting sqref="I41">
    <cfRule type="cellIs" dxfId="190" priority="4" operator="notEqual">
      <formula>0</formula>
    </cfRule>
  </conditionalFormatting>
  <conditionalFormatting sqref="I57">
    <cfRule type="cellIs" dxfId="189" priority="8" operator="notEqual">
      <formula>0</formula>
    </cfRule>
  </conditionalFormatting>
  <conditionalFormatting sqref="I70">
    <cfRule type="cellIs" dxfId="188" priority="12" operator="notEqual">
      <formula>0</formula>
    </cfRule>
  </conditionalFormatting>
  <conditionalFormatting sqref="I95">
    <cfRule type="cellIs" dxfId="187" priority="46" operator="notEqual">
      <formula>0</formula>
    </cfRule>
  </conditionalFormatting>
  <conditionalFormatting sqref="I105">
    <cfRule type="cellIs" dxfId="186" priority="16" operator="notEqual">
      <formula>0</formula>
    </cfRule>
  </conditionalFormatting>
  <conditionalFormatting sqref="J5:L5">
    <cfRule type="expression" dxfId="185" priority="1">
      <formula>COLUMNS($J5:J5)=Scenarios_Active</formula>
    </cfRule>
  </conditionalFormatting>
  <conditionalFormatting sqref="J6:L6">
    <cfRule type="expression" dxfId="184" priority="2">
      <formula>COLUMNS($J6:J6)&lt;&gt;Scenarios_Active</formula>
    </cfRule>
  </conditionalFormatting>
  <conditionalFormatting sqref="J18:L18">
    <cfRule type="expression" dxfId="183" priority="3">
      <formula>Scenarios_Active=J$4</formula>
    </cfRule>
  </conditionalFormatting>
  <conditionalFormatting sqref="J28:L28">
    <cfRule type="expression" dxfId="182" priority="52">
      <formula>Vol_Active_Scenario=J$4</formula>
    </cfRule>
  </conditionalFormatting>
  <conditionalFormatting sqref="J33:L38">
    <cfRule type="expression" dxfId="181" priority="53">
      <formula>Vol_2_Active_Scenario=J$4</formula>
    </cfRule>
  </conditionalFormatting>
  <conditionalFormatting sqref="J44:L44">
    <cfRule type="expression" dxfId="180" priority="38">
      <formula>Rev_Cat_Active_Scenario=J$4</formula>
    </cfRule>
  </conditionalFormatting>
  <conditionalFormatting sqref="J47:L47">
    <cfRule type="expression" dxfId="179" priority="31">
      <formula>Rev_Cat_6_Active_Scenario=J$4</formula>
    </cfRule>
  </conditionalFormatting>
  <conditionalFormatting sqref="J50:L50">
    <cfRule type="expression" dxfId="178" priority="32">
      <formula>Rev_Cat_2_Active_Scenario=J$4</formula>
    </cfRule>
  </conditionalFormatting>
  <conditionalFormatting sqref="J53:L53">
    <cfRule type="expression" dxfId="177" priority="7">
      <formula>Rev_Cat_3_Active_Scenario=J$4</formula>
    </cfRule>
  </conditionalFormatting>
  <conditionalFormatting sqref="J60:L60">
    <cfRule type="expression" dxfId="176" priority="41">
      <formula>Cogs_Cat_Active_Scenario=J$4</formula>
    </cfRule>
  </conditionalFormatting>
  <conditionalFormatting sqref="J63:L63">
    <cfRule type="expression" dxfId="175" priority="40">
      <formula>Cogs_Cat_2_Active_Scenario=J$4</formula>
    </cfRule>
  </conditionalFormatting>
  <conditionalFormatting sqref="J66:L66">
    <cfRule type="expression" dxfId="174" priority="44">
      <formula>Cogs_Cat_3_Active_Scenario=J$4</formula>
    </cfRule>
  </conditionalFormatting>
  <conditionalFormatting sqref="J73:L73">
    <cfRule type="expression" dxfId="173" priority="42">
      <formula>Opex_Cat_Active_Scenario=J$4</formula>
    </cfRule>
  </conditionalFormatting>
  <conditionalFormatting sqref="J76:L76">
    <cfRule type="expression" dxfId="172" priority="43">
      <formula>Opex_Cat_4_Active_Scenario=J$4</formula>
    </cfRule>
  </conditionalFormatting>
  <conditionalFormatting sqref="J79:L79">
    <cfRule type="expression" dxfId="171" priority="54">
      <formula>Opex_Cat_8_Active_Scenario=J$4</formula>
    </cfRule>
  </conditionalFormatting>
  <conditionalFormatting sqref="J82:L82">
    <cfRule type="expression" dxfId="170" priority="26">
      <formula>Opex_Cat_5_Active_Scenario=J$4</formula>
    </cfRule>
  </conditionalFormatting>
  <conditionalFormatting sqref="J85:L85">
    <cfRule type="expression" dxfId="169" priority="27">
      <formula>Opex_Cat_6_Active_Scenario=J$4</formula>
    </cfRule>
  </conditionalFormatting>
  <conditionalFormatting sqref="J88:L88">
    <cfRule type="expression" dxfId="168" priority="28">
      <formula>Opex_Cat_7_Active_Scenario=J$4</formula>
    </cfRule>
  </conditionalFormatting>
  <conditionalFormatting sqref="J91:L91">
    <cfRule type="expression" dxfId="167" priority="15">
      <formula>Opex_Cat_3_Active_Scenario=J$4</formula>
    </cfRule>
  </conditionalFormatting>
  <conditionalFormatting sqref="J98:L98">
    <cfRule type="expression" dxfId="166" priority="45">
      <formula>Oth_Rev_Cat_Active_Scenario=J$4</formula>
    </cfRule>
  </conditionalFormatting>
  <conditionalFormatting sqref="J101:L101">
    <cfRule type="expression" dxfId="165" priority="47">
      <formula>Oth_Rev_Cat_2_Active_Scenario=J$4</formula>
    </cfRule>
  </conditionalFormatting>
  <conditionalFormatting sqref="J108:L108">
    <cfRule type="expression" dxfId="164" priority="17">
      <formula>Capex_Cat_Active_Scenario=J$4</formula>
    </cfRule>
  </conditionalFormatting>
  <conditionalFormatting sqref="J111:L111">
    <cfRule type="expression" dxfId="163" priority="18">
      <formula>Capex_Cat_2_Active_Scenario=J$4</formula>
    </cfRule>
  </conditionalFormatting>
  <dataValidations count="8">
    <dataValidation type="whole" showDropDown="1" showErrorMessage="1" errorTitle="Drop Down Box Cell Link" error="The value in a drop down box cell link must be a whole number within the control's lookup range rows." sqref="H9" xr:uid="{9CA45B4E-8B0A-41C3-9CD6-DE3C69DE421A}">
      <formula1>1</formula1>
      <formula2>ROWS(LU_Scenarios_Names)</formula2>
    </dataValidation>
    <dataValidation type="whole" operator="greaterThan" showDropDown="1" showErrorMessage="1" errorTitle="Invalid Assumption" error="The number of scenarios must be a whole number greater than zero." sqref="H17" xr:uid="{004C732E-F83F-4233-BA1A-A00D87CBF0CE}">
      <formula1>0</formula1>
    </dataValidation>
    <dataValidation type="custom" showErrorMessage="1" errorTitle="Invalid Assumption" error="Assumption must be a number." sqref="J53:L53 J91:L91 J108:L108 J111:L111 J88:L88 J85:L85 J82:L82 J47:L47 J50:L50 I32 J44:L44 J63:L63 J60:L60 J73:L73 J76:L76 J66:L66 J98:L98 J101:L101 I27:I28 J28:L28 J33:L38 J79:L79" xr:uid="{5460AEB0-5A13-4572-852C-A63BB8125722}">
      <formula1>NOT(ISERROR(I27/1))</formula1>
    </dataValidation>
    <dataValidation type="list" showInputMessage="1" showErrorMessage="1" errorTitle="Data Tables Status" error="Select a status from the provided list." sqref="H133" xr:uid="{49F47EAC-48B6-4C4E-90A9-0D6C1793784E}">
      <formula1>LU_Scen_Db_Data_Tables_Status</formula1>
    </dataValidation>
    <dataValidation type="whole" operator="greaterThan" allowBlank="1" showDropDown="1" showErrorMessage="1" errorTitle="Invalid Assumption" error="The active scenario must be a whole number greater than zero." sqref="I52 I90 I107 I110 I87 I84 I81 I62 I97 I100" xr:uid="{6501AB01-B045-4424-BA7F-BB6248EEACD1}">
      <formula1>0</formula1>
    </dataValidation>
    <dataValidation type="list" showErrorMessage="1" errorTitle="Invalid Assumption" error="The assumption must be Yes or No." sqref="H15" xr:uid="{544F88E7-BDA4-4976-8285-8AF6F950BC0D}">
      <formula1>"Yes,No"</formula1>
    </dataValidation>
    <dataValidation type="whole" showDropDown="1" showErrorMessage="1" errorTitle="Drop Down Box Cell Link" error="The value in a drop down box cell link must be a whole number within the control's lookup range rows." sqref="H126" xr:uid="{B924B391-5EE7-4753-8B85-C9E13B1A6E04}">
      <formula1>1</formula1>
      <formula2>ROWS(LU_Scen_Db_First_Disp_Per)</formula2>
    </dataValidation>
    <dataValidation type="whole" operator="greaterThan" showDropDown="1" showErrorMessage="1" errorTitle="Invalid Assumption" error="The active scenario must be a whole number greater than zero." sqref="I46 I49 I43 I59 I72 I75 I65 I78" xr:uid="{C782D5E4-650D-41F2-9C02-49F0112AC8EA}">
      <formula1>0</formula1>
    </dataValidation>
  </dataValidations>
  <hyperlinks>
    <hyperlink ref="A1" location="HL_Home" tooltip="Go to Table of Contents" display="HL_Home" xr:uid="{74450526-8657-473D-B75A-76BB791145BE}"/>
    <hyperlink ref="A114" location="HL_Scen_Db_Out" tooltip="Click to follow hyperlink." display="HL_Scen_Db_Out" xr:uid="{F2CB8BD4-BD56-4501-B0BA-B343DCBA81E2}"/>
    <hyperlink ref="A40" location="HL_Rev_Ass" tooltip="Click to follow hyperlink." display="HL_Rev_Ass" xr:uid="{9D5F1665-8AC4-458A-A9C4-ED669F61D9D9}"/>
    <hyperlink ref="A56" location="HL_Cogs_Ass" tooltip="Click to follow hyperlink." display="HL_Cogs_Ass" xr:uid="{DE51E32A-7C01-42DF-8D38-07B2BED8CC91}"/>
    <hyperlink ref="A69" location="HL_Opex_Ass" tooltip="Click to follow hyperlink." display="HL_Opex_Ass" xr:uid="{A1BB824C-409E-4C44-947A-20A4D2939819}"/>
    <hyperlink ref="A104" location="HL_Capex_Ass" tooltip="Click to follow hyperlink." display="HL_Capex_Ass" xr:uid="{BD0D8265-CC71-499C-935E-60E329626F5C}"/>
    <hyperlink ref="A30" location="HL_Vol_2_Ass_A" tooltip="Click to follow hyperlink." display="HL_Vol_2_Ass_A" xr:uid="{E6D9F6EB-01DA-44F5-8AB0-5EF9069FB6DB}"/>
    <hyperlink ref="A94" location="HL_Oth_Rev_Ass" tooltip="Click to follow hyperlink." display="HL_Oth_Rev_Ass" xr:uid="{A03DF113-E261-445F-B978-A83430D8EEAA}"/>
    <hyperlink ref="A25" location="HL_Vol_Ass_A" tooltip="Click to follow hyperlink." display="HL_Vol_Ass_A" xr:uid="{744A2FF2-F271-4E08-9F2B-23CAA075C985}"/>
    <hyperlink ref="A2" location="HL_Err_Chk" tooltip="Go to Error Checks" display="HL_Err_Chk" xr:uid="{C0E820F6-4688-4CD0-9D02-BFE88858E2F2}"/>
  </hyperlinks>
  <pageMargins left="0.39370078740157499" right="0.39370078740157499" top="0.59055118110236204" bottom="0.98425196850393704" header="0" footer="0.31496062992126"/>
  <pageSetup paperSize="9" scale="75" orientation="landscape" r:id="rId1"/>
  <headerFooter>
    <oddFooter>&amp;L&amp;F
&amp;A
Printed: &amp;T on &amp;D&amp;CPage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bpmDropDownScenarios1">
              <controlPr defaultSize="0" autoFill="0" autoPict="0">
                <anchor moveWithCells="1" sizeWithCells="1">
                  <from>
                    <xdr:col>6</xdr:col>
                    <xdr:colOff>0</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31751" r:id="rId5" name="bpmDropDownScen_Db5">
              <controlPr defaultSize="0" autoFill="0" autoPict="0">
                <anchor moveWithCells="1" sizeWithCells="1">
                  <from>
                    <xdr:col>7</xdr:col>
                    <xdr:colOff>0</xdr:colOff>
                    <xdr:row>125</xdr:row>
                    <xdr:rowOff>0</xdr:rowOff>
                  </from>
                  <to>
                    <xdr:col>9</xdr:col>
                    <xdr:colOff>0</xdr:colOff>
                    <xdr:row>126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2F6F-939E-455C-BC01-823AD94EFD1A}">
  <sheetPr codeName="Sheet19">
    <pageSetUpPr autoPageBreaks="0" fitToPage="1"/>
  </sheetPr>
  <dimension ref="C9:G20"/>
  <sheetViews>
    <sheetView showGridLines="0" workbookViewId="0"/>
  </sheetViews>
  <sheetFormatPr baseColWidth="10" defaultColWidth="11.59765625" defaultRowHeight="12" x14ac:dyDescent="0.15"/>
  <cols>
    <col min="3" max="6" width="3.59765625" customWidth="1"/>
  </cols>
  <sheetData>
    <row r="9" spans="3:7" ht="14" x14ac:dyDescent="0.15">
      <c r="C9" s="205" t="s">
        <v>286</v>
      </c>
    </row>
    <row r="10" spans="3:7" ht="13" x14ac:dyDescent="0.15">
      <c r="C10" s="206" t="s">
        <v>287</v>
      </c>
    </row>
    <row r="11" spans="3:7" ht="13" x14ac:dyDescent="0.15">
      <c r="C11" s="65" t="str">
        <f ca="1">Model_Name</f>
        <v>Venue Planning Project (Alert in Inventory)</v>
      </c>
    </row>
    <row r="12" spans="3:7" x14ac:dyDescent="0.15">
      <c r="C12" s="328" t="s">
        <v>16</v>
      </c>
      <c r="D12" s="328"/>
      <c r="E12" s="328"/>
      <c r="F12" s="328"/>
      <c r="G12" s="328"/>
    </row>
    <row r="13" spans="3:7" x14ac:dyDescent="0.15">
      <c r="C13" s="109" t="s">
        <v>17</v>
      </c>
      <c r="D13" s="110" t="s">
        <v>18</v>
      </c>
    </row>
    <row r="17" spans="3:3" x14ac:dyDescent="0.15">
      <c r="C17" s="194" t="s">
        <v>55</v>
      </c>
    </row>
    <row r="18" spans="3:3" x14ac:dyDescent="0.15">
      <c r="C18" s="204" t="s">
        <v>56</v>
      </c>
    </row>
    <row r="19" spans="3:3" x14ac:dyDescent="0.15">
      <c r="C19" s="204" t="s">
        <v>57</v>
      </c>
    </row>
    <row r="20" spans="3:3" x14ac:dyDescent="0.15">
      <c r="C20" s="204" t="s">
        <v>58</v>
      </c>
    </row>
  </sheetData>
  <mergeCells count="1">
    <mergeCell ref="C12:G12"/>
  </mergeCells>
  <hyperlinks>
    <hyperlink ref="C13" location="HL_Sheet_Main_14" tooltip="Go to Previous Sheet" display="HL_Sheet_Main_14" xr:uid="{C6847844-391C-4A76-B8DB-DCE7EEEF6447}"/>
    <hyperlink ref="D13" location="HL_Sheet_Main_12" tooltip="Go to Next Sheet" display="HL_Sheet_Main_12" xr:uid="{1F6A574A-62BC-40A4-A3D0-11CF5478AC6D}"/>
    <hyperlink ref="C12" location="HL_Home" tooltip="Go to Table of Contents" display="HL_Home" xr:uid="{75B5B28E-DBC6-4DE3-8ED6-5804C0C210CF}"/>
  </hyperlinks>
  <pageMargins left="0.39370078740157499" right="0.39370078740157499" top="0.59055118110236204" bottom="0.98425196850393704" header="0" footer="0.31496062992126"/>
  <pageSetup paperSize="9" orientation="landscape" r:id="rId1"/>
  <headerFooter>
    <oddFooter>&amp;L&amp;F
&amp;A
Printed: &amp;T on &amp;D&amp;CPage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C243-1783-45F6-B4E4-68B7C18059C2}">
  <sheetPr codeName="Sheet3">
    <pageSetUpPr autoPageBreaks="0"/>
  </sheetPr>
  <dimension ref="A1:J79"/>
  <sheetViews>
    <sheetView showGridLines="0" workbookViewId="0">
      <pane xSplit="1" ySplit="2" topLeftCell="B3" activePane="bottomRight" state="frozenSplit"/>
      <selection pane="topRight" activeCell="B1" sqref="B1"/>
      <selection pane="bottomLeft" activeCell="A3" sqref="A3"/>
      <selection pane="bottomRight" activeCell="B54" sqref="B54:G54"/>
    </sheetView>
  </sheetViews>
  <sheetFormatPr baseColWidth="10" defaultColWidth="11.59765625" defaultRowHeight="12" outlineLevelRow="2" x14ac:dyDescent="0.15"/>
  <cols>
    <col min="1" max="5" width="3.59765625" customWidth="1"/>
    <col min="10" max="10" width="13.59765625" bestFit="1" customWidth="1"/>
  </cols>
  <sheetData>
    <row r="1" spans="1:10" ht="14" x14ac:dyDescent="0.15">
      <c r="A1" s="3" t="s">
        <v>19</v>
      </c>
      <c r="B1" s="205" t="s">
        <v>42</v>
      </c>
      <c r="J1" s="240"/>
    </row>
    <row r="2" spans="1:10" ht="13" x14ac:dyDescent="0.15">
      <c r="A2" s="294" t="s">
        <v>60</v>
      </c>
      <c r="B2" s="65" t="str">
        <f ca="1">Model_Name</f>
        <v>Venue Planning Project (Alert in Inventory)</v>
      </c>
      <c r="J2" s="240"/>
    </row>
    <row r="4" spans="1:10" s="1" customFormat="1" x14ac:dyDescent="0.15">
      <c r="A4"/>
      <c r="B4" s="1" t="s">
        <v>42</v>
      </c>
      <c r="J4" s="13">
        <f>Ts_Start_Date</f>
        <v>45139</v>
      </c>
    </row>
    <row r="5" spans="1:10" outlineLevel="1" x14ac:dyDescent="0.15"/>
    <row r="6" spans="1:10" outlineLevel="1" x14ac:dyDescent="0.15">
      <c r="B6" s="107" t="s">
        <v>89</v>
      </c>
      <c r="J6" s="166">
        <v>11206</v>
      </c>
    </row>
    <row r="7" spans="1:10" ht="6" customHeight="1" outlineLevel="1" x14ac:dyDescent="0.15"/>
    <row r="8" spans="1:10" outlineLevel="1" x14ac:dyDescent="0.15">
      <c r="B8" s="338" t="s">
        <v>288</v>
      </c>
      <c r="C8" s="338"/>
      <c r="D8" s="338"/>
      <c r="E8" s="338"/>
      <c r="F8" s="338"/>
      <c r="G8" s="338"/>
      <c r="J8" s="239">
        <v>35</v>
      </c>
    </row>
    <row r="9" spans="1:10" outlineLevel="1" x14ac:dyDescent="0.15">
      <c r="B9" s="339" t="s">
        <v>90</v>
      </c>
      <c r="C9" s="339"/>
      <c r="D9" s="339"/>
      <c r="E9" s="339"/>
      <c r="F9" s="339"/>
      <c r="G9" s="339"/>
      <c r="J9" s="17">
        <f>SUM(J8:J8)</f>
        <v>35</v>
      </c>
    </row>
    <row r="10" spans="1:10" ht="6" customHeight="1" outlineLevel="1" x14ac:dyDescent="0.15"/>
    <row r="11" spans="1:10" outlineLevel="1" x14ac:dyDescent="0.15">
      <c r="B11" s="338" t="s">
        <v>91</v>
      </c>
      <c r="C11" s="338"/>
      <c r="D11" s="338"/>
      <c r="E11" s="338"/>
      <c r="F11" s="338"/>
      <c r="G11" s="338"/>
      <c r="J11" s="239">
        <v>279</v>
      </c>
    </row>
    <row r="12" spans="1:10" outlineLevel="1" x14ac:dyDescent="0.15">
      <c r="B12" s="339" t="s">
        <v>91</v>
      </c>
      <c r="C12" s="339"/>
      <c r="D12" s="339"/>
      <c r="E12" s="339"/>
      <c r="F12" s="339"/>
      <c r="G12" s="339"/>
      <c r="J12" s="17">
        <f>SUM(J11:J11)</f>
        <v>279</v>
      </c>
    </row>
    <row r="13" spans="1:10" ht="6" customHeight="1" outlineLevel="1" x14ac:dyDescent="0.15"/>
    <row r="14" spans="1:10" outlineLevel="1" x14ac:dyDescent="0.15">
      <c r="B14" s="338" t="s">
        <v>92</v>
      </c>
      <c r="C14" s="338"/>
      <c r="D14" s="338"/>
      <c r="E14" s="338"/>
      <c r="F14" s="338"/>
      <c r="G14" s="338"/>
      <c r="J14" s="239">
        <v>0</v>
      </c>
    </row>
    <row r="15" spans="1:10" outlineLevel="1" x14ac:dyDescent="0.15">
      <c r="B15" s="339" t="s">
        <v>92</v>
      </c>
      <c r="C15" s="339"/>
      <c r="D15" s="339"/>
      <c r="E15" s="339"/>
      <c r="F15" s="339"/>
      <c r="G15" s="339"/>
      <c r="J15" s="17">
        <f>SUM(J14:J14)</f>
        <v>0</v>
      </c>
    </row>
    <row r="16" spans="1:10" ht="6" customHeight="1" outlineLevel="1" x14ac:dyDescent="0.15"/>
    <row r="17" spans="2:10" outlineLevel="1" x14ac:dyDescent="0.15">
      <c r="B17" s="16" t="s">
        <v>283</v>
      </c>
      <c r="J17" s="228">
        <f>J6+J9+J12+J15</f>
        <v>11520</v>
      </c>
    </row>
    <row r="18" spans="2:10" ht="6" customHeight="1" outlineLevel="1" x14ac:dyDescent="0.15"/>
    <row r="19" spans="2:10" outlineLevel="1" x14ac:dyDescent="0.15">
      <c r="B19" s="338" t="str">
        <f>Assets!B20</f>
        <v>Fencing Equipment</v>
      </c>
      <c r="C19" s="338"/>
      <c r="D19" s="338"/>
      <c r="E19" s="338"/>
      <c r="F19" s="338"/>
      <c r="G19" s="338"/>
      <c r="J19" s="166">
        <v>0</v>
      </c>
    </row>
    <row r="20" spans="2:10" outlineLevel="1" x14ac:dyDescent="0.15">
      <c r="B20" s="338" t="str">
        <f>Assets!B22</f>
        <v>Leashold Improvements</v>
      </c>
      <c r="C20" s="338"/>
      <c r="D20" s="338"/>
      <c r="E20" s="338"/>
      <c r="F20" s="338"/>
      <c r="G20" s="338"/>
      <c r="J20" s="239">
        <f>3637-1099</f>
        <v>2538</v>
      </c>
    </row>
    <row r="21" spans="2:10" outlineLevel="1" x14ac:dyDescent="0.15">
      <c r="B21" s="339" t="s">
        <v>94</v>
      </c>
      <c r="C21" s="339"/>
      <c r="D21" s="339"/>
      <c r="E21" s="339"/>
      <c r="F21" s="339"/>
      <c r="G21" s="339"/>
      <c r="J21" s="17">
        <f>SUM(J19:J20)</f>
        <v>2538</v>
      </c>
    </row>
    <row r="22" spans="2:10" ht="6" customHeight="1" outlineLevel="1" x14ac:dyDescent="0.15"/>
    <row r="23" spans="2:10" outlineLevel="1" x14ac:dyDescent="0.15">
      <c r="B23" s="338" t="s">
        <v>95</v>
      </c>
      <c r="C23" s="338"/>
      <c r="D23" s="338"/>
      <c r="E23" s="338"/>
      <c r="F23" s="338"/>
      <c r="G23" s="338"/>
      <c r="J23" s="239">
        <v>0</v>
      </c>
    </row>
    <row r="24" spans="2:10" outlineLevel="1" x14ac:dyDescent="0.15">
      <c r="B24" s="339" t="s">
        <v>95</v>
      </c>
      <c r="C24" s="339"/>
      <c r="D24" s="339"/>
      <c r="E24" s="339"/>
      <c r="F24" s="339"/>
      <c r="G24" s="339"/>
      <c r="J24" s="17">
        <f>SUM(J23:J23)</f>
        <v>0</v>
      </c>
    </row>
    <row r="25" spans="2:10" ht="6" customHeight="1" outlineLevel="1" x14ac:dyDescent="0.15"/>
    <row r="26" spans="2:10" outlineLevel="1" x14ac:dyDescent="0.15">
      <c r="B26" s="16" t="s">
        <v>291</v>
      </c>
      <c r="J26" s="228">
        <f>J21+J24</f>
        <v>2538</v>
      </c>
    </row>
    <row r="27" spans="2:10" ht="6" customHeight="1" outlineLevel="1" x14ac:dyDescent="0.15"/>
    <row r="28" spans="2:10" outlineLevel="1" x14ac:dyDescent="0.15">
      <c r="B28" s="16" t="s">
        <v>97</v>
      </c>
      <c r="J28" s="241">
        <f>J17+J26</f>
        <v>14058</v>
      </c>
    </row>
    <row r="29" spans="2:10" ht="6" customHeight="1" outlineLevel="1" x14ac:dyDescent="0.15"/>
    <row r="30" spans="2:10" outlineLevel="1" x14ac:dyDescent="0.15">
      <c r="B30" s="338" t="s">
        <v>292</v>
      </c>
      <c r="C30" s="338"/>
      <c r="D30" s="338"/>
      <c r="E30" s="338"/>
      <c r="F30" s="338"/>
      <c r="G30" s="338"/>
      <c r="J30" s="166">
        <f>2247+2907</f>
        <v>5154</v>
      </c>
    </row>
    <row r="31" spans="2:10" outlineLevel="1" x14ac:dyDescent="0.15">
      <c r="B31" s="338" t="s">
        <v>293</v>
      </c>
      <c r="C31" s="338"/>
      <c r="D31" s="338"/>
      <c r="E31" s="338"/>
      <c r="F31" s="338"/>
      <c r="G31" s="338"/>
      <c r="J31" s="239">
        <v>1501</v>
      </c>
    </row>
    <row r="32" spans="2:10" outlineLevel="1" x14ac:dyDescent="0.15">
      <c r="B32" s="339" t="s">
        <v>294</v>
      </c>
      <c r="C32" s="339"/>
      <c r="D32" s="339"/>
      <c r="E32" s="339"/>
      <c r="F32" s="339"/>
      <c r="G32" s="339"/>
      <c r="J32" s="17">
        <f>SUM(J30:J31)</f>
        <v>6655</v>
      </c>
    </row>
    <row r="33" spans="2:10" ht="6" customHeight="1" outlineLevel="1" x14ac:dyDescent="0.15"/>
    <row r="34" spans="2:10" outlineLevel="1" x14ac:dyDescent="0.15">
      <c r="B34" s="338" t="s">
        <v>295</v>
      </c>
      <c r="C34" s="338"/>
      <c r="D34" s="338"/>
      <c r="E34" s="338"/>
      <c r="F34" s="338"/>
      <c r="G34" s="338"/>
      <c r="J34" s="239">
        <v>0</v>
      </c>
    </row>
    <row r="35" spans="2:10" outlineLevel="1" x14ac:dyDescent="0.15">
      <c r="B35" s="339" t="s">
        <v>296</v>
      </c>
      <c r="C35" s="339"/>
      <c r="D35" s="339"/>
      <c r="E35" s="339"/>
      <c r="F35" s="339"/>
      <c r="G35" s="339"/>
      <c r="J35" s="17">
        <f>SUM(J34:J34)</f>
        <v>0</v>
      </c>
    </row>
    <row r="36" spans="2:10" ht="6" customHeight="1" outlineLevel="1" x14ac:dyDescent="0.15">
      <c r="J36" s="5"/>
    </row>
    <row r="37" spans="2:10" outlineLevel="1" x14ac:dyDescent="0.15">
      <c r="B37" s="107" t="s">
        <v>98</v>
      </c>
      <c r="J37" s="17">
        <f>J32+J35</f>
        <v>6655</v>
      </c>
    </row>
    <row r="38" spans="2:10" ht="6" customHeight="1" outlineLevel="1" x14ac:dyDescent="0.15"/>
    <row r="39" spans="2:10" outlineLevel="1" x14ac:dyDescent="0.15">
      <c r="B39" s="107" t="s">
        <v>99</v>
      </c>
      <c r="J39" s="166">
        <v>0</v>
      </c>
    </row>
    <row r="40" spans="2:10" ht="6" customHeight="1" outlineLevel="1" x14ac:dyDescent="0.15"/>
    <row r="41" spans="2:10" outlineLevel="1" x14ac:dyDescent="0.15">
      <c r="B41" s="107" t="s">
        <v>100</v>
      </c>
      <c r="J41" s="166">
        <v>0</v>
      </c>
    </row>
    <row r="42" spans="2:10" ht="6" customHeight="1" outlineLevel="1" x14ac:dyDescent="0.15"/>
    <row r="43" spans="2:10" outlineLevel="1" x14ac:dyDescent="0.15">
      <c r="B43" s="338" t="s">
        <v>297</v>
      </c>
      <c r="C43" s="338"/>
      <c r="D43" s="338"/>
      <c r="E43" s="338"/>
      <c r="F43" s="338"/>
      <c r="G43" s="338"/>
      <c r="J43" s="239">
        <v>0</v>
      </c>
    </row>
    <row r="44" spans="2:10" outlineLevel="1" x14ac:dyDescent="0.15">
      <c r="B44" s="339" t="s">
        <v>101</v>
      </c>
      <c r="C44" s="339"/>
      <c r="D44" s="339"/>
      <c r="E44" s="339"/>
      <c r="F44" s="339"/>
      <c r="G44" s="339"/>
      <c r="J44" s="17">
        <f>SUM(J43:J43)</f>
        <v>0</v>
      </c>
    </row>
    <row r="45" spans="2:10" ht="6" customHeight="1" outlineLevel="1" x14ac:dyDescent="0.15"/>
    <row r="46" spans="2:10" outlineLevel="1" x14ac:dyDescent="0.15">
      <c r="B46" s="107" t="s">
        <v>102</v>
      </c>
      <c r="J46" s="166">
        <v>0</v>
      </c>
    </row>
    <row r="47" spans="2:10" ht="6" customHeight="1" outlineLevel="1" x14ac:dyDescent="0.15"/>
    <row r="48" spans="2:10" outlineLevel="1" x14ac:dyDescent="0.15">
      <c r="B48" s="338" t="s">
        <v>298</v>
      </c>
      <c r="C48" s="338"/>
      <c r="D48" s="338"/>
      <c r="E48" s="338"/>
      <c r="F48" s="338"/>
      <c r="G48" s="338"/>
      <c r="J48" s="239">
        <v>0</v>
      </c>
    </row>
    <row r="49" spans="2:10" outlineLevel="1" x14ac:dyDescent="0.15">
      <c r="B49" s="339" t="s">
        <v>105</v>
      </c>
      <c r="C49" s="339"/>
      <c r="D49" s="339"/>
      <c r="E49" s="339"/>
      <c r="F49" s="339"/>
      <c r="G49" s="339"/>
      <c r="J49" s="17">
        <f>SUM(J48:J48)</f>
        <v>0</v>
      </c>
    </row>
    <row r="50" spans="2:10" ht="6" customHeight="1" outlineLevel="1" x14ac:dyDescent="0.15"/>
    <row r="51" spans="2:10" outlineLevel="1" x14ac:dyDescent="0.15">
      <c r="B51" s="16" t="s">
        <v>299</v>
      </c>
      <c r="J51" s="228">
        <f>J37+J39+J41+J44+J46+J49</f>
        <v>6655</v>
      </c>
    </row>
    <row r="52" spans="2:10" ht="6" customHeight="1" outlineLevel="1" x14ac:dyDescent="0.15"/>
    <row r="53" spans="2:10" outlineLevel="1" x14ac:dyDescent="0.15">
      <c r="B53" s="338" t="s">
        <v>300</v>
      </c>
      <c r="C53" s="338"/>
      <c r="D53" s="338"/>
      <c r="E53" s="338"/>
      <c r="F53" s="338"/>
      <c r="G53" s="338"/>
      <c r="J53" s="166">
        <v>0</v>
      </c>
    </row>
    <row r="54" spans="2:10" outlineLevel="1" x14ac:dyDescent="0.15">
      <c r="B54" s="338" t="s">
        <v>301</v>
      </c>
      <c r="C54" s="338"/>
      <c r="D54" s="338"/>
      <c r="E54" s="338"/>
      <c r="F54" s="338"/>
      <c r="G54" s="338"/>
      <c r="J54" s="239">
        <v>0</v>
      </c>
    </row>
    <row r="55" spans="2:10" outlineLevel="1" x14ac:dyDescent="0.15">
      <c r="B55" s="339" t="s">
        <v>107</v>
      </c>
      <c r="C55" s="339"/>
      <c r="D55" s="339"/>
      <c r="E55" s="339"/>
      <c r="F55" s="339"/>
      <c r="G55" s="339"/>
      <c r="J55" s="17">
        <f>SUM(J53:J54)</f>
        <v>0</v>
      </c>
    </row>
    <row r="56" spans="2:10" ht="6" customHeight="1" outlineLevel="1" x14ac:dyDescent="0.15"/>
    <row r="57" spans="2:10" outlineLevel="1" x14ac:dyDescent="0.15">
      <c r="B57" s="338" t="s">
        <v>302</v>
      </c>
      <c r="C57" s="338"/>
      <c r="D57" s="338"/>
      <c r="E57" s="338"/>
      <c r="F57" s="338"/>
      <c r="G57" s="338"/>
      <c r="J57" s="239">
        <v>0</v>
      </c>
    </row>
    <row r="58" spans="2:10" outlineLevel="1" x14ac:dyDescent="0.15">
      <c r="B58" s="339" t="s">
        <v>108</v>
      </c>
      <c r="C58" s="339"/>
      <c r="D58" s="339"/>
      <c r="E58" s="339"/>
      <c r="F58" s="339"/>
      <c r="G58" s="339"/>
      <c r="J58" s="17">
        <f>SUM(J57:J57)</f>
        <v>0</v>
      </c>
    </row>
    <row r="59" spans="2:10" ht="6" customHeight="1" outlineLevel="1" x14ac:dyDescent="0.15"/>
    <row r="60" spans="2:10" outlineLevel="1" x14ac:dyDescent="0.15">
      <c r="B60" s="16" t="s">
        <v>303</v>
      </c>
      <c r="J60" s="228">
        <f>J55+J58</f>
        <v>0</v>
      </c>
    </row>
    <row r="61" spans="2:10" ht="6" customHeight="1" outlineLevel="1" x14ac:dyDescent="0.15"/>
    <row r="62" spans="2:10" outlineLevel="1" x14ac:dyDescent="0.15">
      <c r="B62" s="16" t="s">
        <v>110</v>
      </c>
      <c r="J62" s="241">
        <f>J51+J60</f>
        <v>6655</v>
      </c>
    </row>
    <row r="63" spans="2:10" ht="6" customHeight="1" outlineLevel="1" x14ac:dyDescent="0.15"/>
    <row r="64" spans="2:10" ht="13" outlineLevel="1" thickBot="1" x14ac:dyDescent="0.2">
      <c r="B64" s="16" t="s">
        <v>103</v>
      </c>
      <c r="J64" s="242">
        <f>J28-J62</f>
        <v>7403</v>
      </c>
    </row>
    <row r="65" spans="2:10" ht="6" customHeight="1" outlineLevel="1" thickTop="1" x14ac:dyDescent="0.15"/>
    <row r="66" spans="2:10" outlineLevel="1" x14ac:dyDescent="0.15">
      <c r="B66" s="107" t="s">
        <v>111</v>
      </c>
      <c r="J66" s="166">
        <v>0</v>
      </c>
    </row>
    <row r="67" spans="2:10" ht="6" customHeight="1" outlineLevel="1" x14ac:dyDescent="0.15"/>
    <row r="68" spans="2:10" outlineLevel="1" x14ac:dyDescent="0.15">
      <c r="B68" s="338" t="s">
        <v>304</v>
      </c>
      <c r="C68" s="338"/>
      <c r="D68" s="338"/>
      <c r="E68" s="338"/>
      <c r="F68" s="338"/>
      <c r="G68" s="338"/>
      <c r="J68" s="239">
        <v>0</v>
      </c>
    </row>
    <row r="69" spans="2:10" outlineLevel="1" x14ac:dyDescent="0.15">
      <c r="B69" s="339" t="s">
        <v>112</v>
      </c>
      <c r="C69" s="339"/>
      <c r="D69" s="339"/>
      <c r="E69" s="339"/>
      <c r="F69" s="339"/>
      <c r="G69" s="339"/>
      <c r="J69" s="17">
        <f>SUM(J68:J68)</f>
        <v>0</v>
      </c>
    </row>
    <row r="70" spans="2:10" ht="6" customHeight="1" outlineLevel="1" x14ac:dyDescent="0.15"/>
    <row r="71" spans="2:10" outlineLevel="1" x14ac:dyDescent="0.15">
      <c r="B71" s="107" t="s">
        <v>113</v>
      </c>
      <c r="J71" s="17">
        <f>J64-J66-J69</f>
        <v>7403</v>
      </c>
    </row>
    <row r="72" spans="2:10" ht="6" customHeight="1" outlineLevel="1" x14ac:dyDescent="0.15"/>
    <row r="73" spans="2:10" ht="13" outlineLevel="1" thickBot="1" x14ac:dyDescent="0.2">
      <c r="B73" s="16" t="s">
        <v>114</v>
      </c>
      <c r="J73" s="242">
        <f>J66+J69+J71</f>
        <v>7403</v>
      </c>
    </row>
    <row r="74" spans="2:10" ht="13" outlineLevel="1" thickTop="1" x14ac:dyDescent="0.15"/>
    <row r="75" spans="2:10" hidden="1" outlineLevel="2" x14ac:dyDescent="0.15">
      <c r="C75" s="107" t="s">
        <v>192</v>
      </c>
      <c r="J75" s="17">
        <f>IF(ISERROR(J64-J73),1,0)</f>
        <v>0</v>
      </c>
    </row>
    <row r="76" spans="2:10" hidden="1" outlineLevel="2" x14ac:dyDescent="0.15">
      <c r="C76" s="107" t="s">
        <v>305</v>
      </c>
      <c r="J76" s="42">
        <f>IF(J75&lt;&gt;0,0,IF(ROUND(J64-J73,5)&lt;&gt;0,1,0))</f>
        <v>0</v>
      </c>
    </row>
    <row r="77" spans="2:10" outlineLevel="1" collapsed="1" x14ac:dyDescent="0.15">
      <c r="B77" s="107" t="s">
        <v>306</v>
      </c>
      <c r="J77" s="17">
        <f>IF(ISERROR(SUM(J75:J76)),1,MIN(SUM(J75:J76),1))</f>
        <v>0</v>
      </c>
    </row>
    <row r="78" spans="2:10" ht="6" hidden="1" customHeight="1" outlineLevel="2" x14ac:dyDescent="0.15"/>
    <row r="79" spans="2:10" outlineLevel="1" collapsed="1" x14ac:dyDescent="0.15">
      <c r="B79" s="107" t="s">
        <v>307</v>
      </c>
      <c r="J79" s="17">
        <f>IF(ISERROR(J6),0,IF(J6&lt;0,1,0))</f>
        <v>0</v>
      </c>
    </row>
  </sheetData>
  <sheetProtection algorithmName="SHA-512" hashValue="tlMS7znOZXyZekABBh+a3OkjiZUVJnVftKKIeKenguJqIQ3arL0FEV/t7j844PEGsAMuiwyLBk2ZK2CFHQpJ3Q==" saltValue="MCo8wk3PD7v/CsL+9OjL3Q==" spinCount="100000" sheet="1" objects="1" scenarios="1" formatColumns="0" formatRows="0"/>
  <mergeCells count="27">
    <mergeCell ref="B57:G57"/>
    <mergeCell ref="B58:G58"/>
    <mergeCell ref="B8:G8"/>
    <mergeCell ref="B9:G9"/>
    <mergeCell ref="B11:G11"/>
    <mergeCell ref="B12:G12"/>
    <mergeCell ref="B14:G14"/>
    <mergeCell ref="B15:G15"/>
    <mergeCell ref="B31:G31"/>
    <mergeCell ref="B20:G20"/>
    <mergeCell ref="B54:G54"/>
    <mergeCell ref="B69:G69"/>
    <mergeCell ref="B49:G49"/>
    <mergeCell ref="B32:G32"/>
    <mergeCell ref="B19:G19"/>
    <mergeCell ref="B21:G21"/>
    <mergeCell ref="B23:G23"/>
    <mergeCell ref="B24:G24"/>
    <mergeCell ref="B30:G30"/>
    <mergeCell ref="B34:G34"/>
    <mergeCell ref="B35:G35"/>
    <mergeCell ref="B43:G43"/>
    <mergeCell ref="B44:G44"/>
    <mergeCell ref="B48:G48"/>
    <mergeCell ref="B53:G53"/>
    <mergeCell ref="B68:G68"/>
    <mergeCell ref="B55:G55"/>
  </mergeCells>
  <conditionalFormatting sqref="J75:J77">
    <cfRule type="cellIs" dxfId="162" priority="1" operator="notEqual">
      <formula>0</formula>
    </cfRule>
  </conditionalFormatting>
  <conditionalFormatting sqref="J79">
    <cfRule type="cellIs" dxfId="161" priority="4" operator="notEqual">
      <formula>0</formula>
    </cfRule>
  </conditionalFormatting>
  <dataValidations disablePrompts="1" count="1">
    <dataValidation type="custom" showErrorMessage="1" errorTitle="Invalid Assumption" error="Assumption must be a number." sqref="J6 J68 J66 J57 J19:J20 J48 J46 J43 J41 J39 J34 J8 J23 J30:J31 J14 J11 J53:J54" xr:uid="{1D1F4613-87E5-4B8D-AD3A-3DB71EEA85CE}">
      <formula1>NOT(ISERROR(J6/1))</formula1>
    </dataValidation>
  </dataValidations>
  <hyperlinks>
    <hyperlink ref="A1" location="HL_Home" tooltip="Go to Table of Contents" display="HL_Home" xr:uid="{6BB320AA-056E-43AC-83BE-BC6E2B16F323}"/>
    <hyperlink ref="A2" location="HL_Err_Chk" tooltip="Go to Error Checks" display="HL_Err_Chk" xr:uid="{5D2037AD-E380-4FD4-B217-32E20BAFFD89}"/>
  </hyperlinks>
  <pageMargins left="0.4" right="0.4" top="0.6" bottom="1" header="0" footer="0.3"/>
  <pageSetup scale="75" orientation="landscape" r:id="rId1"/>
  <headerFooter>
    <oddFooter>&amp;L&amp;F
&amp;A
Printed: &amp;T on &amp;D&amp;CPage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e t t i n g s   x m l n s : x s i = " h t t p : / / w w w . w 3 . o r g / 2 0 0 1 / X M L S c h e m a - i n s t a n c e "   x m l n s : x s d = " h t t p : / / w w w . w 3 . o r g / 2 0 0 1 / X M L S c h e m a " >  
     < O p t i o n >  
         < O p t i o n T y p e > T o c I n c l u d e P r i n t e d P a g e N u m b e r s < / O p t i o n T y p e >  
         < U s e A p p l i c a t i o n S e t t i n g > t r u e < / U s e A p p l i c a t i o n S e t t i n g >  
         < V a l u e > f a l s e < / V a l u e >  
     < / O p t i o n >  
     < O p t i o n >  
         < O p t i o n T y p e > T o c P r o m p t F o r P a g e N u m b e r s < / O p t i o n T y p e >  
         < U s e A p p l i c a t i o n S e t t i n g > t r u e < / U s e A p p l i c a t i o n S e t t i n g >  
         < V a l u e > t r u e < / V a l u e >  
     < / O p t i o n >  
     < O p t i o n >  
         < O p t i o n T y p e > T o c S h o w C u s t o m T o c E n t r i e s < / O p t i o n T y p e >  
         < U s e A p p l i c a t i o n S e t t i n g > t r u e < / U s e A p p l i c a t i o n S e t t i n g >  
         < V a l u e > f a l s e < / V a l u e >  
     < / O p t i o n >  
     < O p t i o n >  
         < O p t i o n T y p e > A u t o I n s e r t P r o j e c t S e c t i o n C o v e r s < / O p t i o n T y p e >  
         < U s e A p p l i c a t i o n S e t t i n g > f a l s e < / U s e A p p l i c a t i o n S e t t i n g >  
         < V a l u e > f a l s e < / V a l u e >  
     < / O p t i o n >  
     < O p t i o n >  
         < O p t i o n T y p e > A u t o I n s e r t P r o j e c t S u b S e c t i o n C o v e r s < / O p t i o n T y p e >  
         < U s e A p p l i c a t i o n S e t t i n g > f a l s e < / U s e A p p l i c a t i o n S e t t i n g >  
         < V a l u e > f a l s e < / V a l u e >  
     < / O p t i o n >  
     < O p t i o n >  
         < O p t i o n T y p e > A u t o I n s e r t M o d u l e S e c t i o n C o v e r s < / O p t i o n T y p e >  
         < U s e A p p l i c a t i o n S e t t i n g > t r u e < / U s e A p p l i c a t i o n S e t t i n g >  
         < V a l u e > f a l s e < / V a l u e >  
     < / O p t i o n >  
     < O p t i o n >  
         < O p t i o n T y p e > A u t o I n s e r t M o d u l e S u b S e c t i o n C o v e r s < / O p t i o n T y p e >  
         < U s e A p p l i c a t i o n S e t t i n g > t r u e < / U s e A p p l i c a t i o n S e t t i n g >  
         < V a l u e > f a l s e < / V a l u e >  
     < / O p t i o n >  
     < O p t i o n >  
         < O p t i o n T y p e > G r o u p L o o k u p s C o m p o n e n t s < / O p t i o n T y p e >  
         < U s e A p p l i c a t i o n S e t t i n g > t r u e < / U s e A p p l i c a t i o n S e t t i n g >  
         < V a l u e > t r u e < / V a l u e >  
     < / O p t i o n >  
     < O p t i o n >  
         < O p t i o n T y p e > S h e e t N a m e s B e s t P r a c t i c e S y n t a x < / O p t i o n T y p e >  
         < U s e A p p l i c a t i o n S e t t i n g > t r u e < / U s e A p p l i c a t i o n S e t t i n g >  
         < V a l u e > f a l s e < / V a l u e >  
     < / O p t i o n >  
     < O p t i o n >  
         < O p t i o n T y p e > S h e e t N a m e s A u t o U n d e r s c o r e < / O p t i o n T y p e >  
         < U s e A p p l i c a t i o n S e t t i n g > t r u e < / U s e A p p l i c a t i o n S e t t i n g >  
         < V a l u e > t r u e < / V a l u e >  
     < / O p t i o n >  
     < O p t i o n >  
         < O p t i o n T y p e > G r o u p C o m p o n e n t R o w s < / O p t i o n T y p e >  
         < U s e A p p l i c a t i o n S e t t i n g > t r u e < / U s e A p p l i c a t i o n S e t t i n g >  
         < V a l u e > t r u e < / V a l u e >  
     < / O p t i o n >  
     < O p t i o n >  
         < O p t i o n T y p e > A d d C o m p o n e n t H y p e r l i n k s < / O p t i o n T y p e >  
         < U s e A p p l i c a t i o n S e t t i n g > t r u e < / U s e A p p l i c a t i o n S e t t i n g >  
         < V a l u e > f a l s e < / V a l u e >  
     < / O p t i o n >  
     < O p t i o n >  
         < O p t i o n T y p e > D i s a b l e T h e m e C h a n g e P r o m p t < / O p t i o n T y p e >  
         < U s e A p p l i c a t i o n S e t t i n g > t r u e < / U s e A p p l i c a t i o n S e t t i n g >  
         < V a l u e > f a l s e < / V a l u e >  
     < / O p t i o n >  
     < O p t i o n >  
         < O p t i o n T y p e > I n s e r t M o d u l e s S p e c i f y C o m p o n e n t s < / O p t i o n T y p e >  
         < U s e A p p l i c a t i o n S e t t i n g > t r u e < / U s e A p p l i c a t i o n S e t t i n g >  
         < V a l u e > f a l s e < / V a l u e >  
     < / O p t i o n >  
     < O p t i o n >  
         < O p t i o n T y p e > I n s e r t M o d u l e s S p e c i f y L i n k s < / O p t i o n T y p e >  
         < U s e A p p l i c a t i o n S e t t i n g > t r u e < / U s e A p p l i c a t i o n S e t t i n g >  
         < V a l u e > f a l s e < / V a l u e >  
     < / O p t i o n >  
     < O p t i o n >  
         < O p t i o n T y p e > P r o t e c t S t r u c t u r e B e f o r e S a v i n g < / O p t i o n T y p e >  
         < U s e A p p l i c a t i o n S e t t i n g > t r u e < / U s e A p p l i c a t i o n S e t t i n g >  
         < V a l u e > t r u e < / V a l u e >  
     < / O p t i o n >  
     < I g n o r e C e l l C o n t e n t > t r u e < / I g n o r e C e l l C o n t e n t >  
     < A u t o F o n t C o l o r S t y l e T y p e s > 0 , 1 , 2 , 5 , 6 , 7 , 8 , 9 , 1 0 , 1 1 , 1 2 , 1 3 , 1 4 , 1 5 , 1 6 , 1 7 , 1 8 , 1 9 , 2 0 , 2 1 , 2 3 , 2 4 , 2 5 , 3 3 < / A u t o F o n t C o l o r S t y l e T y p e s >  
     < B a s e S h e e t T y p e C o l o r >  
         < B a s e S h e e t T y p e > C o v e r 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 C o n t e n t s 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 S e c t i o n C o v e r 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 S u b S e c t i o n C o v e r < / 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 B l a n k A s s u m p t i o n s 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 T i m e S e r i e s A s s u m p t i o n s 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 B l a n k O u t p u t s 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 T i m e S e r i e s O u t p u t s 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 L o o k u p s 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 S c h e m a t i c s < / 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 C h a r t < / 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B a s e S h e e t T y p e C o l o r >  
         < B a s e S h e e t T y p e > O v e r v i e w < / B a s e S h e e t T y p e >  
         < I n t e r i o r C o l o r T y p e > N o n e O r A u t o m a t i c < / I n t e r i o r C o l o r T y p e >  
         < I n t e r i o r C o l o r N u m b e r > 0 < / I n t e r i o r C o l o r N u m b e r >  
         < I n t e r i o r C o l o r P a t c h R g b > 0 < / I n t e r i o r C o l o r P a t c h R g b >  
         < I n t e r i o r T i n t A n d S h a d e > 0 < / I n t e r i o r T i n t A n d S h a d e >  
         < T a b C o l o r T y p e > N o n e O r A u t o m a t i c < / T a b C o l o r T y p e >  
         < T a b C o l o r N u m b e r > 0 < / T a b C o l o r N u m b e r >  
         < T a b C o l o r P a t c h R g b > 0 < / T a b C o l o r P a t c h R g b >  
         < T a b T i n t A n d S h a d e > 0 < / T a b T i n t A n d S h a d e >  
     < / B a s e S h e e t T y p e C o l o r >  
     < R e q u i r e d C o l o r >  
         < R e q u i r e d C o l o r T y p e > C o n s t a n t < / R e q u i r e d C o l o r T y p e >  
         < C o l o r T y p e > T h e m e C o l o r P a t c h < / C o l o r T y p e >  
         < C o l o r N u m b e r > 5 < / C o l o r N u m b e r >  
         < C o l o r P a t c h R g b > 3 5 4 6 3 8 4 < / C o l o r P a t c h R g b >  
         < T i n t A n d S h a d e > - 0 . 4 9 9 9 8 4 7 < / T i n t A n d S h a d e >  
     < / R e q u i r e d C o l o r >  
     < R e q u i r e d C o l o r >  
         < R e q u i r e d C o l o r T y p e > F o r m u l a < / R e q u i r e d C o l o r T y p e >  
         < C o l o r T y p e > T h e m e C o l o r P a t c h < / C o l o r T y p e >  
         < C o l o r N u m b e r > 2 < / C o l o r N u m b e r >  
         < C o l o r P a t c h R g b > 4 2 1 0 7 5 2 < / C o l o r P a t c h R g b >  
         < T i n t A n d S h a d e > 0 . 2 4 9 9 7 7 1 < / T i n t A n d S h a d e >  
     < / R e q u i r e d C o l o r >  
     < R e q u i r e d C o l o r >  
         < R e q u i r e d C o l o r T y p e > M i x e d C e l l < / R e q u i r e d C o l o r T y p e >  
         < C o l o r T y p e > T h e m e C o l o r P a t c h < / C o l o r T y p e >  
         < C o l o r N u m b e r > 1 0 < / C o l o r N u m b e r >  
         < C o l o r P a t c h R g b > 9 9 8 7 9 0 3 < / C o l o r P a t c h R g b >  
         < T i n t A n d S h a d e > - 0 . 4 9 9 9 8 4 7 < / T i n t A n d S h a d e >  
     < / R e q u i r e d C o l o r >  
     < R e q u i r e d C o l o r >  
         < R e q u i r e d C o l o r T y p e > C h e c k < / R e q u i r e d C o l o r T y p e >  
         < C o l o r T y p e > C o l o r I n d e x < / C o l o r T y p e >  
         < C o l o r N u m b e r > 5 1 < / C o l o r N u m b e r >  
         < C o l o r P a t c h R g b > 4 2 0 4 7 4 7 < / C o l o r P a t c h R g b >  
         < T i n t A n d S h a d e > 0 < / T i n t A n d S h a d e >  
     < / R e q u i r e d C o l o r >  
     < R e q u i r e d C o l o r >  
         < R e q u i r e d C o l o r T y p e > H y p e r l i n k < / R e q u i r e d C o l o r T y p e >  
         < C o l o r T y p e > T h e m e C o l o r P a t c h < / C o l o r T y p e >  
         < C o l o r N u m b e r > 1 2 < / C o l o r N u m b e r >  
         < C o l o r P a t c h R g b > 6 9 6 8 3 8 8 < / C o l o r P a t c h R g b >  
         < T i n t A n d S h a d e > 0 < / T i n t A n d S h a d e >  
     < / R e q u i r e d C o l o r >  
     < R e q u i r e d C o l o r >  
         < R e q u i r e d C o l o r T y p e > W o r k I n P r o g r e s s < / R e q u i r e d C o l o r T y p e >  
         < C o l o r T y p e > C o l o r I n d e x < / C o l o r T y p e >  
         < C o l o r N u m b e r > 5 5 < / C o l o r N u m b e r >  
         < C o l o r P a t c h R g b > 7 9 2 9 8 5 5 < / C o l o r P a t c h R g b >  
         < T i n t A n d S h a d e > 0 < / T i n t A n d S h a d e >  
     < / R e q u i r e d C o l o r >  
     < R e q u i r e d C o l o r >  
         < R e q u i r e d C o l o r T y p e > C o l o r A < / R e q u i r e d C o l o r T y p e >  
         < C o l o r T y p e > C o l o r I n d e x < / C o l o r T y p e >  
         < C o l o r N u m b e r > 1 1 < / C o l o r N u m b e r >  
         < C o l o r P a t c h R g b > 1 5 1 3 2 3 9 0 < / C o l o r P a t c h R g b >  
         < T i n t A n d S h a d e > 0 < / T i n t A n d S h a d e >  
     < / R e q u i r e d C o l o r >  
     < R e q u i r e d C o l o r >  
         < R e q u i r e d C o l o r T y p e > C o l o r B < / R e q u i r e d C o l o r T y p e >  
         < C o l o r T y p e > C o l o r I n d e x < / C o l o r T y p e >  
         < C o l o r N u m b e r > 5 6 < / C o l o r N u m b e r >  
         < C o l o r P a t c h R g b > 1 6 7 7 7 2 1 5 < / C o l o r P a t c h R g b >  
         < T i n t A n d S h a d e > 0 < / T i n t A n d S h a d e >  
     < / R e q u i r e d C o l o r >  
     < S h e e t T i t l e R o w >  
         < T y p e > S h e e t T i t l e < / T y p e >  
         < I n c l u d e > t r u e < / I n c l u d e >  
         < S e t t i n g > V i s i b l e < / S e t t i n g >  
         < C o l u m n N u m b e r > 2 < / C o l u m n N u m b e r >  
     < / S h e e t T i t l e R o w >  
     < S h e e t T i t l e R o w >  
         < T y p e > M o d e l N a m e < / T y p e >  
         < I n c l u d e > t r u e < / I n c l u d e >  
         < S e t t i n g > V i s i b l e < / S e t t i n g >  
         < C o l u m n N u m b e r > 2 < / C o l u m n N u m b e r >  
     < / S h e e t T i t l e R o w >  
     < S h e e t T i t l e R o w >  
         < T y p e > T o c H y p e r l i n k < / T y p e >  
         < I n c l u d e > f a l s e < / I n c l u d e >  
         < S e t t i n g > V i s i b l e < / S e t t i n g >  
         < C o l u m n N u m b e r > 2 < / C o l u m n N u m b e r >  
     < / S h e e t T i t l e R o w >  
     < S h e e t T i t l e R o w >  
         < T y p e > N a v i g a t i o n H y p e r l i n k s < / T y p e >  
         < I n c l u d e > f a l s e < / I n c l u d e >  
         < S e t t i n g > V i s i b l e < / S e t t i n g >  
         < C o l u m n N u m b e r > 1 < / C o l u m n N u m b e r >  
     < / S h e e t T i t l e R o w >  
     < I s s u e s R e g i s t e r S o r t B y / >  
     < I s s u e s R e g i s t e r C o l o r >  
         < T y p e > H e a d e r F o n t < / T y p e >  
         < C o l o r T y p e > C u s t o m < / C o l o r T y p e >  
         < C o l o r N u m b e r > 1 6 7 7 7 2 1 5 < / C o l o r N u m b e r >  
         < C o l o r P a t c h R g b > 0 < / C o l o r P a t c h R g b >  
         < T i n t A n d S h a d e > 0 < / T i n t A n d S h a d e >  
     < / I s s u e s R e g i s t e r C o l o r >  
     < I s s u e s R e g i s t e r C o l o r >  
         < T y p e > H e a d e r F i l l < / T y p e >  
         < C o l o r T y p e > T h e m e C o l o r < / C o l o r T y p e >  
         < C o l o r N u m b e r > 5 < / C o l o r N u m b e r >  
         < C o l o r P a t c h R g b > 0 < / C o l o r P a t c h R g b >  
         < T i n t A n d S h a d e > 0 < / T i n t A n d S h a d e >  
     < / I s s u e s R e g i s t e r C o l o r >  
     < I s s u e s R e g i s t e r C o l o r >  
         < T y p e > O p e n I s s u e s F o n t < / T y p e >  
         < C o l o r T y p e > N o n e O r A u t o m a t i c < / C o l o r T y p e >  
         < C o l o r N u m b e r > 0 < / C o l o r N u m b e r >  
         < C o l o r P a t c h R g b > 0 < / C o l o r P a t c h R g b >  
         < T i n t A n d S h a d e > 0 < / T i n t A n d S h a d e >  
     < / I s s u e s R e g i s t e r C o l o r >  
     < I s s u e s R e g i s t e r C o l o r >  
         < T y p e > O p e n I s s u e s F i l l < / T y p e >  
         < C o l o r T y p e > N o n e O r A u t o m a t i c < / C o l o r T y p e >  
         < C o l o r N u m b e r > 0 < / C o l o r N u m b e r >  
         < C o l o r P a t c h R g b > 0 < / C o l o r P a t c h R g b >  
         < T i n t A n d S h a d e > 0 < / T i n t A n d S h a d e >  
     < / I s s u e s R e g i s t e r C o l o r >  
     < I s s u e s R e g i s t e r C o l o r >  
         < T y p e > C l o s e d I s s u e s F o n t < / T y p e >  
         < C o l o r T y p e > C u s t o m < / C o l o r T y p e >  
         < C o l o r N u m b e r > 6 7 1 0 8 8 6 < / C o l o r N u m b e r >  
         < C o l o r P a t c h R g b > 0 < / C o l o r P a t c h R g b >  
         < T i n t A n d S h a d e > 0 < / T i n t A n d S h a d e >  
     < / I s s u e s R e g i s t e r C o l o r >  
     < I s s u e s R e g i s t e r C o l o r >  
         < T y p e > C l o s e d I s s u e s F i l l < / T y p e >  
         < C o l o r T y p e > C u s t o m < / C o l o r T y p e >  
         < C o l o r N u m b e r > 1 5 5 9 2 9 4 1 < / C o l o r N u m b e r >  
         < C o l o r P a t c h R g b > 0 < / C o l o r P a t c h R g b >  
         < T i n t A n d S h a d e > 0 < / T i n t A n d S h a d e >  
     < / I s s u e s R e g i s t e r C o l o r >  
     < I s s u e s R e g i s t e r C o l o r >  
         < T y p e > R e d u n d a n t I s s u e s F o n t < / T y p e >  
         < C o l o r T y p e > C u s t o m < / C o l o r T y p e >  
         < C o l o r N u m b e r > 1 6 7 7 7 2 1 5 < / C o l o r N u m b e r >  
         < C o l o r P a t c h R g b > 0 < / C o l o r P a t c h R g b >  
         < T i n t A n d S h a d e > 0 < / T i n t A n d S h a d e >  
     < / I s s u e s R e g i s t e r C o l o r >  
     < I s s u e s R e g i s t e r C o l o r >  
         < T y p e > R e d u n d a n t I s s u e s F i l l < / T y p e >  
         < C o l o r T y p e > C u s t o m < / C o l o r T y p e >  
         < C o l o r N u m b e r > 4 2 0 4 7 4 7 < / C o l o r N u m b e r >  
         < C o l o r P a t c h R g b > 0 < / C o l o r P a t c h R g b >  
         < T i n t A n d S h a d e > 0 < / T i n t A n d S h a d e >  
     < / I s s u e s R e g i s t e r C o l o r >  
     < I s s u e s R e g i s t e r C o l o r >  
         < T y p e > I s s u e s B o r d e r < / T y p e >  
         < C o l o r T y p e > C u s t o m < / C o l o r T y p e >  
         < C o l o r N u m b e r > 1 3 2 2 4 3 9 3 < / C o l o r N u m b e r >  
         < C o l o r P a t c h R g b > 0 < / C o l o r P a t c h R g b >  
         < T i n t A n d S h a d e > 0 < / T i n t A n d S h a d e >  
     < / I s s u e s R e g i s t e r C o l o r >  
 < / W o r k b o o k S e t t i n g s > 
</file>

<file path=customXml/item2.xml><?xml version="1.0" encoding="utf-8"?>
<Proj>
  <ProjProps>
    <MVS>14.0.5.0</MVS>
    <FV>3</FV>
    <PT>0</PT>
    <N><![CDATA[Venue Project Model v1.0]]></N>
    <NIC>False</NIC>
    <D><![CDATA[Dynamic modular template to be used as a foundation for building a custom financial model, including financial statements based on the Modano generic financial modeling Chart of Accounts 2, including modular scalable scenario analysis.]]></D>
    <R><![CDATA[United Kingdom]]></R>
    <GE><![CDATA[Single Entity Model]]></GE>
    <CA><![CDATA[Chart of Accounts 2, Scenarios]]></CA>
    <GST><![CDATA[VAT]]></GST>
    <TS><![CDATA[Monthly]]></TS>
    <VA><![CDATA[Single Component, Variable Drivers]]></VA>
    <DE><![CDATA[Modano]]></DE>
    <E><![CDATA[info@modano.com]]></E>
    <C><![CDATA[Modano]]></C>
    <W><![CDATA[www.modano.com]]></W>
    <K/>
    <CO/>
    <RGB>0</RGB>
    <V>11.0.1.0.</V>
    <MV>False</MV>
    <AX>2</AX>
    <PAX/>
    <SX/>
    <LVI>2EC</LVI>
    <HITSW>False</HITSW>
    <RP/>
    <FN/>
    <FP/>
    <HEPSW>False</HEPSW>
    <FA>1</FA>
    <FMWC>1</FMWC>
    <MPMN>0</MPMN>
    <TSMWN>1</TSMWN>
    <TSMN>1</TSMN>
    <AP/>
    <RBL>False</RBL>
    <RBLPR>False</RBLPR>
    <RBLPA/>
    <PC>False</PC>
    <PCP/>
    <LAP/>
  </ProjProps>
  <ModAreaLib>
    <ModAreaLibProps>
      <MVS>14.0.5.0</MVS>
      <RAV/>
      <RXV>0</RXV>
      <FV>3</FV>
      <G>23CBC627-E454-4DD1-94A1-A60C130EA824</G>
      <N><![CDATA[ModuleSuite]]></N>
      <D/>
      <R/>
      <GE/>
      <CA/>
      <TS/>
      <DE/>
      <E/>
      <C/>
      <W/>
      <K/>
      <CO/>
      <V>1.0.0.0.</V>
      <AX/>
      <SX/>
      <AP/>
      <RBL>False</RBL>
      <RBLPR>False</RBLPR>
      <RBLPA/>
      <PC>False</PC>
      <PP/>
    </ModAreaLibProps>
    <ModAreas>
      <ModArea>
        <ModAreaProps>
          <MAT>0</MAT>
          <G>560313AD-F472-4E44-887C-A1C659521551</G>
          <N><![CDATA[Time Series]]></N>
          <D><![CDATA[Contains modules used to facilitate the undertaking of time series analysis throughout the modules workbook.]]></D>
          <P><![CDATA[TS]]></P>
          <OI>-2000</OI>
          <RGB>8421504</RGB>
        </ModAreaProps>
      </ModArea>
      <ModArea>
        <ModAreaProps>
          <MAT>2</MAT>
          <G>68D38FB9-8B3C-49E0-B3A2-51B6BAD836A4</G>
          <N><![CDATA[Scenarios]]></N>
          <D><![CDATA[Core scenario analysis modules, such as a central scenario manager module.]]></D>
          <P><![CDATA[Scenarios]]></P>
          <OI>50</OI>
          <RGB>8287800</RGB>
        </ModAreaProps>
      </ModArea>
      <ModArea>
        <ModAreaProps>
          <MAT>2</MAT>
          <G>A2CD815D-CA75-43CF-B069-ED711E1EF923</G>
          <N><![CDATA[Financial Statements]]></N>
          <D><![CDATA[All financial statements – i.e. income statement, balance sheet and cash flow statement.]]></D>
          <P><![CDATA[Financials]]></P>
          <OI>100</OI>
          <RGB>0</RGB>
        </ModAreaProps>
      </ModArea>
      <ModArea>
        <ModAreaProps>
          <MAT>2</MAT>
          <G>E72A3FD0-52CB-410C-9CE7-3A25AE62CEAD</G>
          <N><![CDATA[Revenue & Expenses]]></N>
          <D><![CDATA[All forms of operational analysis, including revenue, cost of goods sold, operating expenditure and capital expenditure. May also include operational drivers, such as volumes, inflation, unit prices and unit costs.]]></D>
          <P><![CDATA[Rev_Exp]]></P>
          <OI>200</OI>
          <RGB>11769344</RGB>
        </ModAreaProps>
      </ModArea>
      <ModArea>
        <ModAreaProps>
          <MAT>2</MAT>
          <G>AE1B75D9-5A46-40DB-A8A0-11F841A50A57</G>
          <N><![CDATA[Working Capital]]></N>
          <D><![CDATA[All assets and liabilities resulting from timing differences between revenue (or expense) recognition and cash flow.]]></D>
          <P><![CDATA[WC]]></P>
          <OI>300</OI>
          <RGB>701520</RGB>
        </ModAreaProps>
      </ModArea>
      <ModArea>
        <ModAreaProps>
          <MAT>2</MAT>
          <G>67F2F4B9-E31F-4D93-B5C4-EC19B7A8BB60</G>
          <N><![CDATA[Assets]]></N>
          <D><![CDATA[All tangible and intangible non-current assets, including both book and tax computations.]]></D>
          <P><![CDATA[Assets]]></P>
          <OI>400</OI>
          <RGB>6697881</RGB>
        </ModAreaProps>
      </ModArea>
      <ModArea>
        <ModAreaProps>
          <MAT>2</MAT>
          <G>68F61C56-4299-4FA4-9517-F2F96409D6DE</G>
          <N><![CDATA[Capital]]></N>
          <D><![CDATA[All financing capital from any source, including debt and equity providers.]]></D>
          <P><![CDATA[Capital]]></P>
          <OI>500</OI>
          <RGB>289254</RGB>
        </ModAreaProps>
      </ModArea>
      <ModArea>
        <ModAreaProps>
          <MAT>2</MAT>
          <G>8CA58486-7FBD-4E89-915A-32AB8396BA9C</G>
          <N><![CDATA[Taxation]]></N>
          <D><![CDATA[All corporate, sales and other taxes.]]></D>
          <P><![CDATA[Tax]]></P>
          <OI>600</OI>
          <RGB>6104839</RGB>
        </ModAreaProps>
      </ModArea>
      <ModArea>
        <ModAreaProps>
          <MAT>2</MAT>
          <G>0A3D1B54-7B18-4AE2-B3C2-0691D0B948A4</G>
          <N><![CDATA[Other Financial Statement Items]]></N>
          <D><![CDATA[All other current assets, other non-current assets, other current liabilities, other non-current liabilities and other equity.]]></D>
          <P><![CDATA[Other]]></P>
          <OI>700</OI>
          <RGB>4210752</RGB>
        </ModAreaProps>
      </ModArea>
      <ModArea>
        <ModAreaProps>
          <MAT>2</MAT>
          <G>0E45B0A4-BB6F-4798-AC8B-7C4671EA5BC0</G>
          <N><![CDATA[Outputs & Other]]></N>
          <D><![CDATA[All output analysis not falling within the other business planning module areas, such as dashboard outputs, valuations and ratio analysis.]]></D>
          <P><![CDATA[OO]]></P>
          <OI>900</OI>
          <RGB>3570076</RGB>
        </ModAreaProps>
      </ModArea>
      <ModArea>
        <ModAreaProps>
          <MAT>4</MAT>
          <G>D1B8EBA3-A6FE-40B3-A8BF-CDDA9687725C</G>
          <N><![CDATA[Checks]]></N>
          <D><![CDATA[Contains modules used to communicate the detection of errors, active sensitivity analysis and alerts to model users.]]></D>
          <P><![CDATA[Chks]]></P>
          <OI>7000</OI>
          <RGB>4204747</RGB>
        </ModAreaProps>
      </ModArea>
    </ModAreas>
  </ModAreaLib>
  <ModLnksLib>
    <ModLnksLibProps>
      <MVS>14.0.5.0</MVS>
      <RAV/>
      <RXV>0</RXV>
      <FV>3</FV>
      <G>8EA085B8-0CF4-4EC6-86C9-30358EE301A9</G>
      <N><![CDATA[ModuleSuite]]></N>
      <D/>
      <R/>
      <GE/>
      <CA/>
      <TS/>
      <DE/>
      <E/>
      <C/>
      <W/>
      <K/>
      <CO/>
      <V>1.0.0.0.</V>
      <AX/>
      <SX/>
      <AP/>
      <RBL>False</RBL>
      <RBLPR>False</RBLPR>
      <RBLPA/>
      <PC>False</PC>
      <PP/>
    </ModLnksLibProps>
    <ModLnks>
      <ModLnk>
        <ModLnkProps>
          <N><![CDATA[Balance Sheet Cash Opening Balance]]></N>
          <BN><![CDATA[Cash Opening Balance]]></BN>
          <D><![CDATA[Cash opening balance as reported in a balance sheet. Commonly links out of balance sheet modules into presentation outputs modules.]]></D>
          <G>4EE07D0D-2C38-4396-B6D0-8C0884450090</G>
        </ModLnkProps>
      </ModLnk>
      <ModLnk>
        <ModLnkProps>
          <N><![CDATA[Balance Sheet Change in Cash]]></N>
          <BN><![CDATA[Change in Cash]]></BN>
          <D><![CDATA[Change in cash as reported in a balance sheet. Commonly links out of balance sheet modules into presentation outputs modules.]]></D>
          <G>B7F5077A-7452-4D2D-8907-67E540A678BD</G>
        </ModLnkProps>
      </ModLnk>
      <ModLnk>
        <ModLnkProps>
          <N><![CDATA[Balance Sheet Cash Closing Balance]]></N>
          <BN><![CDATA[Cash Closing Balance]]></BN>
          <D><![CDATA[Cash closing balance as reported in a balance sheet. Commonly links out of balance sheet modules into presentation outputs modules.]]></D>
          <G>94F7C237-741F-486A-887E-D225C751D340</G>
        </ModLnkProps>
      </ModLnk>
      <ModLnk>
        <ModLnkProps>
          <N><![CDATA[Balance Sheet Total Current Assets]]></N>
          <BN><![CDATA[Total Current Assets]]></BN>
          <D><![CDATA[Total current assets as reported in a balance sheet. Commonly links out of balance sheet modules into presentation outputs modules.]]></D>
          <G>05669348-3946-4025-8A8C-5E6839DA7E46</G>
        </ModLnkProps>
      </ModLnk>
      <ModLnk>
        <ModLnkProps>
          <N><![CDATA[Balance Sheet Total Non-Current Assets]]></N>
          <BN><![CDATA[Total Non-Current Assets]]></BN>
          <D><![CDATA[Total non-current assets as reported in a balance sheet. Commonly links out of balance sheet modules into presentation outputs modules.]]></D>
          <G>8D4D7E57-F13B-4D83-B1BB-8A242EC8FC85</G>
        </ModLnkProps>
      </ModLnk>
      <ModLnk>
        <ModLnkProps>
          <N><![CDATA[Balance Sheet Total Assets]]></N>
          <BN><![CDATA[Total Assets]]></BN>
          <D><![CDATA[Total assets as reported in a balance sheet. Commonly links out of balance sheet modules into presentation outputs modules.]]></D>
          <G>C14D920E-B313-4475-AA71-1A663B13321A</G>
        </ModLnkProps>
      </ModLnk>
      <ModLnk>
        <ModLnkProps>
          <N><![CDATA[Balance Sheet Accounts Payable]]></N>
          <BN><![CDATA[Accounts Payable]]></BN>
          <D><![CDATA[Accounts payable as reported in a balance sheet. Commonly links out of balance sheet modules into presentation outputs modules.]]></D>
          <G>BC8B1426-5FBA-4B7D-AFF1-518FB6BEED51</G>
        </ModLnkProps>
      </ModLnk>
      <ModLnk>
        <ModLnkProps>
          <N><![CDATA[Balance Sheet Goods & Services Tax Payable]]></N>
          <BN><![CDATA[Goods & Services Tax Payable]]></BN>
          <D><![CDATA[Goods & services tax payable as reported in a balance sheet. Commonly links out of balance sheet modules into presentation outputs modules.]]></D>
          <G>7B323F1A-39A9-4B60-BCEE-A78B98DA5752</G>
        </ModLnkProps>
      </ModLnk>
      <ModLnk>
        <ModLnkProps>
          <N><![CDATA[Balance Sheet Corporate Tax Payable]]></N>
          <BN><![CDATA[Corporate Tax Payable]]></BN>
          <D><![CDATA[Corporate tax payable as reported in a balance sheet. Commonly links out of balance sheet modules into presentation outputs modules.]]></D>
          <G>0B5692E0-B3EC-485C-A17F-A34930ACC896</G>
        </ModLnkProps>
      </ModLnk>
      <ModLnk>
        <ModLnkProps>
          <N><![CDATA[Balance Sheet Debt Interest Payable]]></N>
          <BN><![CDATA[Debt Interest Payable]]></BN>
          <D><![CDATA[Debt interest payable as reported in a balance sheet. Commonly links out of balance sheet modules into presentation outputs modules.]]></D>
          <G>822F62BE-B2D4-4BB2-80E9-F023BC0D7783</G>
        </ModLnkProps>
      </ModLnk>
      <ModLnk>
        <ModLnkProps>
          <N><![CDATA[Balance Sheet Ordinary Equity Dividends Payable]]></N>
          <BN><![CDATA[Ordinary Equity Dividends Payable]]></BN>
          <D><![CDATA[Ordinary equity dividends payable as reported in a balance sheet. Commonly links out of balance sheet modules into presentation outputs modules.]]></D>
          <G>55EBCC8E-00C6-4799-B8BF-901FC935C2B8</G>
        </ModLnkProps>
      </ModLnk>
      <ModLnk>
        <ModLnkProps>
          <N><![CDATA[Balance Sheet Total Current Liabilities]]></N>
          <BN><![CDATA[Total Current Liabilities]]></BN>
          <D><![CDATA[Total current liabilities as reported in a balance sheet. Commonly links out of balance sheet modules into presentation outputs modules.]]></D>
          <G>FDFD081D-63E4-4865-AD83-37EF500C3698</G>
        </ModLnkProps>
      </ModLnk>
      <ModLnk>
        <ModLnkProps>
          <N><![CDATA[Balance Sheet Total Non-Current Liabilities]]></N>
          <BN><![CDATA[Total Non-Current Liabilities]]></BN>
          <D><![CDATA[Total non-current liabilities as reported in a balance sheet. Commonly links out of balance sheet modules into presentation outputs modules.]]></D>
          <G>6BE3DB01-D0C5-4F86-96EB-88ECF1514223</G>
        </ModLnkProps>
      </ModLnk>
      <ModLnk>
        <ModLnkProps>
          <N><![CDATA[Balance Sheet Total Liabilities]]></N>
          <BN><![CDATA[Total Liabilities]]></BN>
          <D><![CDATA[Total liabilities as reported in a balance sheet. Commonly links out of balance sheet modules into presentation outputs modules.]]></D>
          <G>3443602F-4951-46CB-BFE0-63952A1BDF39</G>
        </ModLnkProps>
      </ModLnk>
      <ModLnk>
        <ModLnkProps>
          <N><![CDATA[Balance Sheet Net Assets]]></N>
          <BN><![CDATA[Net Assets]]></BN>
          <D><![CDATA[Net assets as reported in a balance sheet. Commonly links out of balance sheet modules into presentation outputs modules.]]></D>
          <G>34B927F3-B985-4335-95E4-4CEC7F73B93E</G>
        </ModLnkProps>
      </ModLnk>
      <ModLnk>
        <ModLnkProps>
          <N><![CDATA[Balance Sheet Ordinary Equity]]></N>
          <BN><![CDATA[Ordinary Equity]]></BN>
          <D><![CDATA[Ordinary equity as reported in a balance sheet. Commonly links out of balance sheet modules into presentation outputs modules.]]></D>
          <G>6D7F01DC-4951-4B9F-9BAA-AF70EC07EE6C</G>
        </ModLnkProps>
      </ModLnk>
      <ModLnk>
        <ModLnkProps>
          <N><![CDATA[Balance Sheet Retained Profits Opening Balance]]></N>
          <BN><![CDATA[Retained Profits Opening Balance]]></BN>
          <D><![CDATA[Retained profits opening balance as reported in a balance sheet. Commonly links out of balance sheet modules into presentation outputs modules.]]></D>
          <G>1A1B4EF6-4881-4FAA-B178-EB5D5229CEED</G>
        </ModLnkProps>
      </ModLnk>
      <ModLnk>
        <ModLnkProps>
          <N><![CDATA[Balance Sheet NPAT]]></N>
          <BN><![CDATA[Net Profit After Tax]]></BN>
          <D><![CDATA[Net profit after tax as reported in a balance sheet. Commonly links out of balance sheet modules into presentation outputs modules.]]></D>
          <G>51EAA626-D340-4842-A0AE-E9BA850CF72C</G>
        </ModLnkProps>
      </ModLnk>
      <ModLnk>
        <ModLnkProps>
          <N><![CDATA[Balance Sheet Dividends Declared]]></N>
          <BN><![CDATA[Dividends Declared]]></BN>
          <D><![CDATA[Dividends declared as reported in a balance sheet. Commonly links out of balance sheet modules into presentation outputs modules.]]></D>
          <G>C66D9CFB-1587-4937-BDB0-53C9A1474182</G>
        </ModLnkProps>
      </ModLnk>
      <ModLnk>
        <ModLnkProps>
          <N><![CDATA[Balance Sheet Retained Profits Closing Balance]]></N>
          <BN><![CDATA[Retained Profits Closing Balance]]></BN>
          <D><![CDATA[Retained profits closing balance as reported in a balance sheet. Commonly links out of balance sheet modules into presentation outputs modules.]]></D>
          <G>72D95012-9941-4636-8EA1-927B11C79392</G>
        </ModLnkProps>
      </ModLnk>
      <ModLnk>
        <ModLnkProps>
          <N><![CDATA[Balance Sheet Total Equity]]></N>
          <BN><![CDATA[Total Equity]]></BN>
          <D><![CDATA[Total equity as reported in a balance sheet. Commonly links out of balance sheet modules into presentation outputs modules.]]></D>
          <G>777DFA06-FB86-4EEE-9CCD-CE4BD3407FE4</G>
        </ModLnkProps>
      </ModLnk>
      <ModLnk>
        <ModLnkProps>
          <N><![CDATA[Balance Sheet Debtors]]></N>
          <BN><![CDATA[Debtors]]></BN>
          <D><![CDATA[Debtors as reported in a balance sheet. Commonly links out of balance sheet modules into presentation outputs modules.]]></D>
          <G>EA227218-F29D-459B-AFFF-2D5E7E13C382</G>
        </ModLnkProps>
      </ModLnk>
      <ModLnk>
        <ModLnkProps>
          <N><![CDATA[Balance Sheet Inventory]]></N>
          <BN><![CDATA[Inventory]]></BN>
          <D><![CDATA[Inventory as reported in a balance sheet. Commonly links out of balance sheet modules into presentation outputs modules.]]></D>
          <G>8105F9CC-76A6-40A9-BB4A-ECB994E3CC52</G>
        </ModLnkProps>
      </ModLnk>
      <ModLnk>
        <ModLnkProps>
          <N><![CDATA[Balance Sheet Other Current Assets]]></N>
          <BN><![CDATA[Other Current Assets]]></BN>
          <D><![CDATA[Other current assets as reported in a balance sheet. Commonly links out of balance sheet modules into presentation outputs modules.]]></D>
          <G>E00946F3-EF68-41E1-9CBB-F8B531073DAA</G>
        </ModLnkProps>
      </ModLnk>
      <ModLnk>
        <ModLnkProps>
          <N><![CDATA[Balance Sheet Fixed Assets]]></N>
          <BN><![CDATA[Fixed Assets]]></BN>
          <D><![CDATA[Fixed assets as reported in a balance sheet. Commonly links out of balance sheet modules into presentation outputs modules.]]></D>
          <G>2D06CAA3-9F23-4722-8801-31E1A3DE3C87</G>
        </ModLnkProps>
      </ModLnk>
      <ModLnk>
        <ModLnkProps>
          <N><![CDATA[Balance Sheet Other Non-Current Assets]]></N>
          <BN><![CDATA[Other Non-Current Assets]]></BN>
          <D><![CDATA[Other non-current assets as reported in a balance sheet. Commonly links out of balance sheet modules into presentation outputs modules.]]></D>
          <G>2F108729-4AD0-42DD-8E24-7679E2521A84</G>
        </ModLnkProps>
      </ModLnk>
      <ModLnk>
        <ModLnkProps>
          <N><![CDATA[Balance Sheet Creditors]]></N>
          <BN><![CDATA[Creditors]]></BN>
          <D><![CDATA[Creditors as reported in a balance sheet. Commonly links out of balance sheet modules into presentation outputs modules.]]></D>
          <G>297CF01F-E2AF-4E27-B495-4760C633EECB</G>
        </ModLnkProps>
      </ModLnk>
      <ModLnk>
        <ModLnkProps>
          <N><![CDATA[Balance Sheet Inventory Payables]]></N>
          <BN><![CDATA[Inventory Payables]]></BN>
          <D><![CDATA[Inventory payables as reported in a balance sheet. Commonly links out of balance sheet modules into presentation outputs modules.]]></D>
          <G>A87C424C-DD9C-4D32-B8BC-2165C3571F51</G>
        </ModLnkProps>
      </ModLnk>
      <ModLnk>
        <ModLnkProps>
          <N><![CDATA[Balance Sheet Debt Historical Interest Payable]]></N>
          <BN><![CDATA[Debt Historical Interest Payable]]></BN>
          <D><![CDATA[Historical debt interest payable as reported in a balance sheet. Commonly links out of balance sheet modules into presentation outputs modules.]]></D>
          <G>8347FF1F-B533-4308-BA70-D140046FAB2F</G>
        </ModLnkProps>
      </ModLnk>
      <ModLnk>
        <ModLnkProps>
          <N><![CDATA[Balance Sheet Debt Forecast Interest Payable]]></N>
          <BN><![CDATA[Debt Forecast Interest Payable]]></BN>
          <D><![CDATA[Forecast debt interest payable as reported in a balance sheet. Commonly links out of balance sheet modules into presentation outputs modules.]]></D>
          <G>1DDC4429-F90C-44F4-B691-224315741D26</G>
        </ModLnkProps>
      </ModLnk>
      <ModLnk>
        <ModLnkProps>
          <N><![CDATA[Balance Sheet Other Current Liabilities]]></N>
          <BN><![CDATA[Other Current Liabilities]]></BN>
          <D><![CDATA[Other current liabilities as reported in a balance sheet. Commonly links out of balance sheet modules into presentation outputs modules.]]></D>
          <G>6161DD7E-3C02-4DEE-A022-5C52BA279945</G>
        </ModLnkProps>
      </ModLnk>
      <ModLnk>
        <ModLnkProps>
          <N><![CDATA[Balance Sheet Debt]]></N>
          <BN><![CDATA[Debt]]></BN>
          <D><![CDATA[Debt as reported in a balance sheet. Commonly links out of balance sheet modules into presentation outputs modules.]]></D>
          <G>C73386E6-E79C-4FEC-8003-EEBB56F91C3B</G>
        </ModLnkProps>
      </ModLnk>
      <ModLnk>
        <ModLnkProps>
          <N><![CDATA[Balance Sheet Other Non-Current Liabilities]]></N>
          <BN><![CDATA[Other Non-Current Liabilities]]></BN>
          <D><![CDATA[Other non-current liabilities as reported in a balance sheet. Commonly links out of balance sheet modules into presentation outputs modules.]]></D>
          <G>245574B0-FB51-4EAA-8DF8-CC9D1785C021</G>
        </ModLnkProps>
      </ModLnk>
      <ModLnk>
        <ModLnkProps>
          <N><![CDATA[Balance Sheet Other Equity]]></N>
          <BN><![CDATA[Other Equity]]></BN>
          <D><![CDATA[Other equity as reported in a balance sheet. Commonly links out of balance sheet modules into presentation outputs modules.]]></D>
          <G>FE8176DD-A50E-4F8C-98FB-C23D5A7C19B3</G>
        </ModLnkProps>
      </ModLnk>
      <ModLnk>
        <ModLnkProps>
          <N><![CDATA[Opening Balance Sheet Cash Closing Balance]]></N>
          <BN><![CDATA[Cash Closing Balance]]></BN>
          <D><![CDATA[Closing cash at bank as reported in an opening balance sheet.]]></D>
          <G>9E42884D-B19F-41D0-B295-95A4FF9EA104</G>
        </ModLnkProps>
      </ModLnk>
      <ModLnk>
        <ModLnkProps>
          <N><![CDATA[Cash Flow Statement Change in Cash Held]]></N>
          <BN><![CDATA[Change in Cash Held]]></BN>
          <D><![CDATA[Change in cash held as reported in a cash flow statement. Commonly links out of cash flow statement modules into presentation outputs modules.]]></D>
          <G>938BE67B-8FA9-442F-804A-3418909D0EB0</G>
        </ModLnkProps>
      </ModLnk>
      <ModLnk>
        <ModLnkProps>
          <N><![CDATA[Goods & Services Tax Payable Closing Balance]]></N>
          <BN><![CDATA[Goods & Services Tax Payable Closing Balance]]></BN>
          <D><![CDATA[A liability to pay sales tax at the end of a reporting period.]]></D>
          <G>BA2F83B2-E547-4A3C-9720-5F8B6A38C5C6</G>
        </ModLnkProps>
      </ModLnk>
      <ModLnk>
        <ModLnkProps>
          <N><![CDATA[Corporate Tax Payable Closing Balance]]></N>
          <BN><![CDATA[Corporate Tax Payable Closing Balance]]></BN>
          <D><![CDATA[A liability recorded on a business’s balance sheet to reflect the closing tax payable amounts at the end of a reporting period.]]></D>
          <G>0B22A752-C4C7-40A7-AC6D-6908AE373C53</G>
        </ModLnkProps>
      </ModLnk>
      <ModLnk>
        <ModLnkProps>
          <N><![CDATA[Ordinary Equity Dividends Payable Closing Balance]]></N>
          <BN><![CDATA[Ordinary Equity Dividends Payable Closing Balance]]></BN>
          <D><![CDATA[If dividends paid are not equal to dividends declared during the period, a dividend payable liability is recorded in the current liabilities section of the balance sheet.]]></D>
          <G>B742199D-0B20-44F0-B6FF-6C0B8FEF0835</G>
        </ModLnkProps>
      </ModLnk>
      <ModLnk>
        <ModLnkProps>
          <N><![CDATA[Ordinary Equity Closing Balance]]></N>
          <BN><![CDATA[Ordinary Equity Closing Balance]]></BN>
          <D><![CDATA[The owners’ interests in a business’s assets in the form of common shares or stock which pays distributions in the form of common dividends.]]></D>
          <G>2A0E1E79-E7C9-479F-9B1D-AB5CC55D737A</G>
        </ModLnkProps>
      </ModLnk>
      <ModLnk>
        <ModLnkProps>
          <N><![CDATA[Opening Balance Sheet Retained Profits Closing Balance]]></N>
          <BN><![CDATA[Retained Profits Closing Balance]]></BN>
          <D><![CDATA[Closing retained profits as reported in an opening balance sheet.]]></D>
          <G>44A13FAF-FDE0-44D5-B4C9-2A465898DA1C</G>
        </ModLnkProps>
      </ModLnk>
      <ModLnk>
        <ModLnkProps>
          <N><![CDATA[Income Statement NPAT]]></N>
          <BN><![CDATA[Net Profit After Tax]]></BN>
          <D><![CDATA[Net profit after tax as reported in an income statement. Commonly links out of income statement modules into presentation outputs modules.]]></D>
          <G>1C7940B5-C830-4EC2-92DF-CBA013375747</G>
        </ModLnkProps>
      </ModLnk>
      <ModLnk>
        <ModLnkProps>
          <N><![CDATA[Ordinary Equity Dividends Declared]]></N>
          <BN><![CDATA[Ordinary Equity Dividends Declared]]></BN>
          <D><![CDATA[Dividends declared out of available retained profits and available net profit after tax.]]></D>
          <G>ECD9E544-4B8D-4783-9147-868234392B88</G>
        </ModLnkProps>
      </ModLnk>
      <ModLnk>
        <ModLnkProps>
          <N><![CDATA[Debtors Closing Balance]]></N>
          <BN><![CDATA[Debtors Closing Balance]]></BN>
          <D><![CDATA[Debtors balance resulting from revenues being earned but not received in cash at a point in time.]]></D>
          <G>3F839E2D-D053-4E65-97A4-56D9AFC1AAD9</G>
        </ModLnkProps>
      </ModLnk>
      <ModLnk>
        <ModLnkProps>
          <N><![CDATA[Inventory Closing Balance]]></N>
          <BN><![CDATA[Inventory Closing Balance]]></BN>
          <D><![CDATA[Closing inventory balance resulting from inventory purchases made in anticipation of future sales of inventory.]]></D>
          <G>CDFD7453-535A-4D43-9D09-4562C804C3F6</G>
        </ModLnkProps>
      </ModLnk>
      <ModLnk>
        <ModLnkProps>
          <N><![CDATA[Other Current Assets Closing Balance]]></N>
          <BN><![CDATA[Other Current Assets Closing Balance]]></BN>
          <D><![CDATA[Items that have typically been created with prior cash payments or income, with economic use anticipated in the next 12 months.]]></D>
          <G>A5C54348-39F7-4598-8526-34D2640EA490</G>
        </ModLnkProps>
      </ModLnk>
      <ModLnk>
        <ModLnkProps>
          <N><![CDATA[Fixed Assets Closing Balance]]></N>
          <BN><![CDATA[Fixed Assets Closing Balance]]></BN>
          <D><![CDATA[The opening book value of tangible resources available to a business for future economic benefit such as property, plant, equipment, land and buildings.]]></D>
          <G>8C6281B4-8069-469D-A3FB-284FF62C69F4</G>
        </ModLnkProps>
      </ModLnk>
      <ModLnk>
        <ModLnkProps>
          <N><![CDATA[Other Non-Current Assets Closing Balance]]></N>
          <BN><![CDATA[Other Non-Current Assets Closing Balance]]></BN>
          <D><![CDATA[Items that have typically been created with prior cash payments or income, with economic use anticipated beyond the next 12 months.]]></D>
          <G>58469580-0C20-47AA-A811-BECCD1F1C54C</G>
        </ModLnkProps>
      </ModLnk>
      <ModLnk>
        <ModLnkProps>
          <N><![CDATA[Creditors Closing Balance]]></N>
          <BN><![CDATA[Creditors Closing Balance]]></BN>
          <D><![CDATA[Creditors balance resulting from expenses being incurred but not paid in cash at a point in time.]]></D>
          <G>5F47C134-7AD0-42C5-8661-F5BA1399E93F</G>
        </ModLnkProps>
      </ModLnk>
      <ModLnk>
        <ModLnkProps>
          <N><![CDATA[Inventory Payables Closing Balance]]></N>
          <BN><![CDATA[Inventory Payables Closing Balance]]></BN>
          <D><![CDATA[Closing inventory payable balance resulting from inventory purchases being incurred but not paid in cash at a point in time.]]></D>
          <G>53BA0054-1924-4757-8986-017949EB71A4</G>
        </ModLnkProps>
      </ModLnk>
      <ModLnk>
        <ModLnkProps>
          <N><![CDATA[Debt Historical Interest Payable Closing Balance]]></N>
          <BN><![CDATA[Debt Historical Interest Payable Closing Balance]]></BN>
          <D><![CDATA[Historical closing interest payable balances, commonly recorded as current liabilities on the balance sheet.]]></D>
          <G>AB05B401-F562-40E9-B972-83666ACE3AAF</G>
        </ModLnkProps>
      </ModLnk>
      <ModLnk>
        <ModLnkProps>
          <N><![CDATA[Debt Interest Payable Closing Balance]]></N>
          <BN><![CDATA[Debt Interest Payable Closing Balance]]></BN>
          <D><![CDATA[Closing interest payable balance are recorded as current liabilities on the balance sheet.]]></D>
          <G>4BD1B537-DA53-4B26-9D61-FC53EF89A265</G>
        </ModLnkProps>
      </ModLnk>
      <ModLnk>
        <ModLnkProps>
          <N><![CDATA[Other Current Liabilities Closing Balance]]></N>
          <BN><![CDATA[Other Current Liabilities Closing Balance]]></BN>
          <D><![CDATA[Items that have typically been created with previous cash receipts or incurred expense, with an economic requirement anticipated in the next 12 months.]]></D>
          <G>D2420165-D852-46F5-BB4C-4B756E301E7A</G>
        </ModLnkProps>
      </ModLnk>
      <ModLnk>
        <ModLnkProps>
          <N><![CDATA[Debt Closing Balance]]></N>
          <BN><![CDATA[Debt Closing Balance]]></BN>
          <D><![CDATA[Money, goods, or services that one party is obligated to pay another in accordance with an expressed or implied agreement.]]></D>
          <G>EA9758E3-33D7-4F4A-B609-556156A27C5A</G>
        </ModLnkProps>
      </ModLnk>
      <ModLnk>
        <ModLnkProps>
          <N><![CDATA[Other Non-Current Liabilities Closing Balance]]></N>
          <BN><![CDATA[Other Non-Current Liabilities Closing Balance]]></BN>
          <D><![CDATA[Items that have typically been created with previous cash receipts or incurred expense, with an economic requirement anticipated beyond the next 12 months.]]></D>
          <G>2A7EED6B-38EE-437E-8040-7D9F9E59CDD2</G>
        </ModLnkProps>
      </ModLnk>
      <ModLnk>
        <ModLnkProps>
          <N><![CDATA[Other Equity Closing Balance]]></N>
          <BN><![CDATA[Other Equity Closing Balance]]></BN>
          <D><![CDATA[Items that have typically been created with previous cash receipts or incurred expense impacting on the equity section of the balance sheet.]]></D>
          <G>613080AB-6C7A-4D6A-80BC-FC2B3C855CA2</G>
        </ModLnkProps>
      </ModLnk>
      <ModLnk>
        <ModLnkProps>
          <N><![CDATA[Capital Expenditure]]></N>
          <BN><![CDATA[Capital Expenditure]]></BN>
          <D><![CDATA[Expenditures incurred to acquire or upgrade physical assets such as property, industrial buildings or equipment.]]></D>
          <G>50577B93-13A0-4BA1-A3D3-EB77A5A336DE</G>
        </ModLnkProps>
      </ModLnk>
      <ModLnk>
        <ModLnkProps>
          <N><![CDATA[Cash Flow Statement Revenue]]></N>
          <BN><![CDATA[Revenue]]></BN>
          <D><![CDATA[Revenue as reported in a cash flow statement. Commonly links out of cash flow statement modules into presentation outputs modules.]]></D>
          <G>5E6A10DE-3A56-4D76-9307-C82657D20850</G>
        </ModLnkProps>
      </ModLnk>
      <ModLnk>
        <ModLnkProps>
          <N><![CDATA[Cash Flow Statement Decrease in Debtors]]></N>
          <BN><![CDATA[Decrease in Debtors]]></BN>
          <D><![CDATA[Decrease in trade debtors as reported in a cash flow statement. Commonly links out of cash flow statement modules into presentation outputs modules.]]></D>
          <G>1AF96CF6-91F3-4CAF-A226-E5F1FAB9359F</G>
        </ModLnkProps>
      </ModLnk>
      <ModLnk>
        <ModLnkProps>
          <N><![CDATA[Cash Flow Statement Other Cash Receipts]]></N>
          <BN><![CDATA[Other Cash Receipts]]></BN>
          <D><![CDATA[Other cash receipts as reported in a cash flow statement. Commonly links out of cash flow statement modules into presentation outputs modules.]]></D>
          <G>2D1D854F-0811-4134-8B48-B1CBC4BAC4EB</G>
        </ModLnkProps>
      </ModLnk>
      <ModLnk>
        <ModLnkProps>
          <N><![CDATA[Cash Flow Statement Cash Receipts]]></N>
          <BN><![CDATA[Cash Receipts]]></BN>
          <D><![CDATA[Cash receipts as reported in a cash flow statement. Commonly links out of cash flow statement modules into presentation outputs modules.]]></D>
          <G>5F32D447-919E-4DCA-95D4-58483EE857FE</G>
        </ModLnkProps>
      </ModLnk>
      <ModLnk>
        <ModLnkProps>
          <N><![CDATA[Cash Flow Statement Cash Payments]]></N>
          <BN><![CDATA[Cash Payments]]></BN>
          <D><![CDATA[Cash payments as reported in a cash flow statement. Commonly links out of cash flow statement modules into presentation outputs modules.]]></D>
          <G>41096A03-BED5-4F39-B332-0A5E06ECEECF</G>
        </ModLnkProps>
      </ModLnk>
      <ModLnk>
        <ModLnkProps>
          <N><![CDATA[Cash Flow Statement Interest on Cash]]></N>
          <BN><![CDATA[Interest on Cash]]></BN>
          <D><![CDATA[Interest on cash as reported in a cash flow statement. Commonly links out of cash flow statement modules into presentation outputs modules.]]></D>
          <G>DC8796E1-E4E6-4D37-89C2-B6EA6B95070A</G>
        </ModLnkProps>
      </ModLnk>
      <ModLnk>
        <ModLnkProps>
          <N><![CDATA[Cash Flow Statement Goods & Services Tax Payable]]></N>
          <BN><![CDATA[Goods & Services Tax Payable]]></BN>
          <D><![CDATA[Goods & services tax payable as reported in a cash flow statement. Commonly links out of cash flow statement modules into presentation outputs modules.]]></D>
          <G>80CF3109-6D9E-4BD9-BE0C-773EA12C1CC7</G>
        </ModLnkProps>
      </ModLnk>
      <ModLnk>
        <ModLnkProps>
          <N><![CDATA[Cash Flow Statement Goods & Services Tax Paid]]></N>
          <BN><![CDATA[Goods & Services Tax Paid]]></BN>
          <D><![CDATA[Goods & services tax paid as reported in a cash flow statement. Commonly links out of cash flow statement modules into presentation outputs modules.]]></D>
          <G>09FA6A26-1DFD-4049-BA63-0F70D4714957</G>
        </ModLnkProps>
      </ModLnk>
      <ModLnk>
        <ModLnkProps>
          <N><![CDATA[Cash Flow Statement Increase in Goods & Services Tax Payable]]></N>
          <BN><![CDATA[Increase in Goods & Services Tax Payable]]></BN>
          <D><![CDATA[Increase in goods & services tax payable as reported in a cash flow statement. Commonly links out of cash flow statement modules into presentation outputs modules.]]></D>
          <G>ADC1A17D-BB6C-41EF-9D3C-3E8C7B780954</G>
        </ModLnkProps>
      </ModLnk>
      <ModLnk>
        <ModLnkProps>
          <N><![CDATA[Cash Flow Statement Debt Interest Paid]]></N>
          <BN><![CDATA[Debt Interest Paid]]></BN>
          <D><![CDATA[Debt interest paid as reported in a cash flow statement. Commonly links out of cash flow statement modules into presentation outputs modules.]]></D>
          <G>3973D55B-B6D5-4474-B43E-AB076115D10E</G>
        </ModLnkProps>
      </ModLnk>
      <ModLnk>
        <ModLnkProps>
          <N><![CDATA[Cash Flow Statement Corporate Tax Paid]]></N>
          <BN><![CDATA[Corporate Tax Paid]]></BN>
          <D><![CDATA[Corporate tax paid as reported in a cash flow statement. Commonly links out of cash flow statement modules into presentation outputs modules.]]></D>
          <G>0C47C8C0-92C6-48FB-AE5B-5743047E3656</G>
        </ModLnkProps>
      </ModLnk>
      <ModLnk>
        <ModLnkProps>
          <N><![CDATA[Cash Flow Statement Operating Cash Flows]]></N>
          <BN><![CDATA[Operating Cash Flows]]></BN>
          <D><![CDATA[Operating cash flows as reported in a cash flow statement. Commonly links out of cash flow statement modules into presentation outputs modules.]]></D>
          <G>5A41D950-1C57-41C9-90EA-CB1F503F74A2</G>
        </ModLnkProps>
      </ModLnk>
      <ModLnk>
        <ModLnkProps>
          <N><![CDATA[Cash Flow Statement Investing Cash Flows]]></N>
          <BN><![CDATA[Investing Cash Flows]]></BN>
          <D><![CDATA[Investing cash flows as reported in a cash flow statement. Commonly links out of cash flow statement modules into presentation outputs modules.]]></D>
          <G>010063FA-2719-4482-BDA4-0199C6E8E506</G>
        </ModLnkProps>
      </ModLnk>
      <ModLnk>
        <ModLnkProps>
          <N><![CDATA[Cash Flow Statement Ordinary Equity Raisings]]></N>
          <BN><![CDATA[Ordinary Equity Raisings]]></BN>
          <D><![CDATA[Ordinary equity raisings as reported in a cash flow statement. Commonly links out of cash flow statement modules into presentation outputs modules.]]></D>
          <G>3D7E1EF9-2F98-420D-8FD6-4C106C474F44</G>
        </ModLnkProps>
      </ModLnk>
      <ModLnk>
        <ModLnkProps>
          <N><![CDATA[Cash Flow Statement Ordinary Equity Buybacks]]></N>
          <BN><![CDATA[Ordinary Equity Buybacks]]></BN>
          <D><![CDATA[Ordinary equity buybacks as reported in a cash flow statement. Commonly links out of cash flow statement modules into presentation outputs modules.]]></D>
          <G>DBB678FE-8F79-44C7-8ED7-AFB588E3FB74</G>
        </ModLnkProps>
      </ModLnk>
      <ModLnk>
        <ModLnkProps>
          <N><![CDATA[Cash Flow Statement Ordinary Equity Dividends Paid]]></N>
          <BN><![CDATA[Ordinary Equity Dividends Paid]]></BN>
          <D><![CDATA[Ordinary equity dividends paid as reported in a cash flow statement. Commonly links out of cash flow statement modules into presentation outputs modules.]]></D>
          <G>92F43D09-F8AF-4D78-846C-35FA77DD9ECB</G>
        </ModLnkProps>
      </ModLnk>
      <ModLnk>
        <ModLnkProps>
          <N><![CDATA[Cash Flow Statement Financing Cash Flows]]></N>
          <BN><![CDATA[Financing Cash Flows]]></BN>
          <D><![CDATA[Financing cash flows as reported in a cash flow statement. Commonly links out of cash flow statement modules into presentation outputs modules.]]></D>
          <G>756FDCAB-CC4D-446A-B013-D0F853A20904</G>
        </ModLnkProps>
      </ModLnk>
      <ModLnk>
        <ModLnkProps>
          <N><![CDATA[Cash Flow Statement Cash Flow Available to Capital Providers]]></N>
          <BN><![CDATA[Cash Flow Available to Capital Providers]]></BN>
          <D><![CDATA[Cash flow available to capital providers as reported in a cash flow statement. Commonly links out of cash flow statement modules into presentation outputs modules.]]></D>
          <G>F97114BF-D4A7-4233-B08D-C544D81B1233</G>
        </ModLnkProps>
      </ModLnk>
      <ModLnk>
        <ModLnkProps>
          <N><![CDATA[Cash Flow Statement Cash Flow Available to Equity]]></N>
          <BN><![CDATA[Cash Flow Available to Equity]]></BN>
          <D><![CDATA[Cash flow available to equity as reported in a cash flow statement. Commonly links out of cash flow statement modules into presentation outputs modules.]]></D>
          <G>04DE8370-70F7-4B5B-B660-4D93B9C07062</G>
        </ModLnkProps>
      </ModLnk>
      <ModLnk>
        <ModLnkProps>
          <N><![CDATA[Cash Flow Statement Cash Flow Available for Dividends]]></N>
          <BN><![CDATA[Cash Flow Available for Dividends]]></BN>
          <D><![CDATA[Cash flow available for dividends as reported in a cash flow statement. Commonly links out of cash flow statement modules into presentation outputs modules.]]></D>
          <G>A9F1CFBD-8C03-4C56-8C4E-9F9C15EBAB0F</G>
        </ModLnkProps>
      </ModLnk>
      <ModLnk>
        <ModLnkProps>
          <N><![CDATA[Cash Flow Statement Cost of Goods Sold]]></N>
          <BN><![CDATA[Cost of Goods Sold]]></BN>
          <D><![CDATA[Cost of goods sold as reported in a cash flow statement. Commonly links out of cash flow statement modules into presentation outputs modules.]]></D>
          <G>5969D340-77B8-4C16-9063-D39A7F3CEF19</G>
        </ModLnkProps>
      </ModLnk>
      <ModLnk>
        <ModLnkProps>
          <N><![CDATA[Cash Flow Statement Operating Expenditure]]></N>
          <BN><![CDATA[Operating Expenditure]]></BN>
          <D><![CDATA[Operating expenditure as reported in a cash flow statement. Commonly links out of cash flow statement modules into presentation outputs modules.]]></D>
          <G>2A2FA313-1418-4896-86EA-2145EC6E6A70</G>
        </ModLnkProps>
      </ModLnk>
      <ModLnk>
        <ModLnkProps>
          <N><![CDATA[Cash Flow Statement Decrease in Inventory]]></N>
          <BN><![CDATA[Decrease in Inventory]]></BN>
          <D><![CDATA[Decrease in inventory as reported in a cash flow statement. Commonly links out of cash flow statement modules into presentation outputs modules.]]></D>
          <G>1953B09E-F595-4181-A03B-A678D29D60E0</G>
        </ModLnkProps>
      </ModLnk>
      <ModLnk>
        <ModLnkProps>
          <N><![CDATA[Cash Flow Statement Increase in Creditors]]></N>
          <BN><![CDATA[Increase in Creditors]]></BN>
          <D><![CDATA[Increase in trade creditors as reported in a cash flow statement. Commonly links out of cash flow statement modules into presentation outputs modules.]]></D>
          <G>BA2FEF64-955C-4F2F-9625-28ED695D1E65</G>
        </ModLnkProps>
      </ModLnk>
      <ModLnk>
        <ModLnkProps>
          <N><![CDATA[Cash Flow Statement Increase in Inventory Payables]]></N>
          <BN><![CDATA[Increase in Inventory Payables]]></BN>
          <D><![CDATA[Increase in inventory payables as reported in a cash flow statement. Commonly links out of cash flow statement modules into presentation outputs modules.]]></D>
          <G>65F90C28-D873-4276-9125-43817EB985EA</G>
        </ModLnkProps>
      </ModLnk>
      <ModLnk>
        <ModLnkProps>
          <N><![CDATA[Cash Flow Statement Other Cash Payments]]></N>
          <BN><![CDATA[Other Cash Payments]]></BN>
          <D><![CDATA[Other cash payments as reported in a cash flow statement. Commonly links out of cash flow statement modules into presentation outputs modules.]]></D>
          <G>6721EFD2-1106-4B6F-9507-01FC50AE992F</G>
        </ModLnkProps>
      </ModLnk>
      <ModLnk>
        <ModLnkProps>
          <N><![CDATA[Cash Flow Statement Increase in Historical Debt Interest Payable]]></N>
          <BN><![CDATA[Increase in Historical Debt Interest Payable]]></BN>
          <D><![CDATA[Increase in historical debt interest payable as reported in a cash flow statement. Commonly links out of cash flow statement modules into presentation outputs modules.]]></D>
          <G>57AC5949-B20C-4A7C-88DD-EEA7D7BA63BD</G>
        </ModLnkProps>
      </ModLnk>
      <ModLnk>
        <ModLnkProps>
          <N><![CDATA[Cash Flow Statement Debt Forecast Interest Paid]]></N>
          <BN><![CDATA[Debt Forecast Interest Paid]]></BN>
          <D><![CDATA[Forecast debt interest paid as reported in a cash flow statement. Commonly links out of cash flow statement modules into presentation outputs modules.]]></D>
          <G>D2A466F0-0D1D-4937-B082-2277BF921C28</G>
        </ModLnkProps>
      </ModLnk>
      <ModLnk>
        <ModLnkProps>
          <N><![CDATA[Cash Flow Statement Other Operating Cash Flows]]></N>
          <BN><![CDATA[Other Operating Cash Flows]]></BN>
          <D><![CDATA[Other operating cash flows as reported in a cash flow statement. Commonly links out of cash flow statement modules into presentation outputs modules.]]></D>
          <G>CE6B3189-2A94-49E5-B62D-3F8D2C64FFC8</G>
        </ModLnkProps>
      </ModLnk>
      <ModLnk>
        <ModLnkProps>
          <N><![CDATA[Cash Flow Statement Fixed Assets Capital Expenditure]]></N>
          <BN><![CDATA[Fixed Assets Capital Expenditure]]></BN>
          <D><![CDATA[Fixed assets capital expenditure as reported in a cash flow statement. Commonly links out of cash flow statement modules into presentation outputs modules.]]></D>
          <G>2AD5CAB9-52E0-438F-B30F-03C7183B2165</G>
        </ModLnkProps>
      </ModLnk>
      <ModLnk>
        <ModLnkProps>
          <N><![CDATA[Cash Flow Statement Other Investing Cash Flows]]></N>
          <BN><![CDATA[Other Investing Cash Flows]]></BN>
          <D><![CDATA[Other investing cash flows as reported in a cash flow statement. Commonly links out of cash flow statement modules into presentation outputs modules.]]></D>
          <G>F9334505-FF1F-4DE6-B6C0-CB2E51AF5348</G>
        </ModLnkProps>
      </ModLnk>
      <ModLnk>
        <ModLnkProps>
          <N><![CDATA[Cash Flow Statement Debt Drawdowns]]></N>
          <BN><![CDATA[Debt Drawdowns]]></BN>
          <D><![CDATA[Debt drawdowns as reported in a cash flow statement. Commonly links out of cash flow statement modules into presentation outputs modules.]]></D>
          <G>16038B07-05D5-4FFC-9566-57A68BDAA93B</G>
        </ModLnkProps>
      </ModLnk>
      <ModLnk>
        <ModLnkProps>
          <N><![CDATA[Cash Flow Statement Debt Repayments]]></N>
          <BN><![CDATA[Debt Repayments]]></BN>
          <D><![CDATA[Debt repayments as reported in a cash flow statement. Commonly links out of cash flow statement modules into presentation outputs modules.]]></D>
          <G>9BAC1506-CC42-43A7-B973-56612F0A3F07</G>
        </ModLnkProps>
      </ModLnk>
      <ModLnk>
        <ModLnkProps>
          <N><![CDATA[Cash Flow Statement Other Financing Cash Flows]]></N>
          <BN><![CDATA[Other Financing Cash Flows]]></BN>
          <D><![CDATA[Other financing cash flows as reported in a cash flow statement. Commonly links out of cash flow statement modules into presentation outputs modules.]]></D>
          <G>22FB6B54-864E-46E6-B4D6-15B56052053F</G>
        </ModLnkProps>
      </ModLnk>
      <ModLnk>
        <ModLnkProps>
          <N><![CDATA[Revenue]]></N>
          <BN><![CDATA[Revenue]]></BN>
          <D><![CDATA[Income received from the sale of products or the provision of services.]]></D>
          <G>5BC5876E-4C28-4493-A230-4320A45C1EFE</G>
        </ModLnkProps>
      </ModLnk>
      <ModLnk>
        <ModLnkProps>
          <N><![CDATA[Movement in Debtors]]></N>
          <BN><![CDATA[Movement in Debtors]]></BN>
          <D><![CDATA[The increase or decrease in trade debtors between the start and end of a reporting period.]]></D>
          <G>08101847-81C9-46BB-922A-14318420A471</G>
        </ModLnkProps>
      </ModLnk>
      <ModLnk>
        <ModLnkProps>
          <N><![CDATA[Other Cash Receipts]]></N>
          <BN><![CDATA[Other Cash Receipts]]></BN>
          <D><![CDATA[Other cash inflows often reported in the cash receipts sub-section of the operating cash flows section of a cash flow statement.]]></D>
          <G>6892B486-1113-497B-8311-D1188E4FAA4F</G>
        </ModLnkProps>
      </ModLnk>
      <ModLnk>
        <ModLnkProps>
          <N><![CDATA[Cost of Goods Sold]]></N>
          <BN><![CDATA[Cost of Goods Sold]]></BN>
          <D><![CDATA[The cost of inventory that has been sold to customers. ]]></D>
          <G>5C860D93-DDC3-4B7A-BA2B-039792DD83BD</G>
        </ModLnkProps>
      </ModLnk>
      <ModLnk>
        <ModLnkProps>
          <N><![CDATA[Operating Expenditure]]></N>
          <BN><![CDATA[Operating Expenditure]]></BN>
          <D><![CDATA[Expenditures incurred as a result of the operations of a business.]]></D>
          <G>38F3F5CD-EA4A-45A0-BA33-D4A1343DCA30</G>
        </ModLnkProps>
      </ModLnk>
      <ModLnk>
        <ModLnkProps>
          <N><![CDATA[Movement in Inventory]]></N>
          <BN><![CDATA[Movement in Inventory]]></BN>
          <D><![CDATA[Increase or decrease in the inventory balance.]]></D>
          <G>BDF9E606-635A-4BF1-BFD3-235023B5A780</G>
        </ModLnkProps>
      </ModLnk>
      <ModLnk>
        <ModLnkProps>
          <N><![CDATA[Movement in Creditors]]></N>
          <BN><![CDATA[Movement in Creditors]]></BN>
          <D><![CDATA[The increase or decrease in trade creditors between the start and end of a reporting period.]]></D>
          <G>22E831F7-9203-4E8A-A39F-574408DBB469</G>
        </ModLnkProps>
      </ModLnk>
      <ModLnk>
        <ModLnkProps>
          <N><![CDATA[Movement in Inventory Payables]]></N>
          <BN><![CDATA[Movement in Inventory Payables]]></BN>
          <D><![CDATA[Increase or decrease in the inventory payables balance.]]></D>
          <G>7629C37B-E7D0-484F-ACB0-7C94DE5E04F9</G>
        </ModLnkProps>
      </ModLnk>
      <ModLnk>
        <ModLnkProps>
          <N><![CDATA[Other Cash Payments]]></N>
          <BN><![CDATA[Other Cash Payments]]></BN>
          <D><![CDATA[Other cash outflows often reported in the cash payments sub-section of the operating cash flows section of a cash flow statement.]]></D>
          <G>EF4EE76F-B164-4D01-8D44-CBA0C0043068</G>
        </ModLnkProps>
      </ModLnk>
      <ModLnk>
        <ModLnkProps>
          <N><![CDATA[Interest on Cash]]></N>
          <BN><![CDATA[Interest on Cash]]></BN>
          <D><![CDATA[Interest on cash at bank.]]></D>
          <G>EDC5F79F-3412-403A-A703-B2BAA74D91AB</G>
        </ModLnkProps>
      </ModLnk>
      <ModLnk>
        <ModLnkProps>
          <N><![CDATA[Goods & Services Tax Payable]]></N>
          <BN><![CDATA[Goods & Services Tax Payable]]></BN>
          <D><![CDATA[Taxes payable as a result of taxes being levied on the sale of products and services.]]></D>
          <G>849E3C51-4FAB-4DEE-AAC1-12B1AD0AEDAF</G>
        </ModLnkProps>
      </ModLnk>
      <ModLnk>
        <ModLnkProps>
          <N><![CDATA[Goods & Services Tax Paid]]></N>
          <BN><![CDATA[Goods & Services Tax Paid]]></BN>
          <D><![CDATA[Taxes paid as a result of taxes being levied on the sale of products and services.]]></D>
          <G>53EE0053-1F87-4876-AAF3-A761C2478CF8</G>
        </ModLnkProps>
      </ModLnk>
      <ModLnk>
        <ModLnkProps>
          <N><![CDATA[Corporate Tax Paid]]></N>
          <BN><![CDATA[Corporate Tax Paid]]></BN>
          <D><![CDATA[The amount of cash taxes paid by a business to a government corporate taxation body.]]></D>
          <G>9E6CB774-CC83-4C69-929B-6EB6EB1972B4</G>
        </ModLnkProps>
      </ModLnk>
      <ModLnk>
        <ModLnkProps>
          <N><![CDATA[Ordinary Equity Raisings]]></N>
          <BN><![CDATA[Ordinary Equity Raisings]]></BN>
          <D><![CDATA[Financing cash outflows relating to amounts raised from ordinary equity shareholders.]]></D>
          <G>6EEC30FD-B5E9-4595-841A-BC9F0D54AB7F</G>
        </ModLnkProps>
      </ModLnk>
      <ModLnk>
        <ModLnkProps>
          <N><![CDATA[Ordinary Equity Buybacks]]></N>
          <BN><![CDATA[Ordinary Equity Buybacks]]></BN>
          <D><![CDATA[Financing cash outflows relating to amounts returned to ordinary equity shareholders.]]></D>
          <G>A0DDF613-C9B1-4167-BACE-E5032B763D4F</G>
        </ModLnkProps>
      </ModLnk>
      <ModLnk>
        <ModLnkProps>
          <N><![CDATA[Ordinary Equity Dividends Paid]]></N>
          <BN><![CDATA[Ordinary Equity Dividends Paid]]></BN>
          <D><![CDATA[Dividends paid are those amounts paid in cash to settle dividends declared, thus reducing cash and dividends payable.]]></D>
          <G>53FEE166-3029-4EA9-A700-ABC9206E2191</G>
        </ModLnkProps>
      </ModLnk>
      <ModLnk>
        <ModLnkProps>
          <N><![CDATA[Movement in Historical Debt Interest Payable]]></N>
          <BN><![CDATA[Movement in Historical Debt Interest Payable]]></BN>
          <D><![CDATA[The increase or decrease in historical debt interest payable between the start and end of a reporting period.]]></D>
          <G>F21DE62C-A26C-478B-BA81-EFAC0FE5D147</G>
        </ModLnkProps>
      </ModLnk>
      <ModLnk>
        <ModLnkProps>
          <N><![CDATA[Debt Interest Paid]]></N>
          <BN><![CDATA[Debt Interest Paid]]></BN>
          <D><![CDATA[Interest amounts settled for cash on outstanding interest payable or interest expense amounts.]]></D>
          <G>BEFDB4F8-ED4F-4CFA-A92F-B42B38873EC3</G>
        </ModLnkProps>
      </ModLnk>
      <ModLnk>
        <ModLnkProps>
          <N><![CDATA[Other Operating Cash Flows]]></N>
          <BN><![CDATA[Other Operating Cash Flows]]></BN>
          <D><![CDATA[Other cash inflows and outflows often reported in the operating cash flows section of a cash flow statement.]]></D>
          <G>6E5AF44C-EC0F-4FB1-9DBF-12AF20CB1B11</G>
        </ModLnkProps>
      </ModLnk>
      <ModLnk>
        <ModLnkProps>
          <N><![CDATA[Fixed Assets Capital Expenditure]]></N>
          <BN><![CDATA[Fixed Assets Capital Expenditure]]></BN>
          <D><![CDATA[The book value of expenditures incurred to acquire or upgrade book assets such as property, plant, equipment, land and buildings.]]></D>
          <G>5F2DF3CF-CC5E-4FA8-9D2A-79458EFCD4E0</G>
        </ModLnkProps>
      </ModLnk>
      <ModLnk>
        <ModLnkProps>
          <N><![CDATA[Other Investing Cash Flows]]></N>
          <BN><![CDATA[Other Investing Cash Flows]]></BN>
          <D><![CDATA[Other cash inflows and outflows often reported in the investing cash flows section of a cash flow statement.]]></D>
          <G>2AB00953-061E-42A0-B496-25769D461B2F</G>
        </ModLnkProps>
      </ModLnk>
      <ModLnk>
        <ModLnkProps>
          <N><![CDATA[Debt Drawdowns]]></N>
          <BN><![CDATA[Debt Drawdowns]]></BN>
          <D><![CDATA[Debt drawdowns relate to amounts received from financiers in the form of debt agreements.]]></D>
          <G>CD54AFFC-385F-4FFD-ADA7-9E42D002FA05</G>
        </ModLnkProps>
      </ModLnk>
      <ModLnk>
        <ModLnkProps>
          <N><![CDATA[Debt Repayments]]></N>
          <BN><![CDATA[Debt Repayments]]></BN>
          <D><![CDATA[Debt repayments relate to amounts repaid to financiers relating to debt agreements.]]></D>
          <G>406A587D-3812-4BD6-A5D5-FE775926562B</G>
        </ModLnkProps>
      </ModLnk>
      <ModLnk>
        <ModLnkProps>
          <N><![CDATA[Other Financing Cash Flows]]></N>
          <BN><![CDATA[Other Financing Cash Flows]]></BN>
          <D><![CDATA[Other cash inflows and outflows often reported in the financing cash flows section of a cash flow statement.]]></D>
          <G>33E2464B-8311-499B-8558-5BCDBB94FC53</G>
        </ModLnkProps>
      </ModLnk>
      <ModLnk>
        <ModLnkProps>
          <N><![CDATA[Corporate Tax Expense]]></N>
          <BN><![CDATA[Corporate Tax Expense]]></BN>
          <D><![CDATA[The accounting taxation expenditure of a business as reported.]]></D>
          <G>77A6ED45-36AA-4638-A7B6-EB0762A68C7E</G>
        </ModLnkProps>
      </ModLnk>
      <ModLnk>
        <ModLnkProps>
          <N><![CDATA[Corporate Tax Payable Opening Balance]]></N>
          <BN><![CDATA[Corporate Tax Payable Opening Balance]]></BN>
          <D><![CDATA[A liability recorded on a business’s balance sheet to reflect the opening tax payable amounts at the end of a reporting period.]]></D>
          <G>AD4FA653-2705-40E7-B408-2B9492CD0D2B</G>
        </ModLnkProps>
      </ModLnk>
      <ModLnk>
        <ModLnkProps>
          <N><![CDATA[Opening Balance Sheet Corporate Tax Payable]]></N>
          <BN><![CDATA[Corporate Tax Payable]]></BN>
          <D><![CDATA[Corporate tax payable as reported in an opening balance sheet.]]></D>
          <G>4119175B-9391-46A8-A835-A0E019165643</G>
        </ModLnkProps>
      </ModLnk>
      <ModLnk>
        <ModLnkProps>
          <N><![CDATA[Income Statement NPBT]]></N>
          <BN><![CDATA[NPBT]]></BN>
          <D><![CDATA[Npbt as reported in an income statement. Commonly links out of income statement modules into presentation outputs modules.]]></D>
          <G>DEC71E85-1B1D-4AEA-BA19-C84D9918A4F3</G>
        </ModLnkProps>
      </ModLnk>
      <ModLnk>
        <ModLnkProps>
          <N><![CDATA[Movement in Provision for Annual Leave]]></N>
          <BN><![CDATA[Movement in Provision for Annual Leave]]></BN>
          <D><![CDATA[The increase or decrease in a provision for annual leave between the start and end of a reporting period.]]></D>
          <G>C3D35920-0BA1-4622-AF52-067C8B951A25</G>
        </ModLnkProps>
      </ModLnk>
      <ModLnk>
        <ModLnkProps>
          <N><![CDATA[Movement in Provision for Long Service Leave]]></N>
          <BN><![CDATA[Movement in Provision for Long Service Leave]]></BN>
          <D><![CDATA[The increase or decrease in a provision for long service leave between the start and end of a reporting period.]]></D>
          <G>07BD4882-9517-46DA-8F70-38BB99F13534</G>
        </ModLnkProps>
      </ModLnk>
      <ModLnk>
        <ModLnkProps>
          <N><![CDATA[Retirement Contributions Withheld]]></N>
          <BN><![CDATA[Retirement Contributions Withheld]]></BN>
          <D><![CDATA[Retirement contributions withheld on behalf of employees.]]></D>
          <G>857FD70D-5DB4-46E3-B89F-00C77A222574</G>
        </ModLnkProps>
      </ModLnk>
      <ModLnk>
        <ModLnkProps>
          <N><![CDATA[Retirement Contributions Paid]]></N>
          <BN><![CDATA[Retirement Contributions Paid]]></BN>
          <D><![CDATA[Retirement contributions paid on behalf of employees.]]></D>
          <G>667E6EF2-EAD4-46B9-9772-287CE3872904</G>
        </ModLnkProps>
      </ModLnk>
      <ModLnk>
        <ModLnkProps>
          <N><![CDATA[Creditors Opening Balance]]></N>
          <BN><![CDATA[Creditors Opening Balance]]></BN>
          <D><![CDATA[Opening trade creditors balance resulting from expenses being incurred but not paid in cash at a point in time.]]></D>
          <G>EFA62D54-084A-4E64-B007-8EC7BBF2880E</G>
        </ModLnkProps>
      </ModLnk>
      <ModLnk>
        <ModLnkProps>
          <N><![CDATA[Cost of Goods Sold (Including Taxes)]]></N>
          <BN><![CDATA[Cost of Goods Sold (Including Taxes)]]></BN>
          <D><![CDATA[The cost of inventory that has been sold to customers, including taxes such as sales tax, VAT or GST.]]></D>
          <G>C3AEE604-C9C0-4DCC-84BB-FC4235E84FBF</G>
        </ModLnkProps>
      </ModLnk>
      <ModLnk>
        <ModLnkProps>
          <N><![CDATA[Operating Expenditure (Including Taxes)]]></N>
          <BN><![CDATA[Operating Expenditure (Including Taxes)]]></BN>
          <D><![CDATA[Expenditures incurred as a result of the operations of a business, including taxes such as sales tax, VAT or GST.]]></D>
          <G>EB190EDC-6436-419B-90CB-392B740B89B0</G>
        </ModLnkProps>
      </ModLnk>
      <ModLnk>
        <ModLnkProps>
          <N><![CDATA[Other Operating Expenditure (Including Taxes)]]></N>
          <BN><![CDATA[Other Operating Expenditure (Including Taxes)]]></BN>
          <D><![CDATA[Other expenditures incurred as a result of the operations of a business, including taxes such as sales tax, VAT or GST.]]></D>
          <G>4FED42CE-E3D8-4B97-809D-09067CC2440C</G>
        </ModLnkProps>
      </ModLnk>
      <ModLnk>
        <ModLnkProps>
          <N><![CDATA[Opening Balance Sheet Creditors]]></N>
          <BN><![CDATA[Creditors]]></BN>
          <D><![CDATA[Creditors as reported in an opening balance sheet.]]></D>
          <G>460D6454-E75E-4D80-A722-B086D521D2BE</G>
        </ModLnkProps>
      </ModLnk>
      <ModLnk>
        <ModLnkProps>
          <N><![CDATA[Debt Opening Balance]]></N>
          <BN><![CDATA[Debt Opening Balance]]></BN>
          <D><![CDATA[Money, goods, or services that one party is obligated to pay another in accordance with an expressed or implied agreement.]]></D>
          <G>98B6BC67-FB49-4346-88A9-FEE1F64B8FD7</G>
        </ModLnkProps>
      </ModLnk>
      <ModLnk>
        <ModLnkProps>
          <N><![CDATA[Debt Interest Payable Opening Balance]]></N>
          <BN><![CDATA[Debt Interest Payable Opening Balance]]></BN>
          <D><![CDATA[Opening interest payable balance are recorded as current liabilities on the balance sheet.]]></D>
          <G>1821545E-81DF-4040-8184-DE69BD4B7732</G>
        </ModLnkProps>
      </ModLnk>
      <ModLnk>
        <ModLnkProps>
          <N><![CDATA[Debt Interest Expense]]></N>
          <BN><![CDATA[Debt Interest Expense]]></BN>
          <D><![CDATA[Interest amounts incurred on outstanding debt balances.]]></D>
          <G>36FA5469-50EF-4767-99F9-918D69AA57FD</G>
        </ModLnkProps>
      </ModLnk>
      <ModLnk>
        <ModLnkProps>
          <N><![CDATA[Opening Balance Sheet Debt]]></N>
          <BN><![CDATA[Debt]]></BN>
          <D><![CDATA[Debt as reported in an opening balance sheet.]]></D>
          <G>E9ABB77D-32EE-4CFD-BADD-AF64AF3B6FE7</G>
        </ModLnkProps>
      </ModLnk>
      <ModLnk>
        <ModLnkProps>
          <N><![CDATA[Opening Balance Sheet Debt Interest Payable]]></N>
          <BN><![CDATA[Debt Interest Payable]]></BN>
          <D><![CDATA[Debt interest payable as reported in an opening balance sheet.]]></D>
          <G>B7615F79-3F66-4F82-94A3-93E34C798C2C</G>
        </ModLnkProps>
      </ModLnk>
      <ModLnk>
        <ModLnkProps>
          <N><![CDATA[Debtors Opening Balance]]></N>
          <BN><![CDATA[Debtors Opening Balance]]></BN>
          <D><![CDATA[Opening trade debtors balance resulting from revenues being earned but not received in cash at a point in time.]]></D>
          <G>F3F44C8E-DF2A-4895-BFE4-A3EAFBC87135</G>
        </ModLnkProps>
      </ModLnk>
      <ModLnk>
        <ModLnkProps>
          <N><![CDATA[Revenue (Including Taxes)]]></N>
          <BN><![CDATA[Revenue (Including Taxes)]]></BN>
          <D><![CDATA[Income received from the sale of products or the provision of services, including taxes such as sales tax, VAT or GST.]]></D>
          <G>7340B374-3D3B-4ABB-93D6-52726D4B4F06</G>
        </ModLnkProps>
      </ModLnk>
      <ModLnk>
        <ModLnkProps>
          <N><![CDATA[Other Revenue (Including Taxes)]]></N>
          <BN><![CDATA[Other Revenue (Including Taxes)]]></BN>
          <D><![CDATA[Other income received from the sale of products or the provision of services, including taxes such as sales tax, VAT or GST.]]></D>
          <G>0E13DC82-FF30-4EF6-8206-C098351585F4</G>
        </ModLnkProps>
      </ModLnk>
      <ModLnk>
        <ModLnkProps>
          <N><![CDATA[Opening Balance Sheet Debtors]]></N>
          <BN><![CDATA[Debtors]]></BN>
          <D><![CDATA[Debtors as reported in an opening balance sheet.]]></D>
          <G>613A46E0-37FF-4CF1-95B7-FBD4FE1EBED4</G>
        </ModLnkProps>
      </ModLnk>
      <ModLnk>
        <ModLnkProps>
          <N><![CDATA[Fixed Assets Opening Balance]]></N>
          <BN><![CDATA[Fixed Assets Opening Balance]]></BN>
          <D><![CDATA[The opening book value of tangible resources available to a business for future economic benefit such as property, plant, equipment, land and buildings.]]></D>
          <G>0976962C-BD2C-4955-A0AB-7CB560950C62</G>
        </ModLnkProps>
      </ModLnk>
      <ModLnk>
        <ModLnkProps>
          <N><![CDATA[Fixed Assets Depreciation]]></N>
          <BN><![CDATA[Fixed Assets Depreciation]]></BN>
          <D><![CDATA[The periodic decrease in the book value of assets such as property, plant, equipment, land and buildings.]]></D>
          <G>97860D50-973B-4E71-BCEE-D80727560486</G>
        </ModLnkProps>
      </ModLnk>
      <ModLnk>
        <ModLnkProps>
          <N><![CDATA[Opening Balance Sheet Fixed Assets]]></N>
          <BN><![CDATA[Fixed Assets]]></BN>
          <D><![CDATA[Fixed assets as reported in an opening balance sheet.]]></D>
          <G>904ABC12-7734-434D-9EA5-8EBDF1C665B5</G>
        </ModLnkProps>
      </ModLnk>
      <ModLnk>
        <ModLnkProps>
          <N><![CDATA[Income Statement Revenue]]></N>
          <BN><![CDATA[Revenue]]></BN>
          <D><![CDATA[Revenue as reported in an income statement. Commonly links out of income statement modules into presentation outputs modules.]]></D>
          <G>11F00A27-4776-45B0-B483-5FE1F109AE07</G>
        </ModLnkProps>
      </ModLnk>
      <ModLnk>
        <ModLnkProps>
          <N><![CDATA[Income Statement Cost of Goods Sold]]></N>
          <BN><![CDATA[Cost of Goods Sold]]></BN>
          <D><![CDATA[Cost of goods sold as reported in an income statement. Commonly links out of income statement modules into presentation outputs modules.]]></D>
          <G>C934D542-549E-4227-AA8E-9BAFC21C1DD6</G>
        </ModLnkProps>
      </ModLnk>
      <ModLnk>
        <ModLnkProps>
          <N><![CDATA[Income Statement Gross Margin]]></N>
          <BN><![CDATA[Gross Margin]]></BN>
          <D><![CDATA[Gross margin as reported in an income statement. Commonly links out of income statement modules into presentation outputs modules.]]></D>
          <G>EA714C3B-A474-452C-8B94-4BB70DBF4657</G>
        </ModLnkProps>
      </ModLnk>
      <ModLnk>
        <ModLnkProps>
          <N><![CDATA[Income Statement Net Operating Expenses]]></N>
          <BN><![CDATA[Net Operating Expenses]]></BN>
          <D><![CDATA[Net operating expenses as reported in an income statement. Commonly links out of income statement modules into presentation outputs modules.]]></D>
          <G>F4E23BA8-1749-48B1-B62F-4B203402E9B5</G>
        </ModLnkProps>
      </ModLnk>
      <ModLnk>
        <ModLnkProps>
          <N><![CDATA[Income Statement EBITDA]]></N>
          <BN><![CDATA[EBITDA]]></BN>
          <D><![CDATA[Earnings before interest, tax, depreciation and amortization as reported in an income statement. Commonly links out of income statement modules into presentation outputs modules.]]></D>
          <G>B5476248-CCD4-421F-9F2A-D75AECC0D2C6</G>
        </ModLnkProps>
      </ModLnk>
      <ModLnk>
        <ModLnkProps>
          <N><![CDATA[Income Statement Total Depreciation & Amortization]]></N>
          <BN><![CDATA[Total Depreciation & Amortization]]></BN>
          <D><![CDATA[Total depreciation & amortization as reported in an income statement. Commonly links out of income statement modules into presentation outputs modules.]]></D>
          <G>3CDE2022-386E-486D-89BB-32DDA443CC7B</G>
        </ModLnkProps>
      </ModLnk>
      <ModLnk>
        <ModLnkProps>
          <N><![CDATA[Income Statement EBIT]]></N>
          <BN><![CDATA[EBIT]]></BN>
          <D><![CDATA[Earnings before interest and tax as reported in an income statement. Commonly links out of income statement modules into presentation outputs modules.]]></D>
          <G>53660E88-B21A-42CF-88A4-661E4FE145E2</G>
        </ModLnkProps>
      </ModLnk>
      <ModLnk>
        <ModLnkProps>
          <N><![CDATA[Income Statement Interest on Cash]]></N>
          <BN><![CDATA[Interest on Cash]]></BN>
          <D><![CDATA[Interest on cash as reported in an income statement. Commonly links out of income statement modules into presentation outputs modules.]]></D>
          <G>EC3DF63F-0FE4-4A0A-A11F-291EAB02860C</G>
        </ModLnkProps>
      </ModLnk>
      <ModLnk>
        <ModLnkProps>
          <N><![CDATA[Income Statement Net Interest Expense]]></N>
          <BN><![CDATA[Net Interest Expense]]></BN>
          <D><![CDATA[Net interest expense as reported in an income statement. Commonly links out of income statement modules into presentation outputs modules.]]></D>
          <G>DB46FB3D-E1B3-4799-85D6-B2E088636C8A</G>
        </ModLnkProps>
      </ModLnk>
      <ModLnk>
        <ModLnkProps>
          <N><![CDATA[Income Statement Corporate Tax Expense]]></N>
          <BN><![CDATA[Corporate Tax Expense]]></BN>
          <D><![CDATA[Corporate tax expense as reported in an income statement. Commonly links out of income statement modules into presentation outputs modules.]]></D>
          <G>DCFF2135-C05D-4362-983A-FBD5D24C6213</G>
        </ModLnkProps>
      </ModLnk>
      <ModLnk>
        <ModLnkProps>
          <N><![CDATA[Income Statement Other Revenue]]></N>
          <BN><![CDATA[Other Revenue]]></BN>
          <D><![CDATA[Other revenue as reported in an income statement. Commonly links out of income statement modules into presentation outputs modules.]]></D>
          <G>4F7930F8-DFE0-46CE-B508-5A8BDE17D69C</G>
        </ModLnkProps>
      </ModLnk>
      <ModLnk>
        <ModLnkProps>
          <N><![CDATA[Income Statement Operating Expenditure]]></N>
          <BN><![CDATA[Operating Expenditure]]></BN>
          <D><![CDATA[Operating expenditure as reported in an income statement. Commonly links out of income statement modules into presentation outputs modules.]]></D>
          <G>0E2679AB-FCFD-43E8-8B03-C71A223C73AF</G>
        </ModLnkProps>
      </ModLnk>
      <ModLnk>
        <ModLnkProps>
          <N><![CDATA[Income Statement Other Operating Expenditure]]></N>
          <BN><![CDATA[Other Operating Expenditure]]></BN>
          <D><![CDATA[Other operating expenditure as reported in an income statement. Commonly links out of income statement modules into presentation outputs modules.]]></D>
          <G>24CC5B87-623C-4382-A622-0E015384CD1B</G>
        </ModLnkProps>
      </ModLnk>
      <ModLnk>
        <ModLnkProps>
          <N><![CDATA[Income Statement Fixed Assets Depreciation]]></N>
          <BN><![CDATA[Fixed Assets Depreciation]]></BN>
          <D><![CDATA[Fixed assets depreciation as reported in an income statement. Commonly links out of income statement modules into presentation outputs modules.]]></D>
          <G>C1896DD2-E71F-43E1-AE90-1D4305B5ADC8</G>
        </ModLnkProps>
      </ModLnk>
      <ModLnk>
        <ModLnkProps>
          <N><![CDATA[Income Statement Debt Interest Expense]]></N>
          <BN><![CDATA[Debt Interest Expense]]></BN>
          <D><![CDATA[Debt interest expense as reported in an income statement. Commonly links out of income statement modules into presentation outputs modules.]]></D>
          <G>B71732B2-07D5-4A97-9C2B-549AEF162A25</G>
        </ModLnkProps>
      </ModLnk>
      <ModLnk>
        <ModLnkProps>
          <N><![CDATA[Other Revenue]]></N>
          <BN><![CDATA[Other Revenue]]></BN>
          <D><![CDATA[Other income received from the sale of products or the provision of services.]]></D>
          <G>11B73427-89C3-496A-AAC9-239536099189</G>
        </ModLnkProps>
      </ModLnk>
      <ModLnk>
        <ModLnkProps>
          <N><![CDATA[Other Operating Expenditure]]></N>
          <BN><![CDATA[Other Operating Expenditure]]></BN>
          <D><![CDATA[Other expenditures incurred as a result of the operations of a business.]]></D>
          <G>070A3ADD-0FB1-4CC9-BDBB-B89F34486725</G>
        </ModLnkProps>
      </ModLnk>
      <ModLnk>
        <ModLnkProps>
          <N><![CDATA[Inventory Payables Opening Balance]]></N>
          <BN><![CDATA[Inventory Payables Opening Balance]]></BN>
          <D><![CDATA[Opening inventory payable balance resulting from inventory purchases being incurred but not paid in cash at a point in time.]]></D>
          <G>CC398F68-0F48-439D-8C77-08CCB11CB130</G>
        </ModLnkProps>
      </ModLnk>
      <ModLnk>
        <ModLnkProps>
          <N><![CDATA[Inventory Purchases (Including Taxes)]]></N>
          <BN><![CDATA[Inventory Purchases (Including Taxes)]]></BN>
          <D><![CDATA[Amounts paid for inventory during a period, including taxes such as sales tax, VAT or GST.]]></D>
          <G>3752BD6F-07D2-4D59-A300-5B482F76BFA2</G>
        </ModLnkProps>
      </ModLnk>
      <ModLnk>
        <ModLnkProps>
          <N><![CDATA[Opening Balance Sheet Inventory Payables]]></N>
          <BN><![CDATA[Inventory Payables]]></BN>
          <D><![CDATA[Inventory payables as reported in an opening balance sheet.]]></D>
          <G>8052917C-A4D7-4DBF-96F3-BAD9F44274EB</G>
        </ModLnkProps>
      </ModLnk>
      <ModLnk>
        <ModLnkProps>
          <N><![CDATA[Inventory Opening Balance]]></N>
          <BN><![CDATA[Inventory Opening Balance]]></BN>
          <D><![CDATA[Opening inventory balance resulting from inventory purchases made in anticipation of future sales of inventory.]]></D>
          <G>C80BDBDB-DC59-48B2-ACFD-DD95083D3A66</G>
        </ModLnkProps>
      </ModLnk>
      <ModLnk>
        <ModLnkProps>
          <N><![CDATA[Inventory Purchases]]></N>
          <BN><![CDATA[Inventory Purchases]]></BN>
          <D><![CDATA[Amounts paid for inventory during a period.]]></D>
          <G>8E388AB7-C3A6-4D08-8BA3-0A54E6268AAB</G>
        </ModLnkProps>
      </ModLnk>
      <ModLnk>
        <ModLnkProps>
          <N><![CDATA[Opening Balance Sheet Inventory]]></N>
          <BN><![CDATA[Inventory]]></BN>
          <D><![CDATA[Inventory as reported in an opening balance sheet.]]></D>
          <G>39BFC107-4A0B-457A-BD82-6451A83B1403</G>
        </ModLnkProps>
      </ModLnk>
      <ModLnk>
        <ModLnkProps>
          <N><![CDATA[Opening Balance Sheet Total Current Assets]]></N>
          <BN><![CDATA[Total Current Assets]]></BN>
          <D><![CDATA[Total current assets as reported in an opening balance sheet.]]></D>
          <G>294EC658-EC81-4E52-BABE-3FBC3F26E24C</G>
        </ModLnkProps>
      </ModLnk>
      <ModLnk>
        <ModLnkProps>
          <N><![CDATA[Opening Balance Sheet Total Non-Current Assets]]></N>
          <BN><![CDATA[Total Non-Current Assets]]></BN>
          <D><![CDATA[Total non-current assets as reported in an opening balance sheet.]]></D>
          <G>0DD4FAB5-9D4E-4590-9A30-C4E3AB877C2D</G>
        </ModLnkProps>
      </ModLnk>
      <ModLnk>
        <ModLnkProps>
          <N><![CDATA[Opening Balance Sheet Total Assets]]></N>
          <BN><![CDATA[Total Assets]]></BN>
          <D><![CDATA[Total assets as reported in an opening balance sheet.]]></D>
          <G>7272E8F2-D148-4CE0-BD95-8D2EA45ABABC</G>
        </ModLnkProps>
      </ModLnk>
      <ModLnk>
        <ModLnkProps>
          <N><![CDATA[Opening Balance Sheet Accounts Payable]]></N>
          <BN><![CDATA[Accounts Payable]]></BN>
          <D><![CDATA[Accounts payable as reported in an opening balance sheet.]]></D>
          <G>6B34C5F7-1776-4483-9B03-BC01138E72F7</G>
        </ModLnkProps>
      </ModLnk>
      <ModLnk>
        <ModLnkProps>
          <N><![CDATA[Opening Balance Sheet Goods & Services Tax Payable]]></N>
          <BN><![CDATA[Goods & Services Tax Payable]]></BN>
          <D><![CDATA[Goods & services tax payable as reported in an opening balance sheet.]]></D>
          <G>BF1CA322-F5AD-404D-B0D7-360CCC270E03</G>
        </ModLnkProps>
      </ModLnk>
      <ModLnk>
        <ModLnkProps>
          <N><![CDATA[Opening Balance Sheet Ordinary Equity Dividends Payable]]></N>
          <BN><![CDATA[Ordinary Equity Dividends Payable]]></BN>
          <D><![CDATA[Ordinary equity dividends payable as reported in an opening balance sheet.]]></D>
          <G>135DAEDE-DD4A-4E44-BDD3-3B48B53B9FA4</G>
        </ModLnkProps>
      </ModLnk>
      <ModLnk>
        <ModLnkProps>
          <N><![CDATA[Opening Balance Sheet Total Current Liabilities]]></N>
          <BN><![CDATA[Total Current Liabilities]]></BN>
          <D><![CDATA[Total current liabilities as reported in an opening balance sheet.]]></D>
          <G>073237C9-7B88-4A13-BAB3-DFE239CFCB91</G>
        </ModLnkProps>
      </ModLnk>
      <ModLnk>
        <ModLnkProps>
          <N><![CDATA[Opening Balance Sheet Total Non-Current Liabilities]]></N>
          <BN><![CDATA[Total Non-Current Liabilities]]></BN>
          <D><![CDATA[Total non-current liabilities as reported in an opening balance sheet.]]></D>
          <G>C6BC71FA-E4B1-4910-9130-5F5B6356E9D0</G>
        </ModLnkProps>
      </ModLnk>
      <ModLnk>
        <ModLnkProps>
          <N><![CDATA[Opening Balance Sheet Total Liabilities]]></N>
          <BN><![CDATA[Total Liabilities]]></BN>
          <D><![CDATA[Total liabilities as reported in an opening balance sheet.]]></D>
          <G>3DE76F44-27A0-4558-8F93-9D816913FB47</G>
        </ModLnkProps>
      </ModLnk>
      <ModLnk>
        <ModLnkProps>
          <N><![CDATA[Opening Balance Sheet Net Assets]]></N>
          <BN><![CDATA[Net Assets]]></BN>
          <D><![CDATA[Net assets as reported in an opening balance sheet.]]></D>
          <G>0ECDF92E-B052-413B-8CF2-4610F0649D93</G>
        </ModLnkProps>
      </ModLnk>
      <ModLnk>
        <ModLnkProps>
          <N><![CDATA[Opening Balance Sheet Ordinary Equity]]></N>
          <BN><![CDATA[Ordinary Equity]]></BN>
          <D><![CDATA[Ordinary equity as reported in an opening balance sheet.]]></D>
          <G>2FF2F09F-7212-4B5C-9043-4BFA6FC5E97C</G>
        </ModLnkProps>
      </ModLnk>
      <ModLnk>
        <ModLnkProps>
          <N><![CDATA[Opening Balance Sheet Total Equity]]></N>
          <BN><![CDATA[Total Equity]]></BN>
          <D><![CDATA[Total equity as reported in an opening balance sheet.]]></D>
          <G>3E828245-47AF-4389-8DFD-EC1AB744E794</G>
        </ModLnkProps>
      </ModLnk>
      <ModLnk>
        <ModLnkProps>
          <N><![CDATA[Opening Balance Sheet Other Current Assets]]></N>
          <BN><![CDATA[Other Current Assets]]></BN>
          <D><![CDATA[Other current assets as reported in an opening balance sheet.]]></D>
          <G>29E71C33-2409-4D6A-9321-4BD815C55068</G>
        </ModLnkProps>
      </ModLnk>
      <ModLnk>
        <ModLnkProps>
          <N><![CDATA[Opening Balance Sheet Other Non-Current Assets]]></N>
          <BN><![CDATA[Other Non-Current Assets]]></BN>
          <D><![CDATA[Other non-current assets as reported in an opening balance sheet.]]></D>
          <G>F3412EFC-B309-419C-AE5B-850DCF4CEEC5</G>
        </ModLnkProps>
      </ModLnk>
      <ModLnk>
        <ModLnkProps>
          <N><![CDATA[Opening Balance Sheet Other Current Liabilities]]></N>
          <BN><![CDATA[Other Current Liabilities]]></BN>
          <D><![CDATA[Other current liabilities as reported in an opening balance sheet.]]></D>
          <G>1DB04605-77E1-4130-B0C6-68535234C21A</G>
        </ModLnkProps>
      </ModLnk>
      <ModLnk>
        <ModLnkProps>
          <N><![CDATA[Opening Balance Sheet Other Non-Current Liabilities]]></N>
          <BN><![CDATA[Other Non-Current Liabilities]]></BN>
          <D><![CDATA[Other non-current liabilities as reported in an opening balance sheet.]]></D>
          <G>F720186F-1210-4A8B-ABB7-F0A590C1DFFA</G>
        </ModLnkProps>
      </ModLnk>
      <ModLnk>
        <ModLnkProps>
          <N><![CDATA[Opening Balance Sheet Other Equity]]></N>
          <BN><![CDATA[Other Equity]]></BN>
          <D><![CDATA[Other equity as reported in an opening balance sheet.]]></D>
          <G>6BDA6F42-6B1E-4CA6-AE16-33A0087F3B74</G>
        </ModLnkProps>
      </ModLnk>
      <ModLnk>
        <ModLnkProps>
          <N><![CDATA[Ordinary Equity Opening Balance]]></N>
          <BN><![CDATA[Ordinary Equity Opening Balance]]></BN>
          <D><![CDATA[The owners’ interests in a business’s assets in the form of common shares or stock which pays distributions in the form of common dividends.]]></D>
          <G>FA931DEC-0D77-415C-89E2-BB247BC494A9</G>
        </ModLnkProps>
      </ModLnk>
      <ModLnk>
        <ModLnkProps>
          <N><![CDATA[Ordinary Equity Dividends Payable Opening Balance]]></N>
          <BN><![CDATA[Ordinary Equity Dividends Payable Opening Balance]]></BN>
          <D><![CDATA[If dividends paid are not equal to dividends declared during the period, a dividend payable liability is recorded in the current liabilities section of the balance sheet.]]></D>
          <G>507142E7-DF1F-4012-8272-7BA7CDE2C2A4</G>
        </ModLnkProps>
      </ModLnk>
      <ModLnk>
        <ModLnkProps>
          <N><![CDATA[Other Current Assets Opening Balance]]></N>
          <BN><![CDATA[Other Current Assets Opening Balance]]></BN>
          <D><![CDATA[Items that have typically been created with prior cash payments or income, with economic use anticipated in the next 12 months.]]></D>
          <G>375FC0CE-5BF2-427C-8D9B-2E36D0A02BDC</G>
        </ModLnkProps>
      </ModLnk>
      <ModLnk>
        <ModLnkProps>
          <N><![CDATA[Other Non-Current Assets Opening Balance]]></N>
          <BN><![CDATA[Other Non-Current Assets Opening Balance]]></BN>
          <D><![CDATA[Items that have typically been created with prior cash payments or income, with economic use anticipated beyond the next 12 months.]]></D>
          <G>B32C2DCA-57C0-4FB1-A013-A5EA5831AB9B</G>
        </ModLnkProps>
      </ModLnk>
      <ModLnk>
        <ModLnkProps>
          <N><![CDATA[Other Current Liabilities Opening Balance]]></N>
          <BN><![CDATA[Other Current Liabilities Opening Balance]]></BN>
          <D><![CDATA[Items that have typically been created with previous cash receipts or incurred expense, with an economic requirement anticipated in the next 12 months.]]></D>
          <G>9B805BEB-FB59-41B6-A29C-4C5153A9B1EC</G>
        </ModLnkProps>
      </ModLnk>
      <ModLnk>
        <ModLnkProps>
          <N><![CDATA[Other Non-Current Liabilities Opening Balance]]></N>
          <BN><![CDATA[Other Non-Current Liabilities Opening Balance]]></BN>
          <D><![CDATA[Items that have typically been created with previous cash receipts or incurred expense, with an economic requirement anticipated beyond the next 12 months.]]></D>
          <G>3F133D75-DF09-49E4-BD44-53350C4E0E38</G>
        </ModLnkProps>
      </ModLnk>
      <ModLnk>
        <ModLnkProps>
          <N><![CDATA[Other Equity Opening Balance]]></N>
          <BN><![CDATA[Other Equity Opening Balance]]></BN>
          <D><![CDATA[Items that have typically been created with previous cash receipts or incurred expense impacting on the equity section of the balance sheet.]]></D>
          <G>6A851E46-B227-4140-80FB-FF2CF672339A</G>
        </ModLnkProps>
      </ModLnk>
      <ModLnk>
        <ModLnkProps>
          <N><![CDATA[Capital Expenditure (Including Taxes)]]></N>
          <BN><![CDATA[Capital Expenditure (Including Taxes)]]></BN>
          <D><![CDATA[Expenditures incurred to acquire or upgrade physical assets such as property, industrial buildings or equipment, including taxes such as sales tax, VAT or GST.]]></D>
          <G>C8013BEF-1B90-4875-A064-C502755B90EE</G>
        </ModLnkProps>
      </ModLnk>
      <ModLnk>
        <ModLnkProps>
          <N><![CDATA[Goods & Services Tax Payable Opening Balance]]></N>
          <BN><![CDATA[Goods & Services Tax Payable Opening Balance]]></BN>
          <D><![CDATA[A liability to pay sales tax at the start of a reporting period.]]></D>
          <G>7C5BF857-8DC9-426E-8168-6A3CDFF135AD</G>
        </ModLnkProps>
      </ModLnk>
      <ModLnk>
        <ModLnkProps>
          <N><![CDATA[Goods & Services Tax Rate]]></N>
          <BN><![CDATA[Goods & Services Tax Rate]]></BN>
          <D><![CDATA[The rate of tax levied on goods and services.]]></D>
          <G>B8F084B7-D237-4942-842B-13C62667885A</G>
        </ModLnkProps>
      </ModLnk>
      <ModLnk>
        <ModLnkProps>
          <N><![CDATA[Base Interest Rate]]></N>
          <BN/>
          <D/>
          <G>85C0FF68-64B1-4E49-A5D2-4CD0177D7656</G>
        </ModLnkProps>
      </ModLnk>
      <ModLnk>
        <ModLnkProps>
          <N><![CDATA[Tax Losses Opening Balance]]></N>
          <BN/>
          <D/>
          <G>ECF5702B-5A76-4373-99C3-48C3F075FB17</G>
        </ModLnkProps>
      </ModLnk>
      <ModLnk>
        <ModLnkProps>
          <N><![CDATA[Tax Losses Created During Period]]></N>
          <BN/>
          <D/>
          <G>972873A2-67F0-4BFC-8344-10F2411C9327</G>
        </ModLnkProps>
      </ModLnk>
      <ModLnk>
        <ModLnkProps>
          <N><![CDATA[Tax Losses Used During Period]]></N>
          <BN/>
          <D/>
          <G>2E3E1A56-F206-4E39-B887-7FAC51D88F5B</G>
        </ModLnkProps>
      </ModLnk>
      <ModLnk>
        <ModLnkProps>
          <N><![CDATA[Tax Losses Closing Balance]]></N>
          <BN/>
          <D/>
          <G>BEE428EC-C5E0-49E4-ACA8-95ABFF9D4D9B</G>
        </ModLnkProps>
      </ModLnk>
      <ModLnk>
        <ModLnkProps>
          <N><![CDATA[Corporate Tax Rate]]></N>
          <BN><![CDATA[Corporate Tax Rate]]></BN>
          <D><![CDATA[The rate of cash taxes paid by a business to a government corporate taxation body as a proportion of taxable income.]]></D>
          <G>D31F2AE5-299D-45A2-8C5F-E399D06378AB</G>
        </ModLnkProps>
      </ModLnk>
      <ModLnk>
        <ModLnkProps>
          <N><![CDATA[Active Scenario]]></N>
          <BN/>
          <D/>
          <G>D4DCC3F9-35E2-4238-8D02-A3DB30F01813</G>
        </ModLnkProps>
      </ModLnk>
      <ModLnk>
        <ModLnkProps>
          <N><![CDATA[Scenarios Count]]></N>
          <BN/>
          <D/>
          <G>7B9C09EC-9438-47E8-9ED3-81009B4CDC75</G>
        </ModLnkProps>
      </ModLnk>
      <ModLnk>
        <ModLnkProps>
          <N><![CDATA[Scenario Names]]></N>
          <BN/>
          <D/>
          <G>570C6DD5-823F-4C1B-B2D6-A67A055FA554</G>
        </ModLnkProps>
      </ModLnk>
      <ModLnk>
        <ModLnkProps>
          <N><![CDATA[Data Tables Scenario]]></N>
          <BN/>
          <D/>
          <G>2A81519E-F0C6-4A2A-BDF6-68ADCD9F04D5</G>
        </ModLnkProps>
      </ModLnk>
      <ModLnk>
        <ModLnkProps>
          <N><![CDATA[Revenue Category]]></N>
          <BN/>
          <D/>
          <G>5D403475-D128-43EE-B901-D1DA3186143C</G>
        </ModLnkProps>
      </ModLnk>
      <ModLnk>
        <ModLnkProps>
          <N><![CDATA[Cost of Goods Sold Category]]></N>
          <BN/>
          <D/>
          <G>F98A0C33-E8F8-4F05-95E5-E2C4C301BA8E</G>
        </ModLnkProps>
      </ModLnk>
      <ModLnk>
        <ModLnkProps>
          <N><![CDATA[Operating Expenditure Category]]></N>
          <BN/>
          <D/>
          <G>1C3E6E2A-9C79-4AFC-9BCC-6AA8DEACAB42</G>
        </ModLnkProps>
      </ModLnk>
      <ModLnk>
        <ModLnkProps>
          <N><![CDATA[Other Revenue Category]]></N>
          <BN/>
          <D/>
          <G>3E5A877E-A7C7-4544-9D5E-D950D1A4009A</G>
        </ModLnkProps>
      </ModLnk>
      <ModLnk>
        <ModLnkProps>
          <N><![CDATA[Other Operating Expenditure Category]]></N>
          <BN/>
          <D/>
          <G>1AB8EC1E-1B02-4982-9720-3C2FB1DC056A</G>
        </ModLnkProps>
      </ModLnk>
      <ModLnk>
        <ModLnkProps>
          <N><![CDATA[Capital Expenditure Category]]></N>
          <BN/>
          <D/>
          <G>FE788156-8444-4B69-A832-BDAD79E10A8D</G>
        </ModLnkProps>
      </ModLnk>
      <ModLnk>
        <ModLnkProps>
          <N><![CDATA[Other Current Assets Category Closing Balance (Historical)]]></N>
          <BN><![CDATA[Other Current Assets Category Closing Balance]]></BN>
          <D/>
          <G>1AE9F70D-C076-4591-949A-6A8783D91DFF</G>
        </ModLnkProps>
      </ModLnk>
      <ModLnk>
        <ModLnkProps>
          <N><![CDATA[Other Current Assets Category Closing Balance]]></N>
          <BN/>
          <D/>
          <G>901F9880-8B01-4EE1-8E4E-C6F9B4FB4E1A</G>
        </ModLnkProps>
      </ModLnk>
      <ModLnk>
        <ModLnkProps>
          <N><![CDATA[Other Non-Current Assets Category Closing Balance (Historical)]]></N>
          <BN><![CDATA[Other Non-Current Assets Category Closing Balance]]></BN>
          <D/>
          <G>BD4E366F-1368-463D-A672-DD35D0A5624B</G>
        </ModLnkProps>
      </ModLnk>
      <ModLnk>
        <ModLnkProps>
          <N><![CDATA[Other Non-Current Assets Category Closing Balance]]></N>
          <BN/>
          <D/>
          <G>E2D52BE5-A5CC-49A1-A115-0AA1BC4BCA2A</G>
        </ModLnkProps>
      </ModLnk>
      <ModLnk>
        <ModLnkProps>
          <N><![CDATA[Other Current Liabilities Category Closing Balance (Historical)]]></N>
          <BN><![CDATA[Other Current Liabilities Category Closing Balance]]></BN>
          <D/>
          <G>37E73BC6-9892-4C0D-A4A0-B581D0B9862A</G>
        </ModLnkProps>
      </ModLnk>
      <ModLnk>
        <ModLnkProps>
          <N><![CDATA[Other Current Liabilities Category Closing Balance]]></N>
          <BN/>
          <D/>
          <G>C9A7EBF6-3B0B-4081-8EA8-49D50E911861</G>
        </ModLnkProps>
      </ModLnk>
      <ModLnk>
        <ModLnkProps>
          <N><![CDATA[Other Non-Current Liabilities Category Closing Balance (Historical)]]></N>
          <BN><![CDATA[Other Non-Current Liabilities Category Closing Balance]]></BN>
          <D/>
          <G>01DA7FD1-5000-48DE-915B-A0EB905A2A42</G>
        </ModLnkProps>
      </ModLnk>
      <ModLnk>
        <ModLnkProps>
          <N><![CDATA[Other Non-Current Liabilities Category Closing Balance]]></N>
          <BN/>
          <D/>
          <G>2E6A8DD3-A554-4F33-875C-C370EF0770F1</G>
        </ModLnkProps>
      </ModLnk>
      <ModLnk>
        <ModLnkProps>
          <N><![CDATA[Other Equity Category Closing Balance (Historical)]]></N>
          <BN><![CDATA[Other Equity Category Closing Balance]]></BN>
          <D/>
          <G>C258C060-BC80-457B-9F38-23FD9884DF19</G>
        </ModLnkProps>
      </ModLnk>
      <ModLnk>
        <ModLnkProps>
          <N><![CDATA[Other Equity Category Closing Balance]]></N>
          <BN/>
          <D/>
          <G>F6747256-DA7B-4FE8-A35B-9AA1D20ED66E</G>
        </ModLnkProps>
      </ModLnk>
      <ModLnk>
        <ModLnkProps>
          <N><![CDATA[Volumes]]></N>
          <BN><![CDATA[Volumes]]></BN>
          <D><![CDATA[The total quantity or amount of goods or services exchanged.]]></D>
          <G>7AB854AD-82D6-4A6E-B517-5DEC3CD15055</G>
        </ModLnkProps>
      </ModLnk>
    </ModLnks>
  </ModLnksLib>
  <ModWkBks>
    <ModWkBk>
      <ModWkBkProps>
        <MVS>14.0.5.0</MVS>
        <RAV>12.0.0.0</RAV>
        <RXV>0</RXV>
        <FV>3</FV>
        <AI><![CDATA[29070811-e494-493a-836b-6b2d307adf33]]></AI>
        <T>0</T>
        <EFFT>2</EFFT>
        <EWFN><![CDATA[Venue Project Model v1.0.xlsb]]></EWFN>
        <D/>
        <DE/>
        <E/>
        <C/>
        <W/>
        <K/>
        <CO/>
        <RGB>4144959</RGB>
        <V>11.0.1.0.</V>
        <PP><![CDATA[E2JOk4PCHkXU1q1eFxTIrA==]]></PP>
        <LWP/>
        <FMC>63</FMC>
        <SWN><![CDATA[Venue Project Model v1.0.xlsb]]></SWN>
        <LCV>0</LCV>
        <NCS>0</NCS>
      </ModWkBkProps>
      <Thm>
        <ThmCols>
          <ThmCol>
            <ThmColProps>
              <TCT>1</TCT>
              <R>0</R>
            </ThmColProps>
          </ThmCol>
          <ThmCol>
            <ThmColProps>
              <TCT>2</TCT>
              <R>16777215</R>
            </ThmColProps>
          </ThmCol>
          <ThmCol>
            <ThmColProps>
              <TCT>3</TCT>
              <R>6968388</R>
            </ThmColProps>
          </ThmCol>
          <ThmCol>
            <ThmColProps>
              <TCT>4</TCT>
              <R>15132391</R>
            </ThmColProps>
          </ThmCol>
          <ThmCol>
            <ThmColProps>
              <TCT>5</TCT>
              <R>7158048</R>
            </ThmColProps>
          </ThmCol>
          <ThmCol>
            <ThmColProps>
              <TCT>6</TCT>
              <R>13015411</R>
            </ThmColProps>
          </ThmCol>
          <ThmCol>
            <ThmColProps>
              <TCT>7</TCT>
              <R>12958611</R>
            </ThmColProps>
          </ThmCol>
          <ThmCol>
            <ThmColProps>
              <TCT>8</TCT>
              <R>10911613</R>
            </ThmColProps>
          </ThmCol>
          <ThmCol>
            <ThmColProps>
              <TCT>9</TCT>
              <R>11508351</R>
            </ThmColProps>
          </ThmCol>
          <ThmCol>
            <ThmColProps>
              <TCT>10</TCT>
              <R>15259335</R>
            </ThmColProps>
          </ThmCol>
          <ThmCol>
            <ThmColProps>
              <TCT>11</TCT>
              <R>6968388</R>
            </ThmColProps>
          </ThmCol>
          <ThmCol>
            <ThmColProps>
              <TCT>12</TCT>
              <R>6968388</R>
            </ThmColProps>
          </ThmCol>
        </ThmCols>
        <ThmFnts>
          <ThmFntsProps>
            <MAFN>Arial</MAFN>
            <MIFN>Arial</MIFN>
          </ThmFntsProps>
        </ThmFnts>
      </Thm>
      <Rpts>
        <Rpt>
          <RptProps>
            <N><![CDATA[Dashboard Report]]></N>
            <D><![CDATA[Includes income statement, balance sheet, and cash flow statement dashboard summaries.]]></D>
            <F><![CDATA[Dashboard Report.pdf]]></F>
            <O>0</O>
            <S/>
            <I>False</I>
            <P>True</P>
            <H>False</H>
            <G>True</G>
            <B>True</B>
            <C>True</C>
            <V>True</V>
            <PH>False</PH>
            <HC>False</HC>
          </RptProps>
          <RptShts>
            <RptSht>
              <RptShtProps>
                <S>4</S>
                <T>True</T>
              </RptShtProps>
            </RptSht>
            <RptSht>
              <RptShtProps>
                <S>5</S>
                <T>True</T>
              </RptShtProps>
            </RptSht>
            <RptSht>
              <RptShtProps>
                <S>6</S>
                <T>True</T>
              </RptShtProps>
            </RptSht>
          </RptShts>
        </Rpt>
      </Rpts>
      <ModWkBkModAreas>
        <ModWkBkModArea>
          <ModWkBkModAreaProps>
            <MAG>560313AD-F472-4E44-887C-A1C659521551</MAG>
          </ModWkBkModAreaProps>
        </ModWkBkModArea>
        <ModWkBkModArea>
          <ModWkBkModAreaProps>
            <MAG>68D38FB9-8B3C-49E0-B3A2-51B6BAD836A4</MAG>
          </ModWkBkModAreaProps>
        </ModWkBkModArea>
        <ModWkBkModArea>
          <ModWkBkModAreaProps>
            <MAG>A2CD815D-CA75-43CF-B069-ED711E1EF923</MAG>
          </ModWkBkModAreaProps>
        </ModWkBkModArea>
        <ModWkBkModArea>
          <ModWkBkModAreaProps>
            <MAG>E72A3FD0-52CB-410C-9CE7-3A25AE62CEAD</MAG>
          </ModWkBkModAreaProps>
        </ModWkBkModArea>
        <ModWkBkModArea>
          <ModWkBkModAreaProps>
            <MAG>AE1B75D9-5A46-40DB-A8A0-11F841A50A57</MAG>
          </ModWkBkModAreaProps>
        </ModWkBkModArea>
        <ModWkBkModArea>
          <ModWkBkModAreaProps>
            <MAG>67F2F4B9-E31F-4D93-B5C4-EC19B7A8BB60</MAG>
          </ModWkBkModAreaProps>
        </ModWkBkModArea>
        <ModWkBkModArea>
          <ModWkBkModAreaProps>
            <MAG>68F61C56-4299-4FA4-9517-F2F96409D6DE</MAG>
          </ModWkBkModAreaProps>
        </ModWkBkModArea>
        <ModWkBkModArea>
          <ModWkBkModAreaProps>
            <MAG>8CA58486-7FBD-4E89-915A-32AB8396BA9C</MAG>
          </ModWkBkModAreaProps>
        </ModWkBkModArea>
        <ModWkBkModArea>
          <ModWkBkModAreaProps>
            <MAG>0A3D1B54-7B18-4AE2-B3C2-0691D0B948A4</MAG>
          </ModWkBkModAreaProps>
        </ModWkBkModArea>
        <ModWkBkModArea>
          <ModWkBkModAreaProps>
            <MAG>0E45B0A4-BB6F-4798-AC8B-7C4671EA5BC0</MAG>
          </ModWkBkModAreaProps>
        </ModWkBkModArea>
        <ModWkBkModArea>
          <ModWkBkModAreaProps>
            <MAG>D1B8EBA3-A6FE-40B3-A8BF-CDDA9687725C</MAG>
          </ModWkBkModAreaProps>
        </ModWkBkModArea>
      </ModWkBkModAreas>
      <Shts>
        <Sht>
          <ShtProps>
            <N><![CDATA[Overview]]></N>
            <NIC>False</NIC>
            <CCC>False</CCC>
            <T><![CDATA[London Historical Fencing Club]]></T>
            <TIC>False</TIC>
            <BST>11</BST>
            <CST>20</CST>
            <PTMN>0</PTMN>
            <PTMCN>0</PTMCN>
            <SPTMCN>0</SPTMCN>
            <SPTMCERN/>
            <V>-1</V>
            <ST>-4167</ST>
            <IPS>False</IPS>
            <IMIS>False</IMIS>
            <IMES>False</IMES>
            <AA>True</AA>
            <IC>False</IC>
            <TRC>4</TRC>
          </ShtProps>
        </Sht>
        <Sht>
          <ShtProps>
            <N><![CDATA[Instructions]]></N>
            <NIC>True</NIC>
            <CCC>False</CCC>
            <T><![CDATA[Instructions]]></T>
            <TIC>True</TIC>
            <BST>2</BST>
            <CST>-1</CST>
            <PTMN>0</PTMN>
            <PTMCN>0</PTMCN>
            <SPTMCN>0</SPTMCN>
            <SPTMCERN/>
            <V>-1</V>
            <ST>-4167</ST>
            <IPS>True</IPS>
            <IMIS>False</IMIS>
            <IMES>False</IMES>
            <AA>False</AA>
            <IC>False</IC>
            <TRC>4</TRC>
          </ShtProps>
        </Sht>
        <Sht>
          <ShtProps>
            <N><![CDATA[Dashboards]]></N>
            <NIC>True</NIC>
            <CCC>False</CCC>
            <T><![CDATA[Dashboards]]></T>
            <TIC>True</TIC>
            <BST>2</BST>
            <CST>2</CST>
            <PTMN>0</PTMN>
            <PTMCN>0</PTMCN>
            <SPTMCN>0</SPTMCN>
            <SPTMCERN/>
            <V>-1</V>
            <ST>-4167</ST>
            <IPS>False</IPS>
            <IMIS>False</IMIS>
            <IMES>False</IMES>
            <AA>True</AA>
            <IC>False</IC>
            <TRC>4</TRC>
          </ShtProps>
        </Sht>
        <Sht>
          <ShtProps>
            <N><![CDATA[Summary]]></N>
            <NIC>False</NIC>
            <CCC>True</CCC>
            <T><![CDATA[Summary]]></T>
            <TIC>False</TIC>
            <BST>9</BST>
            <CST>-1</CST>
            <PTMN>0</PTMN>
            <PTMCN>0</PTMCN>
            <SPTMCN>0</SPTMCN>
            <SPTMCERN/>
            <V>-1</V>
            <ST>-4167</ST>
            <IPS>True</IPS>
            <IMIS>False</IMIS>
            <IMES>False</IMES>
            <AA>False</AA>
            <IC>False</IC>
            <TRC>2</TRC>
          </ShtProps>
          <ClmnSpns>
            <ClmnSpn>
              <ClmnSpnProps>
                <PT>0</PT>
                <SN>4</SN>
                <MCN>0</MCN>
                <CWSN>1</CWSN>
                <FCPT>0</FCPT>
                <FCN>2</FCN>
                <FCOT>0</FCOT>
                <FCOC>0</FCOC>
                <FCPTBMCN>0</FCPTBMCN>
                <FCPTBN>0</FCPTBN>
                <LCPT>0</LCPT>
                <LCN>17</LCN>
                <LCOT>0</LCOT>
                <LCOC>0</LCOC>
                <LCPTBMCN>0</LCPTBMCN>
                <LCPTBN>0</LCPTBN>
                <CW>10.5</CW>
                <OL>1</OL>
                <HD>False</HD>
              </ClmnSpnProps>
            </ClmnSpn>
            <ClmnSpn>
              <ClmnSpnProps>
                <PT>0</PT>
                <SN>4</SN>
                <MCN>0</MCN>
                <CWSN>2</CWSN>
                <FCPT>0</FCPT>
                <FCN>18</FCN>
                <FCOT>0</FCOT>
                <FCOC>0</FCOC>
                <FCPTBMCN>0</FCPTBMCN>
                <FCPTBN>0</FCPTBN>
                <LCPT>0</LCPT>
                <LCN>18</LCN>
                <LCOT>0</LCOT>
                <LCOC>0</LCOC>
                <LCPTBMCN>0</LCPTBMCN>
                <LCPTBN>0</LCPTBN>
                <CW>3</CW>
                <OL>1</OL>
                <HD>False</HD>
              </ClmnSpnProps>
            </ClmnSpn>
            <ClmnSpn>
              <ClmnSpnProps>
                <PT>0</PT>
                <SN>4</SN>
                <MCN>0</MCN>
                <CWSN>3</CWSN>
                <FCPT>0</FCPT>
                <FCN>19</FCN>
                <FCOT>0</FCOT>
                <FCOC>0</FCOC>
                <FCPTBMCN>0</FCPTBMCN>
                <FCPTBN>0</FCPTBN>
                <LCPT>0</LCPT>
                <LCN>34</LCN>
                <LCOT>0</LCOT>
                <LCOC>0</LCOC>
                <LCPTBMCN>0</LCPTBMCN>
                <LCPTBN>0</LCPTBN>
                <CW>10.5</CW>
                <OL>1</OL>
                <HD>False</HD>
              </ClmnSpnProps>
            </ClmnSpn>
          </ClmnSpns>
          <ShtChts>
            <ShtCht>
              <ShtChtProps>
                <SN>4</SN>
                <SCON><![CDATA[bpmChartFs_Sum19]]></SCON>
              </ShtChtProps>
            </ShtCht>
            <ShtCht>
              <ShtChtProps>
                <SN>4</SN>
                <SCON><![CDATA[bpmChartFs_Sum18]]></SCON>
              </ShtChtProps>
            </ShtCht>
            <ShtCht>
              <ShtChtProps>
                <SN>4</SN>
                <SCON><![CDATA[bpmChartFs_Sum17]]></SCON>
              </ShtChtProps>
            </ShtCht>
            <ShtCht>
              <ShtChtProps>
                <SN>4</SN>
                <SCON><![CDATA[bpmChartFs_Sum16]]></SCON>
              </ShtChtProps>
            </ShtCht>
            <ShtCht>
              <ShtChtProps>
                <SN>4</SN>
                <SCON><![CDATA[bpmChartFs_Sum15]]></SCON>
              </ShtChtProps>
            </ShtCht>
            <ShtCht>
              <ShtChtProps>
                <SN>4</SN>
                <SCON><![CDATA[bpmChartFs_Sum14]]></SCON>
              </ShtChtProps>
            </ShtCht>
            <ShtCht>
              <ShtChtProps>
                <SN>4</SN>
                <SCON><![CDATA[bpmChartFs_Sum13]]></SCON>
              </ShtChtProps>
            </ShtCht>
            <ShtCht>
              <ShtChtProps>
                <SN>4</SN>
                <SCON><![CDATA[bpmChartFs_Sum12]]></SCON>
              </ShtChtProps>
            </ShtCht>
            <ShtCht>
              <ShtChtProps>
                <SN>4</SN>
                <SCON><![CDATA[bpmChartFs_Sum11]]></SCON>
              </ShtChtProps>
            </ShtCht>
            <ShtCht>
              <ShtChtProps>
                <SN>4</SN>
                <SCON><![CDATA[bpmChartFs_Sum10]]></SCON>
              </ShtChtProps>
            </ShtCht>
          </ShtChts>
          <ModComps>
            <ModComp>
              <ModCompProps>
                <MN>58</MN>
                <MCN>1</MCN>
                <SN>4</SN>
              </ModCompProps>
            </ModComp>
          </ModComps>
        </Sht>
        <Sht>
          <ShtProps>
            <N><![CDATA[KPIs]]></N>
            <NIC>True</NIC>
            <CCC>False</CCC>
            <T><![CDATA[Key Figures]]></T>
            <TIC>False</TIC>
            <BST>6</BST>
            <CST>-1</CST>
            <PTMN>0</PTMN>
            <PTMCN>0</PTMCN>
            <SPTMCN>0</SPTMCN>
            <SPTMCERN/>
            <V>-1</V>
            <ST>-4167</ST>
            <IPS>True</IPS>
            <IMIS>False</IMIS>
            <IMES>False</IMES>
            <AA>False</AA>
            <IC>False</IC>
            <TRC>4</TRC>
          </ShtProps>
        </Sht>
        <Sht>
          <ShtProps>
            <N><![CDATA[Scen_Db]]></N>
            <NIC>False</NIC>
            <CCC>True</CCC>
            <T><![CDATA[Scenarios Summary]]></T>
            <TIC>False</TIC>
            <BST>6</BST>
            <CST>-1</CST>
            <PTMN>0</PTMN>
            <PTMCN>0</PTMCN>
            <SPTMCN>0</SPTMCN>
            <SPTMCERN/>
            <V>-1</V>
            <ST>-4167</ST>
            <IPS>True</IPS>
            <IMIS>False</IMIS>
            <IMES>False</IMES>
            <AA>False</AA>
            <IC>False</IC>
            <TRC>2</TRC>
          </ShtProps>
          <ClmnSpns>
            <ClmnSpn>
              <ClmnSpnProps>
                <PT>0</PT>
                <SN>6</SN>
                <MCN>0</MCN>
                <CWSN>1</CWSN>
                <FCPT>0</FCPT>
                <FCN>2</FCN>
                <FCOT>0</FCOT>
                <FCOC>0</FCOC>
                <FCPTBMCN>0</FCPTBMCN>
                <FCPTBN>0</FCPTBN>
                <LCPT>0</LCPT>
                <LCN>5</LCN>
                <LCOT>0</LCOT>
                <LCOC>0</LCOC>
                <LCPTBMCN>0</LCPTBMCN>
                <LCPTBN>0</LCPTBN>
                <CW>11</CW>
                <OL>1</OL>
                <HD>False</HD>
              </ClmnSpnProps>
            </ClmnSpn>
            <ClmnSpn>
              <ClmnSpnProps>
                <PT>0</PT>
                <SN>6</SN>
                <MCN>0</MCN>
                <CWSN>2</CWSN>
                <FCPT>0</FCPT>
                <FCN>17</FCN>
                <FCOT>0</FCOT>
                <FCOC>0</FCOC>
                <FCPTBMCN>0</FCPTBMCN>
                <FCPTBN>0</FCPTBN>
                <LCPT>0</LCPT>
                <LCN>17</LCN>
                <LCOT>0</LCOT>
                <LCOC>0</LCOC>
                <LCPTBMCN>0</LCPTBMCN>
                <LCPTBN>0</LCPTBN>
                <CW>3</CW>
                <OL>1</OL>
                <HD>False</HD>
              </ClmnSpnProps>
            </ClmnSpn>
          </ClmnSpns>
          <ShtChts>
            <ShtCht>
              <ShtChtProps>
                <SN>6</SN>
                <SCON><![CDATA[bpmChartScen_Db13]]></SCON>
              </ShtChtProps>
            </ShtCht>
            <ShtCht>
              <ShtChtProps>
                <SN>6</SN>
                <SCON><![CDATA[bpmChartScen_Db12]]></SCON>
              </ShtChtProps>
            </ShtCht>
            <ShtCht>
              <ShtChtProps>
                <SN>6</SN>
                <SCON><![CDATA[bpmChartScen_Db11]]></SCON>
              </ShtChtProps>
            </ShtCht>
            <ShtCht>
              <ShtChtProps>
                <SN>6</SN>
                <SCON><![CDATA[bpmChartScen_Db10]]></SCON>
              </ShtChtProps>
            </ShtCht>
            <ShtCht>
              <ShtChtProps>
                <SN>6</SN>
                <SCON><![CDATA[bpmChartScen_Db9]]></SCON>
              </ShtChtProps>
            </ShtCht>
            <ShtCht>
              <ShtChtProps>
                <SN>6</SN>
                <SCON><![CDATA[bpmChartScen_Db8]]></SCON>
              </ShtChtProps>
            </ShtCht>
            <ShtCht>
              <ShtChtProps>
                <SN>6</SN>
                <SCON><![CDATA[bpmChartScen_Db7]]></SCON>
              </ShtChtProps>
            </ShtCht>
            <ShtCht>
              <ShtChtProps>
                <SN>6</SN>
                <SCON><![CDATA[bpmChartScen_Db6]]></SCON>
              </ShtChtProps>
            </ShtCht>
          </ShtChts>
          <ModComps>
            <ModComp>
              <ModCompProps>
                <MN>60</MN>
                <MCN>2</MCN>
                <SN>6</SN>
              </ModCompProps>
            </ModComp>
          </ModComps>
        </Sht>
        <Sht>
          <ShtProps>
            <N><![CDATA[Scenarios]]></N>
            <NIC>False</NIC>
            <CCC>True</CCC>
            <T><![CDATA[Scenario Manager]]></T>
            <TIC>False</TIC>
            <BST>5</BST>
            <CST>-1</CST>
            <PTMN>1</PTMN>
            <PTMCN>3</PTMCN>
            <SPTMCN>8</SPTMCN>
            <SPTMCERN>MODMC19</SPTMCERN>
            <V>-1</V>
            <ST>-4167</ST>
            <IPS>False</IPS>
            <IMIS>False</IMIS>
            <IMES>False</IMES>
            <AA>False</AA>
            <IC>False</IC>
            <TRC>2</TRC>
          </ShtProps>
          <ModComps>
            <ModComp>
              <ModCompProps>
                <MN>2</MN>
                <MCN>1</MCN>
                <SN>7</SN>
              </ModCompProps>
            </ModComp>
            <ModComp>
              <ModCompProps>
                <MN>7</MN>
                <MCN>1</MCN>
                <SN>7</SN>
              </ModCompProps>
            </ModComp>
            <ModComp>
              <ModCompProps>
                <MN>8</MN>
                <MCN>1</MCN>
                <SN>7</SN>
              </ModCompProps>
            </ModComp>
            <ModComp>
              <ModCompProps>
                <MN>9</MN>
                <MCN>1</MCN>
                <SN>7</SN>
              </ModCompProps>
            </ModComp>
            <ModComp>
              <ModCompProps>
                <MN>10</MN>
                <MCN>1</MCN>
                <SN>7</SN>
              </ModCompProps>
            </ModComp>
            <ModComp>
              <ModCompProps>
                <MN>12</MN>
                <MCN>1</MCN>
                <SN>7</SN>
              </ModCompProps>
            </ModComp>
            <ModComp>
              <ModCompProps>
                <MN>13</MN>
                <MCN>1</MCN>
                <SN>7</SN>
              </ModCompProps>
            </ModComp>
            <ModComp>
              <ModCompProps>
                <MN>14</MN>
                <MCN>1</MCN>
                <SN>7</SN>
              </ModCompProps>
            </ModComp>
            <ModComp>
              <ModCompProps>
                <MN>15</MN>
                <MCN>1</MCN>
                <SN>7</SN>
              </ModCompProps>
            </ModComp>
            <ModComp>
              <ModCompProps>
                <MN>16</MN>
                <MCN>1</MCN>
                <SN>7</SN>
              </ModCompProps>
            </ModComp>
            <ModComp>
              <ModCompProps>
                <MN>17</MN>
                <MCN>1</MCN>
                <SN>7</SN>
              </ModCompProps>
            </ModComp>
            <ModComp>
              <ModCompProps>
                <MN>18</MN>
                <MCN>1</MCN>
                <SN>7</SN>
              </ModCompProps>
            </ModComp>
            <ModComp>
              <ModCompProps>
                <MN>19</MN>
                <MCN>1</MCN>
                <SN>7</SN>
              </ModCompProps>
            </ModComp>
            <ModComp>
              <ModCompProps>
                <MN>20</MN>
                <MCN>1</MCN>
                <SN>7</SN>
              </ModCompProps>
            </ModComp>
            <ModComp>
              <ModCompProps>
                <MN>21</MN>
                <MCN>1</MCN>
                <SN>7</SN>
              </ModCompProps>
            </ModComp>
            <ModComp>
              <ModCompProps>
                <MN>22</MN>
                <MCN>1</MCN>
                <SN>7</SN>
              </ModCompProps>
            </ModComp>
            <ModComp>
              <ModCompProps>
                <MN>23</MN>
                <MCN>1</MCN>
                <SN>7</SN>
              </ModCompProps>
            </ModComp>
            <ModComp>
              <ModCompProps>
                <MN>24</MN>
                <MCN>1</MCN>
                <SN>7</SN>
              </ModCompProps>
            </ModComp>
            <ModComp>
              <ModCompProps>
                <MN>25</MN>
                <MCN>1</MCN>
                <SN>7</SN>
              </ModCompProps>
            </ModComp>
            <ModComp>
              <ModCompProps>
                <MN>27</MN>
                <MCN>1</MCN>
                <SN>7</SN>
              </ModCompProps>
            </ModComp>
            <ModComp>
              <ModCompProps>
                <MN>28</MN>
                <MCN>1</MCN>
                <SN>7</SN>
              </ModCompProps>
            </ModComp>
            <ModComp>
              <ModCompProps>
                <MN>29</MN>
                <MCN>1</MCN>
                <SN>7</SN>
              </ModCompProps>
            </ModComp>
            <ModComp>
              <ModCompProps>
                <MN>30</MN>
                <MCN>1</MCN>
                <SN>7</SN>
              </ModCompProps>
            </ModComp>
            <ModComp>
              <ModCompProps>
                <MN>37</MN>
                <MCN>1</MCN>
                <SN>7</SN>
              </ModCompProps>
            </ModComp>
            <ModComp>
              <ModCompProps>
                <MN>38</MN>
                <MCN>1</MCN>
                <SN>7</SN>
              </ModCompProps>
            </ModComp>
            <ModComp>
              <ModCompProps>
                <MN>39</MN>
                <MCN>1</MCN>
                <SN>7</SN>
              </ModCompProps>
            </ModComp>
            <ModComp>
              <ModCompProps>
                <MN>60</MN>
                <MCN>1</MCN>
                <SN>7</SN>
              </ModCompProps>
            </ModComp>
          </ModComps>
        </Sht>
        <Sht>
          <ShtProps>
            <N><![CDATA[Model]]></N>
            <NIC>True</NIC>
            <CCC>False</CCC>
            <T><![CDATA[Financial Model]]></T>
            <TIC>True</TIC>
            <BST>2</BST>
            <CST>-1</CST>
            <PTMN>0</PTMN>
            <PTMCN>0</PTMCN>
            <SPTMCN>0</SPTMCN>
            <SPTMCERN/>
            <V>-1</V>
            <ST>-4167</ST>
            <IPS>False</IPS>
            <IMIS>False</IMIS>
            <IMES>False</IMES>
            <AA>False</AA>
            <IC>False</IC>
            <TRC>4</TRC>
          </ShtProps>
        </Sht>
        <Sht>
          <ShtProps>
            <N><![CDATA[OBS]]></N>
            <NIC>False</NIC>
            <CCC>True</CCC>
            <T><![CDATA[Opening Balance Sheet]]></T>
            <TIC>False</TIC>
            <BST>4</BST>
            <CST>-1</CST>
            <PTMN>0</PTMN>
            <PTMCN>0</PTMCN>
            <SPTMCN>0</SPTMCN>
            <SPTMCERN/>
            <V>-1</V>
            <ST>-4167</ST>
            <IPS>False</IPS>
            <IMIS>False</IMIS>
            <IMES>False</IMES>
            <AA>False</AA>
            <IC>False</IC>
            <TRC>2</TRC>
          </ShtProps>
          <ModComps>
            <ModComp>
              <ModCompProps>
                <MN>3</MN>
                <MCN>1</MCN>
                <SN>9</SN>
              </ModCompProps>
            </ModComp>
          </ModComps>
        </Sht>
        <Sht>
          <ShtProps>
            <N><![CDATA[Rev_Exp]]></N>
            <NIC>False</NIC>
            <CCC>True</CCC>
            <T><![CDATA[Revenue & Expenses]]></T>
            <TIC>False</TIC>
            <BST>5</BST>
            <CST>-1</CST>
            <PTMN>1</PTMN>
            <PTMCN>4</PTMCN>
            <SPTMCN>9</SPTMCN>
            <SPTMCERN>MODMC10</SPTMCERN>
            <V>-1</V>
            <ST>-4167</ST>
            <IPS>False</IPS>
            <IMIS>False</IMIS>
            <IMES>False</IMES>
            <AA>False</AA>
            <IC>False</IC>
            <TRC>2</TRC>
          </ShtProps>
          <ModComps>
            <ModComp>
              <ModCompProps>
                <MN>7</MN>
                <MCN>2</MCN>
                <SN>10</SN>
              </ModCompProps>
            </ModComp>
            <ModComp>
              <ModCompProps>
                <MN>8</MN>
                <MCN>2</MCN>
                <SN>10</SN>
              </ModCompProps>
            </ModComp>
            <ModComp>
              <ModCompProps>
                <MN>9</MN>
                <MCN>2</MCN>
                <SN>10</SN>
              </ModCompProps>
            </ModComp>
            <ModComp>
              <ModCompProps>
                <MN>10</MN>
                <MCN>2</MCN>
                <SN>10</SN>
              </ModCompProps>
            </ModComp>
            <ModComp>
              <ModCompProps>
                <MN>11</MN>
                <MCN>1</MCN>
                <SN>10</SN>
              </ModCompProps>
            </ModComp>
            <ModComp>
              <ModCompProps>
                <MN>12</MN>
                <MCN>2</MCN>
                <SN>10</SN>
              </ModCompProps>
            </ModComp>
            <ModComp>
              <ModCompProps>
                <MN>13</MN>
                <MCN>2</MCN>
                <SN>10</SN>
              </ModCompProps>
            </ModComp>
            <ModComp>
              <ModCompProps>
                <MN>14</MN>
                <MCN>2</MCN>
                <SN>10</SN>
              </ModCompProps>
            </ModComp>
            <ModComp>
              <ModCompProps>
                <MN>9</MN>
                <MCN>3</MCN>
                <SN>10</SN>
              </ModCompProps>
            </ModComp>
            <ModComp>
              <ModCompProps>
                <MN>10</MN>
                <MCN>3</MCN>
                <SN>10</SN>
              </ModCompProps>
            </ModComp>
            <ModComp>
              <ModCompProps>
                <MN>11</MN>
                <MCN>2</MCN>
                <SN>10</SN>
              </ModCompProps>
            </ModComp>
            <ModComp>
              <ModCompProps>
                <MN>12</MN>
                <MCN>3</MCN>
                <SN>10</SN>
              </ModCompProps>
            </ModComp>
            <ModComp>
              <ModCompProps>
                <MN>13</MN>
                <MCN>3</MCN>
                <SN>10</SN>
              </ModCompProps>
            </ModComp>
            <ModComp>
              <ModCompProps>
                <MN>14</MN>
                <MCN>3</MCN>
                <SN>10</SN>
              </ModCompProps>
            </ModComp>
            <ModComp>
              <ModCompProps>
                <MN>9</MN>
                <MCN>4</MCN>
                <SN>10</SN>
              </ModCompProps>
            </ModComp>
            <ModComp>
              <ModCompProps>
                <MN>15</MN>
                <MCN>2</MCN>
                <SN>10</SN>
              </ModCompProps>
            </ModComp>
            <ModComp>
              <ModCompProps>
                <MN>16</MN>
                <MCN>2</MCN>
                <SN>10</SN>
              </ModCompProps>
            </ModComp>
            <ModComp>
              <ModCompProps>
                <MN>17</MN>
                <MCN>2</MCN>
                <SN>10</SN>
              </ModCompProps>
            </ModComp>
            <ModComp>
              <ModCompProps>
                <MN>18</MN>
                <MCN>2</MCN>
                <SN>10</SN>
              </ModCompProps>
            </ModComp>
            <ModComp>
              <ModCompProps>
                <MN>15</MN>
                <MCN>3</MCN>
                <SN>10</SN>
              </ModCompProps>
            </ModComp>
            <ModComp>
              <ModCompProps>
                <MN>16</MN>
                <MCN>3</MCN>
                <SN>10</SN>
              </ModCompProps>
            </ModComp>
            <ModComp>
              <ModCompProps>
                <MN>17</MN>
                <MCN>3</MCN>
                <SN>10</SN>
              </ModCompProps>
            </ModComp>
            <ModComp>
              <ModCompProps>
                <MN>18</MN>
                <MCN>3</MCN>
                <SN>10</SN>
              </ModCompProps>
            </ModComp>
            <ModComp>
              <ModCompProps>
                <MN>15</MN>
                <MCN>4</MCN>
                <SN>10</SN>
              </ModCompProps>
            </ModComp>
            <ModComp>
              <ModCompProps>
                <MN>19</MN>
                <MCN>2</MCN>
                <SN>10</SN>
              </ModCompProps>
            </ModComp>
            <ModComp>
              <ModCompProps>
                <MN>20</MN>
                <MCN>2</MCN>
                <SN>10</SN>
              </ModCompProps>
            </ModComp>
            <ModComp>
              <ModCompProps>
                <MN>21</MN>
                <MCN>2</MCN>
                <SN>10</SN>
              </ModCompProps>
            </ModComp>
            <ModComp>
              <ModCompProps>
                <MN>22</MN>
                <MCN>2</MCN>
                <SN>10</SN>
              </ModCompProps>
            </ModComp>
            <ModComp>
              <ModCompProps>
                <MN>23</MN>
                <MCN>2</MCN>
                <SN>10</SN>
              </ModCompProps>
            </ModComp>
            <ModComp>
              <ModCompProps>
                <MN>24</MN>
                <MCN>2</MCN>
                <SN>10</SN>
              </ModCompProps>
            </ModComp>
            <ModComp>
              <ModCompProps>
                <MN>25</MN>
                <MCN>2</MCN>
                <SN>10</SN>
              </ModCompProps>
            </ModComp>
            <ModComp>
              <ModCompProps>
                <MN>26</MN>
                <MCN>1</MCN>
                <SN>10</SN>
              </ModCompProps>
            </ModComp>
            <ModComp>
              <ModCompProps>
                <MN>27</MN>
                <MCN>2</MCN>
                <SN>10</SN>
              </ModCompProps>
            </ModComp>
            <ModComp>
              <ModCompProps>
                <MN>19</MN>
                <MCN>3</MCN>
                <SN>10</SN>
              </ModCompProps>
            </ModComp>
            <ModComp>
              <ModCompProps>
                <MN>20</MN>
                <MCN>3</MCN>
                <SN>10</SN>
              </ModCompProps>
            </ModComp>
            <ModComp>
              <ModCompProps>
                <MN>21</MN>
                <MCN>3</MCN>
                <SN>10</SN>
              </ModCompProps>
            </ModComp>
            <ModComp>
              <ModCompProps>
                <MN>22</MN>
                <MCN>3</MCN>
                <SN>10</SN>
              </ModCompProps>
            </ModComp>
            <ModComp>
              <ModCompProps>
                <MN>23</MN>
                <MCN>3</MCN>
                <SN>10</SN>
              </ModCompProps>
            </ModComp>
            <ModComp>
              <ModCompProps>
                <MN>24</MN>
                <MCN>3</MCN>
                <SN>10</SN>
              </ModCompProps>
            </ModComp>
            <ModComp>
              <ModCompProps>
                <MN>25</MN>
                <MCN>3</MCN>
                <SN>10</SN>
              </ModCompProps>
            </ModComp>
            <ModComp>
              <ModCompProps>
                <MN>26</MN>
                <MCN>2</MCN>
                <SN>10</SN>
              </ModCompProps>
            </ModComp>
            <ModComp>
              <ModCompProps>
                <MN>27</MN>
                <MCN>3</MCN>
                <SN>10</SN>
              </ModCompProps>
            </ModComp>
            <ModComp>
              <ModCompProps>
                <MN>19</MN>
                <MCN>4</MCN>
                <SN>10</SN>
              </ModCompProps>
            </ModComp>
            <ModComp>
              <ModCompProps>
                <MN>28</MN>
                <MCN>2</MCN>
                <SN>10</SN>
              </ModCompProps>
            </ModComp>
            <ModComp>
              <ModCompProps>
                <MN>29</MN>
                <MCN>2</MCN>
                <SN>10</SN>
              </ModCompProps>
            </ModComp>
            <ModComp>
              <ModCompProps>
                <MN>30</MN>
                <MCN>2</MCN>
                <SN>10</SN>
              </ModCompProps>
            </ModComp>
            <ModComp>
              <ModCompProps>
                <MN>28</MN>
                <MCN>3</MCN>
                <SN>10</SN>
              </ModCompProps>
            </ModComp>
            <ModComp>
              <ModCompProps>
                <MN>29</MN>
                <MCN>3</MCN>
                <SN>10</SN>
              </ModCompProps>
            </ModComp>
            <ModComp>
              <ModCompProps>
                <MN>30</MN>
                <MCN>3</MCN>
                <SN>10</SN>
              </ModCompProps>
            </ModComp>
            <ModComp>
              <ModCompProps>
                <MN>28</MN>
                <MCN>4</MCN>
                <SN>10</SN>
              </ModCompProps>
            </ModComp>
            <ModComp>
              <ModCompProps>
                <MN>31</MN>
                <MCN>1</MCN>
                <SN>10</SN>
              </ModCompProps>
            </ModComp>
            <ModComp>
              <ModCompProps>
                <MN>32</MN>
                <MCN>1</MCN>
                <SN>10</SN>
              </ModCompProps>
            </ModComp>
            <ModComp>
              <ModCompProps>
                <MN>31</MN>
                <MCN>2</MCN>
                <SN>10</SN>
              </ModCompProps>
            </ModComp>
            <ModComp>
              <ModCompProps>
                <MN>32</MN>
                <MCN>2</MCN>
                <SN>10</SN>
              </ModCompProps>
            </ModComp>
            <ModComp>
              <ModCompProps>
                <MN>31</MN>
                <MCN>3</MCN>
                <SN>10</SN>
              </ModCompProps>
            </ModComp>
          </ModComps>
        </Sht>
        <Sht>
          <ShtProps>
            <N><![CDATA[WC]]></N>
            <NIC>False</NIC>
            <CCC>True</CCC>
            <T><![CDATA[Working Capital]]></T>
            <TIC>False</TIC>
            <BST>5</BST>
            <CST>-1</CST>
            <PTMN>1</PTMN>
            <PTMCN>4</PTMCN>
            <SPTMCN>10</SPTMCN>
            <SPTMCERN>MODMC18</SPTMCERN>
            <V>-1</V>
            <ST>-4167</ST>
            <IPS>False</IPS>
            <IMIS>False</IMIS>
            <IMES>False</IMES>
            <AA>False</AA>
            <IC>False</IC>
            <TRC>2</TRC>
          </ShtProps>
          <ModComps>
            <ModComp>
              <ModCompProps>
                <MN>33</MN>
                <MCN>1</MCN>
                <SN>11</SN>
              </ModCompProps>
            </ModComp>
            <ModComp>
              <ModCompProps>
                <MN>34</MN>
                <MCN>1</MCN>
                <SN>11</SN>
              </ModCompProps>
            </ModComp>
            <ModComp>
              <ModCompProps>
                <MN>35</MN>
                <MCN>1</MCN>
                <SN>11</SN>
              </ModCompProps>
            </ModComp>
            <ModComp>
              <ModCompProps>
                <MN>36</MN>
                <MCN>1</MCN>
                <SN>11</SN>
              </ModCompProps>
            </ModComp>
          </ModComps>
        </Sht>
        <Sht>
          <ShtProps>
            <N><![CDATA[Assets]]></N>
            <NIC>False</NIC>
            <CCC>True</CCC>
            <T><![CDATA[Assets]]></T>
            <TIC>False</TIC>
            <BST>5</BST>
            <CST>-1</CST>
            <PTMN>1</PTMN>
            <PTMCN>4</PTMCN>
            <SPTMCN>11</SPTMCN>
            <SPTMCERN>MODMC25</SPTMCERN>
            <V>-1</V>
            <ST>-4167</ST>
            <IPS>False</IPS>
            <IMIS>False</IMIS>
            <IMES>False</IMES>
            <AA>False</AA>
            <IC>False</IC>
            <TRC>2</TRC>
          </ShtProps>
          <ModComps>
            <ModComp>
              <ModCompProps>
                <MN>37</MN>
                <MCN>2</MCN>
                <SN>12</SN>
              </ModCompProps>
            </ModComp>
            <ModComp>
              <ModCompProps>
                <MN>38</MN>
                <MCN>2</MCN>
                <SN>12</SN>
              </ModCompProps>
            </ModComp>
            <ModComp>
              <ModCompProps>
                <MN>39</MN>
                <MCN>2</MCN>
                <SN>12</SN>
              </ModCompProps>
            </ModComp>
            <ModComp>
              <ModCompProps>
                <MN>37</MN>
                <MCN>3</MCN>
                <SN>12</SN>
              </ModCompProps>
            </ModComp>
            <ModComp>
              <ModCompProps>
                <MN>38</MN>
                <MCN>3</MCN>
                <SN>12</SN>
              </ModCompProps>
            </ModComp>
            <ModComp>
              <ModCompProps>
                <MN>39</MN>
                <MCN>3</MCN>
                <SN>12</SN>
              </ModCompProps>
            </ModComp>
            <ModComp>
              <ModCompProps>
                <MN>37</MN>
                <MCN>4</MCN>
                <SN>12</SN>
              </ModCompProps>
            </ModComp>
            <ModComp>
              <ModCompProps>
                <MN>40</MN>
                <MCN>1</MCN>
                <SN>12</SN>
              </ModCompProps>
            </ModComp>
          </ModComps>
        </Sht>
        <Sht>
          <ShtProps>
            <N><![CDATA[Capital]]></N>
            <NIC>False</NIC>
            <CCC>True</CCC>
            <T><![CDATA[Capital]]></T>
            <TIC>False</TIC>
            <BST>5</BST>
            <CST>-1</CST>
            <PTMN>1</PTMN>
            <PTMCN>4</PTMCN>
            <SPTMCN>12</SPTMCN>
            <SPTMCERN>MODMC20</SPTMCERN>
            <V>-1</V>
            <ST>-4167</ST>
            <IPS>False</IPS>
            <IMIS>False</IMIS>
            <IMES>False</IMES>
            <AA>False</AA>
            <IC>False</IC>
            <TRC>2</TRC>
          </ShtProps>
          <ModComps>
            <ModComp>
              <ModCompProps>
                <MN>41</MN>
                <MCN>1</MCN>
                <SN>13</SN>
              </ModCompProps>
            </ModComp>
            <ModComp>
              <ModCompProps>
                <MN>42</MN>
                <MCN>1</MCN>
                <SN>13</SN>
              </ModCompProps>
            </ModComp>
            <ModComp>
              <ModCompProps>
                <MN>43</MN>
                <MCN>1</MCN>
                <SN>13</SN>
              </ModCompProps>
            </ModComp>
            <ModComp>
              <ModCompProps>
                <MN>44</MN>
                <MCN>1</MCN>
                <SN>13</SN>
              </ModCompProps>
            </ModComp>
          </ModComps>
        </Sht>
        <Sht>
          <ShtProps>
            <N><![CDATA[Tax]]></N>
            <NIC>False</NIC>
            <CCC>True</CCC>
            <T><![CDATA[Taxation]]></T>
            <TIC>False</TIC>
            <BST>5</BST>
            <CST>-1</CST>
            <PTMN>1</PTMN>
            <PTMCN>4</PTMCN>
            <SPTMCN>13</SPTMCN>
            <SPTMCERN>MODMC14</SPTMCERN>
            <V>-1</V>
            <ST>-4167</ST>
            <IPS>False</IPS>
            <IMIS>False</IMIS>
            <IMES>False</IMES>
            <AA>False</AA>
            <IC>False</IC>
            <TRC>2</TRC>
          </ShtProps>
          <ModComps>
            <ModComp>
              <ModCompProps>
                <MN>45</MN>
                <MCN>1</MCN>
                <SN>14</SN>
              </ModCompProps>
            </ModComp>
            <ModComp>
              <ModCompProps>
                <MN>46</MN>
                <MCN>1</MCN>
                <SN>14</SN>
              </ModCompProps>
            </ModComp>
          </ModComps>
        </Sht>
        <Sht>
          <ShtProps>
            <N><![CDATA[Other]]></N>
            <NIC>False</NIC>
            <CCC>True</CCC>
            <T><![CDATA[Other Financial Statement Items]]></T>
            <TIC>False</TIC>
            <BST>5</BST>
            <CST>-1</CST>
            <PTMN>1</PTMN>
            <PTMCN>4</PTMCN>
            <SPTMCN>14</SPTMCN>
            <SPTMCERN>MODMC28</SPTMCERN>
            <V>-1</V>
            <ST>-4167</ST>
            <IPS>False</IPS>
            <IMIS>False</IMIS>
            <IMES>False</IMES>
            <AA>False</AA>
            <IC>False</IC>
            <TRC>2</TRC>
          </ShtProps>
          <ModComps>
            <ModComp>
              <ModCompProps>
                <MN>47</MN>
                <MCN>1</MCN>
                <SN>15</SN>
              </ModCompProps>
            </ModComp>
            <ModComp>
              <ModCompProps>
                <MN>48</MN>
                <MCN>1</MCN>
                <SN>15</SN>
              </ModCompProps>
            </ModComp>
            <ModComp>
              <ModCompProps>
                <MN>49</MN>
                <MCN>1</MCN>
                <SN>15</SN>
              </ModCompProps>
            </ModComp>
            <ModComp>
              <ModCompProps>
                <MN>48</MN>
                <MCN>2</MCN>
                <SN>15</SN>
              </ModCompProps>
            </ModComp>
            <ModComp>
              <ModCompProps>
                <MN>49</MN>
                <MCN>2</MCN>
                <SN>15</SN>
              </ModCompProps>
            </ModComp>
            <ModComp>
              <ModCompProps>
                <MN>48</MN>
                <MCN>3</MCN>
                <SN>15</SN>
              </ModCompProps>
            </ModComp>
            <ModComp>
              <ModCompProps>
                <MN>50</MN>
                <MCN>1</MCN>
                <SN>15</SN>
              </ModCompProps>
            </ModComp>
            <ModComp>
              <ModCompProps>
                <MN>51</MN>
                <MCN>1</MCN>
                <SN>15</SN>
              </ModCompProps>
            </ModComp>
            <ModComp>
              <ModCompProps>
                <MN>50</MN>
                <MCN>2</MCN>
                <SN>15</SN>
              </ModCompProps>
            </ModComp>
            <ModComp>
              <ModCompProps>
                <MN>51</MN>
                <MCN>2</MCN>
                <SN>15</SN>
              </ModCompProps>
            </ModComp>
            <ModComp>
              <ModCompProps>
                <MN>50</MN>
                <MCN>3</MCN>
                <SN>15</SN>
              </ModCompProps>
            </ModComp>
            <ModComp>
              <ModCompProps>
                <MN>52</MN>
                <MCN>1</MCN>
                <SN>15</SN>
              </ModCompProps>
            </ModComp>
            <ModComp>
              <ModCompProps>
                <MN>53</MN>
                <MCN>1</MCN>
                <SN>15</SN>
              </ModCompProps>
            </ModComp>
            <ModComp>
              <ModCompProps>
                <MN>52</MN>
                <MCN>2</MCN>
                <SN>15</SN>
              </ModCompProps>
            </ModComp>
            <ModComp>
              <ModCompProps>
                <MN>53</MN>
                <MCN>2</MCN>
                <SN>15</SN>
              </ModCompProps>
            </ModComp>
            <ModComp>
              <ModCompProps>
                <MN>52</MN>
                <MCN>3</MCN>
                <SN>15</SN>
              </ModCompProps>
            </ModComp>
            <ModComp>
              <ModCompProps>
                <MN>54</MN>
                <MCN>1</MCN>
                <SN>15</SN>
              </ModCompProps>
            </ModComp>
            <ModComp>
              <ModCompProps>
                <MN>55</MN>
                <MCN>1</MCN>
                <SN>15</SN>
              </ModCompProps>
            </ModComp>
            <ModComp>
              <ModCompProps>
                <MN>54</MN>
                <MCN>2</MCN>
                <SN>15</SN>
              </ModCompProps>
            </ModComp>
            <ModComp>
              <ModCompProps>
                <MN>55</MN>
                <MCN>2</MCN>
                <SN>15</SN>
              </ModCompProps>
            </ModComp>
            <ModComp>
              <ModCompProps>
                <MN>54</MN>
                <MCN>3</MCN>
                <SN>15</SN>
              </ModCompProps>
            </ModComp>
            <ModComp>
              <ModCompProps>
                <MN>56</MN>
                <MCN>1</MCN>
                <SN>15</SN>
              </ModCompProps>
            </ModComp>
            <ModComp>
              <ModCompProps>
                <MN>57</MN>
                <MCN>1</MCN>
                <SN>15</SN>
              </ModCompProps>
            </ModComp>
            <ModComp>
              <ModCompProps>
                <MN>56</MN>
                <MCN>2</MCN>
                <SN>15</SN>
              </ModCompProps>
            </ModComp>
            <ModComp>
              <ModCompProps>
                <MN>57</MN>
                <MCN>2</MCN>
                <SN>15</SN>
              </ModCompProps>
            </ModComp>
            <ModComp>
              <ModCompProps>
                <MN>56</MN>
                <MCN>3</MCN>
                <SN>15</SN>
              </ModCompProps>
            </ModComp>
          </ModComps>
        </Sht>
        <Sht>
          <ShtProps>
            <N><![CDATA[Financials]]></N>
            <NIC>False</NIC>
            <CCC>True</CCC>
            <T><![CDATA[Financial Statements]]></T>
            <TIC>False</TIC>
            <BST>7</BST>
            <CST>-1</CST>
            <PTMN>1</PTMN>
            <PTMCN>4</PTMCN>
            <SPTMCN>15</SPTMCN>
            <SPTMCERN>MODMC8</SPTMCERN>
            <V>-1</V>
            <ST>-4167</ST>
            <IPS>False</IPS>
            <IMIS>False</IMIS>
            <IMES>False</IMES>
            <AA>False</AA>
            <IC>False</IC>
            <TRC>2</TRC>
          </ShtProps>
          <ModComps>
            <ModComp>
              <ModCompProps>
                <MN>4</MN>
                <MCN>1</MCN>
                <SN>16</SN>
              </ModCompProps>
            </ModComp>
            <ModComp>
              <ModCompProps>
                <MN>5</MN>
                <MCN>1</MCN>
                <SN>16</SN>
              </ModCompProps>
            </ModComp>
            <ModComp>
              <ModCompProps>
                <MN>6</MN>
                <MCN>1</MCN>
                <SN>16</SN>
              </ModCompProps>
            </ModComp>
          </ModComps>
        </Sht>
        <Sht>
          <ShtProps>
            <N><![CDATA[Appendices]]></N>
            <NIC>False</NIC>
            <CCC>False</CCC>
            <T><![CDATA[Appendices]]></T>
            <TIC>False</TIC>
            <BST>2</BST>
            <CST>15</CST>
            <PTMN>0</PTMN>
            <PTMCN>0</PTMCN>
            <SPTMCN>0</SPTMCN>
            <SPTMCERN/>
            <V>-1</V>
            <ST>-4167</ST>
            <IPS>False</IPS>
            <IMIS>False</IMIS>
            <IMES>False</IMES>
            <AA>True</AA>
            <IC>False</IC>
            <TRC>4</TRC>
          </ShtProps>
        </Sht>
        <Sht>
          <ShtProps>
            <N><![CDATA[Time]]></N>
            <NIC>False</NIC>
            <CCC>True</CCC>
            <T><![CDATA[Time Series]]></T>
            <TIC>False</TIC>
            <BST>4</BST>
            <CST>-1</CST>
            <PTMN>0</PTMN>
            <PTMCN>0</PTMCN>
            <SPTMCN>0</SPTMCN>
            <SPTMCERN/>
            <V>-1</V>
            <ST>-4167</ST>
            <IPS>False</IPS>
            <IMIS>False</IMIS>
            <IMES>False</IMES>
            <AA>False</AA>
            <IC>False</IC>
            <TRC>2</TRC>
          </ShtProps>
          <ModComps>
            <ModComp>
              <ModCompProps>
                <MN>1</MN>
                <MCN>1</MCN>
                <SN>18</SN>
              </ModCompProps>
            </ModComp>
          </ModComps>
        </Sht>
        <Sht>
          <ShtProps>
            <N><![CDATA[Lookups]]></N>
            <NIC>False</NIC>
            <CCC>True</CCC>
            <T><![CDATA[Lookups]]></T>
            <TIC>False</TIC>
            <BST>8</BST>
            <CST>-1</CST>
            <PTMN>0</PTMN>
            <PTMCN>0</PTMCN>
            <SPTMCN>0</SPTMCN>
            <SPTMCERN/>
            <V>-1</V>
            <ST>-4167</ST>
            <IPS>False</IPS>
            <IMIS>False</IMIS>
            <IMES>False</IMES>
            <AA>False</AA>
            <IC>False</IC>
            <TRC>2</TRC>
          </ShtProps>
          <ModComps>
            <ModComp>
              <ModCompProps>
                <MN>1</MN>
                <MCN>2</MCN>
                <SN>19</SN>
              </ModCompProps>
            </ModComp>
            <ModComp>
              <ModCompProps>
                <MN>2</MN>
                <MCN>2</MCN>
                <SN>19</SN>
              </ModCompProps>
            </ModComp>
            <ModComp>
              <ModCompProps>
                <MN>33</MN>
                <MCN>2</MCN>
                <SN>19</SN>
              </ModCompProps>
            </ModComp>
            <ModComp>
              <ModCompProps>
                <MN>34</MN>
                <MCN>2</MCN>
                <SN>19</SN>
              </ModCompProps>
            </ModComp>
            <ModComp>
              <ModCompProps>
                <MN>35</MN>
                <MCN>2</MCN>
                <SN>19</SN>
              </ModCompProps>
            </ModComp>
            <ModComp>
              <ModCompProps>
                <MN>36</MN>
                <MCN>2</MCN>
                <SN>19</SN>
              </ModCompProps>
            </ModComp>
            <ModComp>
              <ModCompProps>
                <MN>40</MN>
                <MCN>2</MCN>
                <SN>19</SN>
              </ModCompProps>
            </ModComp>
            <ModComp>
              <ModCompProps>
                <MN>44</MN>
                <MCN>2</MCN>
                <SN>19</SN>
              </ModCompProps>
            </ModComp>
            <ModComp>
              <ModCompProps>
                <MN>45</MN>
                <MCN>2</MCN>
                <SN>19</SN>
              </ModCompProps>
            </ModComp>
            <ModComp>
              <ModCompProps>
                <MN>46</MN>
                <MCN>2</MCN>
                <SN>19</SN>
              </ModCompProps>
            </ModComp>
            <ModComp>
              <ModCompProps>
                <MN>58</MN>
                <MCN>2</MCN>
                <SN>19</SN>
              </ModCompProps>
            </ModComp>
            <ModComp>
              <ModCompProps>
                <MN>59</MN>
                <MCN>1</MCN>
                <SN>19</SN>
              </ModCompProps>
            </ModComp>
            <ModComp>
              <ModCompProps>
                <MN>60</MN>
                <MCN>3</MCN>
                <SN>19</SN>
              </ModCompProps>
            </ModComp>
          </ModComps>
        </Sht>
        <Sht>
          <ShtProps>
            <N><![CDATA[Checks]]></N>
            <NIC>False</NIC>
            <CCC>True</CCC>
            <T><![CDATA[Checks]]></T>
            <TIC>False</TIC>
            <BST>6</BST>
            <CST>-1</CST>
            <PTMN>0</PTMN>
            <PTMCN>0</PTMCN>
            <SPTMCN>0</SPTMCN>
            <SPTMCERN/>
            <V>-1</V>
            <ST>-4167</ST>
            <IPS>False</IPS>
            <IMIS>False</IMIS>
            <IMES>False</IMES>
            <AA>False</AA>
            <IC>False</IC>
            <TRC>2</TRC>
          </ShtProps>
          <ModComps>
            <ModComp>
              <ModCompProps>
                <MN>61</MN>
                <MCN>1</MCN>
                <SN>20</SN>
              </ModCompProps>
            </ModComp>
            <ModComp>
              <ModCompProps>
                <MN>62</MN>
                <MCN>1</MCN>
                <SN>20</SN>
              </ModCompProps>
            </ModComp>
            <ModComp>
              <ModCompProps>
                <MN>63</MN>
                <MCN>1</MCN>
                <SN>20</SN>
              </ModCompProps>
            </ModComp>
          </ModComps>
        </Sht>
      </Shts>
      <Mods>
        <Mod>
          <ModProps>
            <MVS>14.0.5.0</MVS>
            <RAV/>
            <RXV>0</RXV>
            <FV>3</FV>
            <MT>3</MT>
            <SCT>-1</SCT>
            <P><![CDATA[Ts]]></P>
            <OI>0</OI>
            <MN>0</MN>
            <MAG>560313AD-F472-4E44-887C-A1C659521551</MAG>
            <BN><![CDATA[Time Series]]></BN>
            <N><![CDATA[Time Series]]></N>
            <TS><![CDATA[Monthly]]></TS>
            <D><![CDATA[Facilitates the analysis of data over an assumed number of whole months.]]></D>
            <FS><![CDATA[Provides time series period titles based on assumptions including the financial year end, first financial year, model start month and term in months. Also collects denomination assumptions.]]></FS>
            <R><![CDATA[Any]]></R>
            <GE><![CDATA[Time Series]]></GE>
            <CA><![CDATA[Monthly]]></CA>
            <VA><![CDATA[Whole Periods]]></VA>
            <GST><![CDATA[None]]></GST>
            <DE><![CDATA[Modano]]></DE>
            <E><![CDATA[info@modano.com]]></E>
            <C><![CDATA[Modano]]></C>
            <W><![CDATA[www.modano.com]]></W>
            <K/>
            <CO><![CDATA[Contains corresponding quarterly, semi-annual and annual period titles sets.&#10;Does not allow for partial months.&#10;Does not allow for time frames (e.g. historical, forecast, etc.).]]></CO>
            <V>10.6.1.1.</V>
            <AX>2</AX>
            <SX/>
            <PMLO>False</PMLO>
            <IPMLO>False</IPMLO>
            <MACA>0</MACA>
            <HP>False</HP>
            <DR>False</DR>
            <RTSM>False</RTSM>
            <CC>True</CC>
            <X>False</X>
            <G>DBA36B9E-40D2-4A47-9267-5CC4C48F5D20</G>
          </ModProps>
          <RowStgs>
            <RowStg>
              <RowStgProps>
                <RSN>1</RSN>
                <RHST>0</RHST>
                <HS>0</HS>
                <OL>3</OL>
                <RH>False</RH>
              </RowStgProps>
            </RowStg>
            <RowStg>
              <RowStgProps>
                <RSN>2</RSN>
                <RHST>0</RHST>
                <HS>0</HS>
                <OL>3</OL>
                <RH>True</RH>
              </RowStgProps>
            </RowStg>
            <RowStg>
              <RowStgProps>
                <RSN>3</RSN>
                <RHST>0</RHST>
                <HS>0</HS>
                <OL>2</OL>
                <RH>False</RH>
              </RowStgProps>
            </RowStg>
          </RowStgs>
          <StlOvlys>
            <StlOvly>
              <StlOvlyProps>
                <SON>1</SON>
              </StlOvlyProps>
              <BdrOvlys>
                <BdrOvly>
                  <BdrOvlyProps>
                    <PT>1</PT>
                    <SON>1</SON>
                    <CBPLI/>
                    <FCN>0</FCN>
                    <I>True</I>
                    <BI>9</BI>
                    <LS>1</LS>
                    <W>2</W>
                  </BdrOvlyProps>
                </BdrOvly>
              </BdrOvlys>
            </StlOvly>
            <StlOvly>
              <StlOvlyProps>
                <SON>2</SON>
                <IHA>True</IHA>
                <HA>-4108</HA>
              </StlOvlyProps>
            </StlOvly>
            <StlOvly>
              <StlOvlyProps>
                <SON>3</SON>
                <INF>True</INF>
                <NT>0</NT>
                <DP>0</DP>
                <CNF/>
              </StlOvlyProps>
            </StlOvly>
            <StlOvly>
              <StlOvlyProps>
                <SON>4</SON>
              </StlOvlyProps>
              <FntOvly>
                <FntOvlyProps>
                  <PT>1</PT>
                  <SON>4</SON>
                  <CBPLI>0,0,0,0,0</CBPLI>
                  <FCN>0</FCN>
                  <CN>0</CN>
                  <IC>True</IC>
                  <CT>-2</CT>
                  <CNU>0</CNU>
                  <CPR>0</CPR>
                  <TAS>0</TAS>
                </FntOvlyProps>
              </FntOvly>
            </StlOvly>
            <StlOvly>
              <StlOvlyProps>
                <SON>5</SON>
                <INF>True</INF>
                <IHA>True</IHA>
                <NT>0</NT>
                <DP>0</DP>
                <CNF/>
                <HA>-4108</HA>
              </StlOvlyProps>
            </StlOvly>
            <StlOvly>
              <StlOvlyProps>
                <SON>6</SON>
                <INF>True</INF>
                <IHA>True</IHA>
                <NT>-2</NT>
                <DP>0</DP>
                <CNF><![CDATA[mmmm yyyy]]></CNF>
                <HA>-4108</HA>
              </StlOvlyProps>
            </StlOvly>
            <StlOvly>
              <StlOvlyProps>
                <SON>7</SON>
                <INF>True</INF>
                <IHA>True</IHA>
                <NT>-2</NT>
                <DP>0</DP>
                <CNF><![CDATA[_(###0_);(###0);_("-"_);@_)]]></CNF>
                <HA>-4152</HA>
              </StlOvlyProps>
            </StlOvly>
            <StlOvly>
              <StlOvlyProps>
                <SON>8</SON>
                <INF>True</INF>
                <IHA>True</IHA>
                <NT>-2</NT>
                <DP>0</DP>
                <CNF><![CDATA[_(###0_);(###0);_("-"_);@_)]]></CNF>
                <HA>-4152</HA>
              </StlOvlyProps>
              <BdrOvlys>
                <BdrOvly>
                  <BdrOvlyProps>
                    <PT>1</PT>
                    <SON>8</SON>
                    <CBPLI/>
                    <FCN>0</FCN>
                    <I>True</I>
                    <BI>9</BI>
                    <LS>1</LS>
                    <W>2</W>
                  </BdrOvlyProps>
                </BdrOvly>
              </BdrOvlys>
            </StlOvly>
            <StlOvly>
              <StlOvlyProps>
                <SON>9</SON>
                <INF>True</INF>
                <IHA>True</IHA>
                <NT>-2</NT>
                <DP>0</DP>
                <CNF><![CDATA[_(#,##0_);(#,##0);_("-"_);_)@_)]]></CNF>
                <HA>-4108</HA>
              </StlOvlyProps>
              <BdrOvlys>
                <BdrOvly>
                  <BdrOvlyProps>
                    <PT>1</PT>
                    <SON>9</SON>
                    <CBPLI/>
                    <FCN>0</FCN>
                    <I>True</I>
                    <BI>7</BI>
                    <LS>1</LS>
                    <W>2</W>
                    <CT>3</CT>
                    <CN>2</CN>
                    <TAS>0.4999542</TAS>
                  </BdrOvlyProps>
                </BdrOvly>
                <BdrOvly>
                  <BdrOvlyProps>
                    <PT>1</PT>
                    <SON>9</SON>
                    <CBPLI/>
                    <FCN>0</FCN>
                    <I>True</I>
                    <BI>10</BI>
                    <LS>1</LS>
                    <W>2</W>
                    <CT>3</CT>
                    <CN>2</CN>
                    <TAS>0.4999542</TAS>
                  </BdrOvlyProps>
                </BdrOvly>
                <BdrOvly>
                  <BdrOvlyProps>
                    <PT>1</PT>
                    <SON>9</SON>
                    <CBPLI/>
                    <FCN>0</FCN>
                    <I>True</I>
                    <BI>8</BI>
                    <LS>1</LS>
                    <W>2</W>
                    <CT>3</CT>
                    <CN>2</CN>
                    <TAS>0.4999542</TAS>
                  </BdrOvlyProps>
                </BdrOvly>
                <BdrOvly>
                  <BdrOvlyProps>
                    <PT>1</PT>
                    <SON>9</SON>
                    <CBPLI/>
                    <FCN>0</FCN>
                    <I>True</I>
                    <BI>9</BI>
                    <LS>1</LS>
                    <W>2</W>
                    <CT>3</CT>
                    <CN>2</CN>
                    <TAS>0.4999542</TAS>
                  </BdrOvlyProps>
                </BdrOvly>
              </BdrOvlys>
            </StlOvly>
            <StlOvly>
              <StlOvlyProps>
                <SON>10</SON>
                <INF>True</INF>
                <IHA>True</IHA>
                <NT>-2</NT>
                <DP>0</DP>
                <CNF><![CDATA["Scenario "0]]></CNF>
                <HA>-4108</HA>
              </StlOvlyProps>
              <BdrOvlys>
                <BdrOvly>
                  <BdrOvlyProps>
                    <PT>1</PT>
                    <SON>10</SON>
                    <CBPLI/>
                    <FCN>0</FCN>
                    <I>True</I>
                    <BI>9</BI>
                    <LS>1</LS>
                    <W>2</W>
                  </BdrOvlyProps>
                </BdrOvly>
              </BdrOvlys>
            </StlOvly>
          </StlOvlys>
          <ElmtsGrps>
            <ElmtsGrp>
              <ElmtsGrpProps>
                <NU>1</NU>
                <NA><![CDATA[Month Names]]></NA>
                <EGT>0</EGT>
                <DCC>12</DCC>
                <AST>False</AST>
                <ISTH>True</ISTH>
                <PTMCN>0</PTMCN>
                <PTBN>0</PTBN>
                <PTBI>0</PTBI>
                <GLN/>
                <CLOT>0</CLOT>
                <CLIT>0</CLIT>
                <PMLO>0</PMLO>
                <IPMLO>0</IPMLO>
              </ElmtsGrpProps>
            </ElmtsGrp>
            <ElmtsGrp>
              <ElmtsGrpProps>
                <NU>2</NU>
                <NA><![CDATA[Denomination]]></NA>
                <EGT>0</EGT>
                <DCC>4</DCC>
                <AST>True</AST>
                <ISTH>True</ISTH>
                <PTMCN>0</PTMCN>
                <PTBN>0</PTBN>
                <PTBI>0</PTBI>
                <GLN/>
                <CLOT>0</CLOT>
                <CLIT>0</CLIT>
                <PMLO>0</PMLO>
                <IPMLO>0</IPMLO>
              </ElmtsGrpProps>
            </ElmtsGrp>
            <ElmtsGrp>
              <ElmtsGrpProps>
                <NU>3</NU>
                <NA><![CDATA[Month Days]]></NA>
                <EGT>0</EGT>
                <DCC>31</DCC>
                <AST>False</AST>
                <ISTH>True</ISTH>
                <PTMCN>0</PTMCN>
                <PTBN>0</PTBN>
                <PTBI>0</PTBI>
                <GLN/>
                <CLOT>0</CLOT>
                <CLIT>0</CLIT>
                <PMLO>0</PMLO>
                <IPMLO>0</IPMLO>
              </ElmtsGrpProps>
            </ElmtsGrp>
            <ElmtsGrp>
              <ElmtsGrpProps>
                <NU>4</NU>
                <NA><![CDATA[Periods In Periods]]></NA>
                <EGT>0</EGT>
                <DCC>6</DCC>
                <AST>False</AST>
                <ISTH>True</ISTH>
                <PTMCN>0</PTMCN>
                <PTBN>0</PTBN>
                <PTBI>0</PTBI>
                <GLN/>
                <CLOT>0</CLOT>
                <CLIT>0</CLIT>
                <PMLO>0</PMLO>
                <IPMLO>0</IPMLO>
              </ElmtsGrpProps>
            </ElmtsGrp>
            <ElmtsGrp>
              <ElmtsGrpProps>
                <NU>5</NU>
                <NA><![CDATA[Model Start Months]]></NA>
                <EGT>0</EGT>
                <DCC>12</DCC>
                <AST>True</AST>
                <ISTH>True</ISTH>
                <PTMCN>0</PTMCN>
                <PTBN>0</PTBN>
                <PTBI>0</PTBI>
                <GLN/>
                <CLOT>0</CLOT>
                <CLIT>0</CLIT>
                <PMLO>0</PMLO>
                <IPMLO>0</IPMLO>
              </ElmtsGrpProps>
            </ElmtsGrp>
          </ElmtsGrps>
          <ModComps>
            <ModComp>
              <ModCompProps>
                <MN>1</MN>
                <MCN>1</MCN>
                <MCTK>BaseCase</MCTK>
                <RT><![CDATA[<ModuleName> - Assumptions]]></RT>
                <ERN>MODMC1</ERN>
                <MCST>0</MCST>
                <IPMC>False</IPMC>
                <SN>18</SN>
                <LODS>False</LODS>
                <LST>False</LST>
                <RSTF>False</RSTF>
                <STRA>0</STRA>
                <HS>False</HS>
                <IBOA>0</IBOA>
                <IB>False</IB>
                <CI/>
                <PTI/>
                <PTP>False</PTP>
                <PTD/>
                <PTMCN>0</PTMCN>
                <CROL>0</CROL>
                <CCOL>0</CCOL>
                <AMFN>0</AMFN>
              </ModCompProps>
              <Sects>
                <Sect>
                  <SectProps>
                    <LI>1,1</LI>
                    <EGN>0</EGN>
                  </SectProps>
                  <Elmts>
                    <Elmt>
                      <ElmtProps>
                        <CPT>2</CPT>
                      </ElmtProps>
                      <TtlCtg/>
                    </Elmt>
                    <Elmt>
                      <ElmtProps>
                        <CPT>2</CPT>
                      </ElmtProps>
                      <ClmnBlks>
                        <ClmnBlk>
                          <ClmnBlkProps>
                            <FCPT>0</FCPT>
                            <FCN>2</FCN>
                            <LCPT>0</LCPT>
                            <LCN>2</LCN>
                          </ClmnBlkProps>
                          <ClmnBlkPts>
                            <ClmnBlkPt>
                              <ClmnBlkPtProps>
                                <CBPT>5</CBPT>
                                <HCTHR>True</HCTHR>
                                <CTHN>4</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2</FCN>
                            <LCPT>0</LCPT>
                            <LCN>2</LCN>
                          </ClmnBlkProps>
                          <ClmnBlkPts>
                            <ClmnBlkPt>
                              <ClmnBlkPtProps>
                                <CBPT>5</CBPT>
                                <ST>6</ST>
                                <VOFFF><![CDATA[Primary Periodicity]]></VOFFF>
                              </ClmnBlkPtProps>
                            </ClmnBlkPt>
                          </ClmnBlkPts>
                        </ClmnBlk>
                        <ClmnBlk>
                          <ClmnBlkProps>
                            <FCPT>0</FCPT>
                            <FCN>8</FCN>
                            <LCPT>0</LCPT>
                            <LCN>9</LCN>
                          </ClmnBlkProps>
                          <ClmnBlkPts>
                            <ClmnBlkPt>
                              <ClmnBlkPtProps>
                                <CBPT>5</CBPT>
                                <ST>6</ST>
                                <SON>2</SON>
                                <MC>True</MC>
                                <VOFFF><![CDATA[Monthly]]></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Financial Year End]]></VOFFF>
                              </ClmnBlkPtProps>
                            </ClmnBlkPt>
                          </ClmnBlkPts>
                        </ClmnBlk>
                        <ClmnBlk>
                          <ClmnBlkProps>
                            <FCPT>0</FCPT>
                            <FCN>8</FCN>
                            <LCPT>0</LCPT>
                            <LCN>8</LCN>
                          </ClmnBlkProps>
                          <ClmnBlkPts>
                            <ClmnBlkPt>
                              <ClmnBlkPtProps>
                                <CBPT>5</CBPT>
                                <ST>15</ST>
                                <SON>4</SON>
                                <VOFFF><![CDATA[12]]></VOFFF>
                                <UDAV><![CDATA[12]]></UDAV>
                              </ClmnBlkPtProps>
                              <Vdtn>
                                <VdtnProps>
                                  <CBPLI>1,1,5,2,1</CBPLI>
                                  <ADVT>-1</ADVT>
                                  <VT>1</VT>
                                  <AS>1</AS>
                                  <O>1</O>
                                  <F1FFF><![CDATA[1]]></F1FFF>
                                  <F2FFF><![CDATA[=ROWS(§A¿1,1,2,1,10,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Fin_Yr_End_Mth]]></SP1>
                                    <SP2/>
                                    <FFF/>
                                    <CMT/>
                                  </RgeNmeProps>
                                </RgeNme>
                              </RgeNmes>
                            </ClmnBlkPt>
                          </ClmnBlkPts>
                        </ClmnBlk>
                      </ClmnBlks>
                      <TtlCtg>
                        <TtlCtgProps>
                          <R>3</R>
                        </TtlCtgProps>
                      </TtlCtg>
                      <ShpNmes>
                        <ShpNme>
                          <ShpNmeProps>
                            <ELI>1,1,5</ELI>
                            <COSTN>0</COSTN>
                            <ST>1</ST>
                            <SNPT>2</SNPT>
                            <N><![CDATA[bpmDropDownTs1]]></N>
                            <SHN>1</SHN>
                            <SHTN>1</SHTN>
                          </ShpNmeProps>
                        </ShpNme>
                      </ShpNmes>
                    </Elmt>
                    <Elmt>
                      <ElmtProps>
                        <CPT>2</CPT>
                      </ElmtProps>
                      <ClmnBlks>
                        <ClmnBlk>
                          <ClmnBlkProps>
                            <FCPT>0</FCPT>
                            <FCN>2</FCN>
                            <LCPT>0</LCPT>
                            <LCN>2</LCN>
                          </ClmnBlkProps>
                          <ClmnBlkPts>
                            <ClmnBlkPt>
                              <ClmnBlkPtProps>
                                <CBPT>5</CBPT>
                                <ST>6</ST>
                                <VOFFF><![CDATA[First Financial Year]]></VOFFF>
                              </ClmnBlkPtProps>
                            </ClmnBlkPt>
                          </ClmnBlkPts>
                        </ClmnBlk>
                        <ClmnBlk>
                          <ClmnBlkProps>
                            <FCPT>0</FCPT>
                            <FCN>8</FCN>
                            <LCPT>0</LCPT>
                            <LCN>9</LCN>
                          </ClmnBlkProps>
                          <ClmnBlkPts>
                            <ClmnBlkPt>
                              <ClmnBlkPtProps>
                                <CBPT>5</CBPT>
                                <ST>9</ST>
                                <SON>2</SON>
                                <MC>True</MC>
                                <VOFFF><![CDATA[2019]]></VOFFF>
                                <UDAV><![CDATA[2019]]></UDAV>
                              </ClmnBlkPtProps>
                              <Vdtn>
                                <VdtnProps>
                                  <CBPLI>1,1,6,2,1</CBPLI>
                                  <ADVT>-1</ADVT>
                                  <VT>1</VT>
                                  <AS>1</AS>
                                  <O>7</O>
                                  <F1FFF><![CDATA[1904]]></F1FFF>
                                  <F2FFF/>
                                  <IB>True</IB>
                                  <ICDD>False</ICDD>
                                  <SI>True</SI>
                                  <IT/>
                                  <IM/>
                                  <SE>True</SE>
                                  <ET><![CDATA[First Financial Year]]></ET>
                                  <EM><![CDATA[The first financial year must be a whole number greater than or equal to 1904.]]></EM>
                                  <IMO>0</IMO>
                                </VdtnProps>
                              </Vdtn>
                              <RgeNmes>
                                <RgeNme>
                                  <RgeNmeProps>
                                    <CBPLI>1,1,6,2,1</CBPLI>
                                    <MCN>1</MCN>
                                    <SN>1</SN>
                                    <EN>6</EN>
                                    <CN>0</CN>
                                    <CBN>2</CBN>
                                    <CBPN>1</CBPN>
                                    <PT>1</PT>
                                    <CBPRNT>6</CBPRNT>
                                    <NT>-1</NT>
                                    <SP1><![CDATA[First_Fin_Yr]]></SP1>
                                    <SP2/>
                                    <FFF/>
                                    <CMT/>
                                  </RgeNmeProps>
                                </RgeNme>
                              </RgeNmes>
                            </ClmnBlkPt>
                          </ClmnBlkPts>
                        </ClmnBlk>
                      </ClmnBlks>
                      <TtlCtg>
                        <TtlCtgProps>
                          <R>3</R>
                        </TtlCtgProps>
                      </TtlCtg>
                    </Elmt>
                    <Elmt>
                      <ElmtProps>
                        <CPT>2</CPT>
                      </ElmtProps>
                      <ClmnBlks>
                        <ClmnBlk>
                          <ClmnBlkProps>
                            <FCPT>0</FCPT>
                            <FCN>2</FCN>
                            <LCPT>0</LCPT>
                            <LCN>2</LCN>
                          </ClmnBlkProps>
                          <ClmnBlkPts>
                            <ClmnBlkPt>
                              <ClmnBlkPtProps>
                                <CBPT>5</CBPT>
                                <ST>6</ST>
                                <VOFFF><![CDATA[Model Start Month]]></VOFFF>
                              </ClmnBlkPtProps>
                            </ClmnBlkPt>
                          </ClmnBlkPts>
                        </ClmnBlk>
                        <ClmnBlk>
                          <ClmnBlkProps>
                            <FCPT>0</FCPT>
                            <FCN>8</FCN>
                            <LCPT>0</LCPT>
                            <LCN>8</LCN>
                          </ClmnBlkProps>
                          <ClmnBlkPts>
                            <ClmnBlkPt>
                              <ClmnBlkPtProps>
                                <CBPT>5</CBPT>
                                <ST>15</ST>
                                <SON>4</SON>
                                <VOFFF><![CDATA[1]]></VOFFF>
                                <UDAV><![CDATA[1]]></UDAV>
                              </ClmnBlkPtProps>
                              <Vdtn>
                                <VdtnProps>
                                  <CBPLI>1,1,7,2,1</CBPLI>
                                  <ADVT>-1</ADVT>
                                  <VT>1</VT>
                                  <AS>1</AS>
                                  <O>1</O>
                                  <F1FFF><![CDATA[1]]></F1FFF>
                                  <F2FFF><![CDATA[=ROWS(§A¿1,1,2,1,26,0,1,1,1§Z¿)]]></F2FFF>
                                  <IB>False</IB>
                                  <ICDD>False</ICDD>
                                  <SI>False</SI>
                                  <IT/>
                                  <IM/>
                                  <SE>True</SE>
                                  <ET><![CDATA[Drop Down Box Cell Link]]></ET>
                                  <EM><![CDATA[The value in a drop down box cell link must be a whole number within the control's lookup range rows.]]></EM>
                                  <IMO>0</IMO>
                                </VdtnProps>
                              </Vdtn>
                              <RgeNmes>
                                <RgeNme>
                                  <RgeNmeProps>
                                    <CBPLI>1,1,7,2,1</CBPLI>
                                    <MCN>1</MCN>
                                    <SN>1</SN>
                                    <EN>7</EN>
                                    <CN>0</CN>
                                    <CBN>2</CBN>
                                    <CBPN>1</CBPN>
                                    <PT>1</PT>
                                    <CBPRNT>6</CBPRNT>
                                    <NT>3</NT>
                                    <SP1><![CDATA[Model_Start_Mth]]></SP1>
                                    <SP2/>
                                    <FFF/>
                                    <CMT/>
                                  </RgeNmeProps>
                                </RgeNme>
                              </RgeNmes>
                            </ClmnBlkPt>
                          </ClmnBlkPts>
                        </ClmnBlk>
                      </ClmnBlks>
                      <TtlCtg>
                        <TtlCtgProps>
                          <R>3</R>
                        </TtlCtgProps>
                      </TtlCtg>
                      <ShpNmes>
                        <ShpNme>
                          <ShpNmeProps>
                            <ELI>1,1,7</ELI>
                            <COSTN>0</COSTN>
                            <ST>1</ST>
                            <SNPT>2</SNPT>
                            <N><![CDATA[bpmDropDownTs3]]></N>
                            <SHN>3</SHN>
                            <SHTN>3</SHTN>
                          </ShpNmeProps>
                        </ShpNme>
                      </ShpNmes>
                    </Elmt>
                    <Elmt>
                      <ElmtProps>
                        <CPT>2</CPT>
                      </ElmtProps>
                      <ClmnBlks>
                        <ClmnBlk>
                          <ClmnBlkProps>
                            <FCPT>0</FCPT>
                            <FCN>2</FCN>
                            <LCPT>0</LCPT>
                            <LCN>2</LCN>
                          </ClmnBlkProps>
                          <ClmnBlkPts>
                            <ClmnBlkPt>
                              <ClmnBlkPtProps>
                                <CBPT>5</CBPT>
                                <ST>6</ST>
                                <VOFFF><![CDATA[Term (Months)]]></VOFFF>
                              </ClmnBlkPtProps>
                            </ClmnBlkPt>
                          </ClmnBlkPts>
                        </ClmnBlk>
                        <ClmnBlk>
                          <ClmnBlkProps>
                            <FCPT>0</FCPT>
                            <FCN>8</FCN>
                            <LCPT>0</LCPT>
                            <LCN>9</LCN>
                          </ClmnBlkProps>
                          <ClmnBlkPts>
                            <ClmnBlkPt>
                              <ClmnBlkPtProps>
                                <CBPT>5</CBPT>
                                <ST>11</ST>
                                <SON>5</SON>
                                <MC>True</MC>
                                <VOFFF><![CDATA[12]]></VOFFF>
                                <UDAV><![CDATA[12]]></UDAV>
                              </ClmnBlkPtProps>
                              <Vdtn>
                                <VdtnProps>
                                  <CBPLI>1,1,8,2,1</CBPLI>
                                  <ADVT>-1</ADVT>
                                  <VT>1</VT>
                                  <AS>1</AS>
                                  <O>5</O>
                                  <F1FFF><![CDATA[0]]></F1FFF>
                                  <F2FFF/>
                                  <IB>True</IB>
                                  <ICDD>False</ICDD>
                                  <SI>True</SI>
                                  <IT/>
                                  <IM/>
                                  <SE>True</SE>
                                  <ET><![CDATA[Term (Months)]]></ET>
                                  <EM><![CDATA[The term must be a whole number of months greater than zero.]]></EM>
                                  <IMO>0</IMO>
                                </VdtnProps>
                              </Vdtn>
                              <RgeNmes>
                                <RgeNme>
                                  <RgeNmeProps>
                                    <CBPLI>1,1,8,2,1</CBPLI>
                                    <MCN>1</MCN>
                                    <SN>1</SN>
                                    <EN>8</EN>
                                    <CN>0</CN>
                                    <CBN>2</CBN>
                                    <CBPN>1</CBPN>
                                    <PT>1</PT>
                                    <CBPRNT>6</CBPRNT>
                                    <NT>-1</NT>
                                    <SP1><![CDATA[Term]]></SP1>
                                    <SP2/>
                                    <FFF/>
                                    <CMT/>
                                  </RgeNmeProps>
                                </RgeNme>
                              </RgeNmes>
                            </ClmnBlkPt>
                          </ClmnBlkPts>
                        </ClmnBlk>
                      </ClmnBlks>
                      <TtlCtg>
                        <TtlCtgProps>
                          <R>3</R>
                        </TtlCtgProps>
                      </TtlCtg>
                    </Elmt>
                    <Elmt>
                      <ElmtProps>
                        <CPT>2</CPT>
                      </ElmtProps>
                      <ClmnBlks>
                        <ClmnBlk>
                          <ClmnBlkProps>
                            <FCPT>0</FCPT>
                            <FCN>2</FCN>
                            <LCPT>0</LCPT>
                            <LCN>2</LCN>
                          </ClmnBlkProps>
                          <ClmnBlkPts>
                            <ClmnBlkPt>
                              <ClmnBlkPtProps>
                                <CBPT>5</CBPT>
                                <ST>6</ST>
                                <VOFFF><![CDATA[Model Start Date]]></VOFFF>
                              </ClmnBlkPtProps>
                            </ClmnBlkPt>
                          </ClmnBlkPts>
                        </ClmnBlk>
                        <ClmnBlk>
                          <ClmnBlkProps>
                            <FCPT>0</FCPT>
                            <FCN>8</FCN>
                            <LCPT>0</LCPT>
                            <LCN>9</LCN>
                          </ClmnBlkProps>
                          <ClmnBlkPts>
                            <ClmnBlkPt>
                              <ClmnBlkPtProps>
                                <CBPT>5</CBPT>
                                <ST>17</ST>
                                <SON>2</SON>
                                <MC>True</MC>
                                <VOFFF><![CDATA[=DATE(§A¿1,1,1,1,6,0,2,1,1§Z¿-1,§A¿1,1,1,1,5,0,2,1,1§Z¿+§A¿1,1,1,1,7,0,2,1,1§Z¿,1)]]></VOFFF>
                              </ClmnBlkPtProps>
                              <RgeNmes>
                                <RgeNme>
                                  <RgeNmeProps>
                                    <CBPLI>1,1,9,2,1</CBPLI>
                                    <MCN>1</MCN>
                                    <SN>1</SN>
                                    <EN>9</EN>
                                    <CN>0</CN>
                                    <CBN>2</CBN>
                                    <CBPN>1</CBPN>
                                    <PT>1</PT>
                                    <CBPRNT>6</CBPRNT>
                                    <NT>-1</NT>
                                    <SP1><![CDATA[Start_Date]]></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Model End Date]]></VOFFF>
                              </ClmnBlkPtProps>
                            </ClmnBlkPt>
                          </ClmnBlkPts>
                        </ClmnBlk>
                        <ClmnBlk>
                          <ClmnBlkProps>
                            <FCPT>0</FCPT>
                            <FCN>8</FCN>
                            <LCPT>0</LCPT>
                            <LCN>9</LCN>
                          </ClmnBlkProps>
                          <ClmnBlkPts>
                            <ClmnBlkPt>
                              <ClmnBlkPtProps>
                                <CBPT>5</CBPT>
                                <ST>17</ST>
                                <SON>2</SON>
                                <MC>True</MC>
                                <VOFFF><![CDATA[=EDATE(§A¿1,1,1,1,9,0,2,1,1§Z¿,§A¿1,1,1,1,8,0,2,1,1§Z¿)-1]]></VOFFF>
                              </ClmnBlkPtProps>
                              <RgeNmes>
                                <RgeNme>
                                  <RgeNmeProps>
                                    <CBPLI>1,1,10,2,1</CBPLI>
                                    <MCN>1</MCN>
                                    <SN>1</SN>
                                    <EN>10</EN>
                                    <CN>0</CN>
                                    <CBN>2</CBN>
                                    <CBPN>1</CBPN>
                                    <PT>1</PT>
                                    <CBPRNT>6</CBPRNT>
                                    <NT>-1</NT>
                                    <SP1><![CDATA[End_Date]]></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Quarters In Model]]></VOFFF>
                              </ClmnBlkPtProps>
                            </ClmnBlkPt>
                          </ClmnBlkPts>
                        </ClmnBlk>
                        <ClmnBlk>
                          <ClmnBlkProps>
                            <FCPT>0</FCPT>
                            <FCN>8</FCN>
                            <LCPT>0</LCPT>
                            <LCN>9</LCN>
                          </ClmnBlkProps>
                          <ClmnBlkPts>
                            <ClmnBlkPt>
                              <ClmnBlkPtProps>
                                <CBPT>5</CBPT>
                                <ST>18</ST>
                                <SON>5</SON>
                                <MC>True</MC>
                                <VOFFF><![CDATA[=YEAR(EDATE(§A¿1,1,1,1,10,0,2,1,1§Z¿,-§A¿1,1,1,1,5,0,2,1,1§Z¿))*§A¿1,2,2,1,14,9,1,1,1§Z¿+ROUNDUP(MONTH(EDATE(§A¿1,1,1,1,10,0,2,1,1§Z¿,-§A¿1,1,1,1,5,0,2,1,1§Z¿))/§A¿1,2,2,1,14,5,1,1,1§Z¿,0)&#10;-(YEAR(EDATE(§A¿1,1,1,1,9,0,2,1,1§Z¿,-§A¿1,1,1,1,5,0,2,1,1§Z¿))*§A¿1,2,2,1,14,9,1,1,1§Z¿+ROUNDUP(MONTH(EDATE(§A¿1,1,1,1,9,0,2,1,1§Z¿,-§A¿1,1,1,1,5,0,2,1,1§Z¿))/§A¿1,2,2,1,14,5,1,1,1§Z¿,0))+1]]></VOFFF>
                              </ClmnBlkPtProps>
                              <RgeNmes>
                                <RgeNme>
                                  <RgeNmeProps>
                                    <CBPLI>1,1,11,2,1</CBPLI>
                                    <MCN>1</MCN>
                                    <SN>1</SN>
                                    <EN>11</EN>
                                    <CN>0</CN>
                                    <CBN>2</CBN>
                                    <CBPN>1</CBPN>
                                    <PT>1</PT>
                                    <CBPRNT>6</CBPRNT>
                                    <NT>-1</NT>
                                    <SP1><![CDATA[Qtrs]]></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Halves In Model]]></VOFFF>
                              </ClmnBlkPtProps>
                            </ClmnBlkPt>
                          </ClmnBlkPts>
                        </ClmnBlk>
                        <ClmnBlk>
                          <ClmnBlkProps>
                            <FCPT>0</FCPT>
                            <FCN>8</FCN>
                            <LCPT>0</LCPT>
                            <LCN>9</LCN>
                          </ClmnBlkProps>
                          <ClmnBlkPts>
                            <ClmnBlkPt>
                              <ClmnBlkPtProps>
                                <CBPT>5</CBPT>
                                <ST>18</ST>
                                <SON>5</SON>
                                <MC>True</MC>
                                <VOFFF><![CDATA[=YEAR(EDATE(§A¿1,1,1,1,10,0,2,1,1§Z¿,-§A¿1,1,1,1,5,0,2,1,1§Z¿))*§A¿1,2,2,1,14,10,1,1,1§Z¿+ROUNDUP(MONTH(EDATE(§A¿1,1,1,1,10,0,2,1,1§Z¿,-§A¿1,1,1,1,5,0,2,1,1§Z¿))/§A¿1,2,2,1,14,6,1,1,1§Z¿,0)&#10;-(YEAR(EDATE(§A¿1,1,1,1,9,0,2,1,1§Z¿,-§A¿1,1,1,1,5,0,2,1,1§Z¿))*§A¿1,2,2,1,14,10,1,1,1§Z¿+ROUNDUP(MONTH(EDATE(§A¿1,1,1,1,9,0,2,1,1§Z¿,-§A¿1,1,1,1,5,0,2,1,1§Z¿))/§A¿1,2,2,1,14,6,1,1,1§Z¿,0))+1]]></VOFFF>
                              </ClmnBlkPtProps>
                              <RgeNmes>
                                <RgeNme>
                                  <RgeNmeProps>
                                    <CBPLI>1,1,12,2,1</CBPLI>
                                    <MCN>1</MCN>
                                    <SN>1</SN>
                                    <EN>12</EN>
                                    <CN>0</CN>
                                    <CBN>2</CBN>
                                    <CBPN>1</CBPN>
                                    <PT>1</PT>
                                    <CBPRNT>6</CBPRNT>
                                    <NT>-1</NT>
                                    <SP1><![CDATA[Halves]]></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Years In Model]]></VOFFF>
                              </ClmnBlkPtProps>
                            </ClmnBlkPt>
                          </ClmnBlkPts>
                        </ClmnBlk>
                        <ClmnBlk>
                          <ClmnBlkProps>
                            <FCPT>0</FCPT>
                            <FCN>8</FCN>
                            <LCPT>0</LCPT>
                            <LCN>9</LCN>
                          </ClmnBlkProps>
                          <ClmnBlkPts>
                            <ClmnBlkPt>
                              <ClmnBlkPtProps>
                                <CBPT>5</CBPT>
                                <ST>18</ST>
                                <SON>5</SON>
                                <MC>True</MC>
                                <VOFFF><![CDATA[=(YEAR(§A¿1,1,1,1,10,0,2,1,1§Z¿)+IF(MONTH(§A¿1,1,1,1,10,0,2,1,1§Z¿)>§A¿1,1,1,1,5,0,2,1,1§Z¿,1,0))-(YEAR(§A¿1,1,1,1,9,0,2,1,1§Z¿)+IF(MONTH(§A¿1,1,1,1,9,0,2,1,1§Z¿)>§A¿1,1,1,1,5,0,2,1,1§Z¿,1,0))+1]]></VOFFF>
                              </ClmnBlkPtProps>
                              <RgeNmes>
                                <RgeNme>
                                  <RgeNmeProps>
                                    <CBPLI>1,1,13,2,1</CBPLI>
                                    <MCN>1</MCN>
                                    <SN>1</SN>
                                    <EN>13</EN>
                                    <CN>0</CN>
                                    <CBN>2</CBN>
                                    <CBPN>1</CBPN>
                                    <PT>1</PT>
                                    <CBPRNT>6</CBPRNT>
                                    <NT>-1</NT>
                                    <SP1><![CDATA[Yrs]]></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Partial Period Identifier]]></VOFFF>
                              </ClmnBlkPtProps>
                            </ClmnBlkPt>
                          </ClmnBlkPts>
                        </ClmnBlk>
                        <ClmnBlk>
                          <ClmnBlkProps>
                            <FCPT>0</FCPT>
                            <FCN>8</FCN>
                            <LCPT>0</LCPT>
                            <LCN>9</LCN>
                          </ClmnBlkProps>
                          <ClmnBlkPts>
                            <ClmnBlkPt>
                              <ClmnBlkPtProps>
                                <CBPT>5</CBPT>
                                <ST>8</ST>
                                <SON>2</SON>
                                <MC>True</MC>
                                <VOFFF><![CDATA[*]]></VOFFF>
                                <UDAV><![CDATA[*]]></UDAV>
                              </ClmnBlkPtProps>
                              <RgeNmes>
                                <RgeNme>
                                  <RgeNmeProps>
                                    <CBPLI>1,1,14,2,1</CBPLI>
                                    <MCN>1</MCN>
                                    <SN>1</SN>
                                    <EN>14</EN>
                                    <CN>0</CN>
                                    <CBN>2</CBN>
                                    <CBPN>1</CBPN>
                                    <PT>1</PT>
                                    <CBPRNT>6</CBPRNT>
                                    <NT>-1</NT>
                                    <SP1><![CDATA[Part_Per_ID]]></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Denomination]]></VOFFF>
                              </ClmnBlkPtProps>
                            </ClmnBlkPt>
                          </ClmnBlkPts>
                        </ClmnBlk>
                        <ClmnBlk>
                          <ClmnBlkProps>
                            <FCPT>0</FCPT>
                            <FCN>8</FCN>
                            <LCPT>0</LCPT>
                            <LCN>8</LCN>
                          </ClmnBlkProps>
                          <ClmnBlkPts>
                            <ClmnBlkPt>
                              <ClmnBlkPtProps>
                                <CBPT>5</CBPT>
                                <ST>8</ST>
                                <SON>2</SON>
                                <VOFFF><![CDATA[<Currency>]]></VOFFF>
                                <UDAV><![CDATA[<Currency>]]></UDAV>
                              </ClmnBlkPtProps>
                              <RgeNmes>
                                <RgeNme>
                                  <RgeNmeProps>
                                    <CBPLI>1,1,15,2,1</CBPLI>
                                    <MCN>1</MCN>
                                    <SN>1</SN>
                                    <EN>15</EN>
                                    <CN>0</CN>
                                    <CBN>2</CBN>
                                    <CBPN>1</CBPN>
                                    <PT>1</PT>
                                    <CBPRNT>6</CBPRNT>
                                    <NT>-1</NT>
                                    <SP1><![CDATA[Currency]]></SP1>
                                    <SP2/>
                                    <FFF/>
                                    <CMT/>
                                  </RgeNmeProps>
                                </RgeNme>
                              </RgeNmes>
                            </ClmnBlkPt>
                          </ClmnBlkPts>
                        </ClmnBlk>
                        <ClmnBlk>
                          <ClmnBlkProps>
                            <FCPT>0</FCPT>
                            <FCN>9</FCN>
                            <LCPT>0</LCPT>
                            <LCN>9</LCN>
                          </ClmnBlkProps>
                          <ClmnBlkPts>
                            <ClmnBlkPt>
                              <ClmnBlkPtProps>
                                <CBPT>5</CBPT>
                                <ST>15</ST>
                                <SON>4</SON>
                                <VOFFF><![CDATA[1]]></VOFFF>
                                <UDAV><![CDATA[1]]></UDAV>
                              </ClmnBlkPtProps>
                              <Vdtn>
                                <VdtnProps>
                                  <CBPLI>1,1,15,3,1</CBPLI>
                                  <ADVT>-1</ADVT>
                                  <VT>1</VT>
                                  <AS>1</AS>
                                  <O>1</O>
                                  <F1FFF><![CDATA[1]]></F1FFF>
                                  <F2FFF><![CDATA[=ROWS(§A¿1,1,2,1,18,0,1,1,1§Z¿)]]></F2FFF>
                                  <IB>False</IB>
                                  <ICDD>False</ICDD>
                                  <SI>False</SI>
                                  <IT/>
                                  <IM/>
                                  <SE>True</SE>
                                  <ET><![CDATA[Drop Down Box Cell Link]]></ET>
                                  <EM><![CDATA[The value in a drop down box cell link must be a whole number within the control's lookup range rows.]]></EM>
                                  <IMO>0</IMO>
                                </VdtnProps>
                              </Vdtn>
                              <RgeNmes>
                                <RgeNme>
                                  <RgeNmeProps>
                                    <CBPLI>1,1,15,3,1</CBPLI>
                                    <MCN>1</MCN>
                                    <SN>1</SN>
                                    <EN>15</EN>
                                    <CN>0</CN>
                                    <CBN>3</CBN>
                                    <CBPN>1</CBPN>
                                    <PT>1</PT>
                                    <CBPRNT>6</CBPRNT>
                                    <NT>3</NT>
                                    <SP1><![CDATA[Denom]]></SP1>
                                    <SP2/>
                                    <FFF/>
                                    <CMT/>
                                  </RgeNmeProps>
                                </RgeNme>
                              </RgeNmes>
                            </ClmnBlkPt>
                          </ClmnBlkPts>
                        </ClmnBlk>
                      </ClmnBlks>
                      <TtlCtg>
                        <TtlCtgProps>
                          <R>3</R>
                        </TtlCtgProps>
                      </TtlCtg>
                      <ShpNmes>
                        <ShpNme>
                          <ShpNmeProps>
                            <ELI>1,1,15</ELI>
                            <COSTN>0</COSTN>
                            <ST>1</ST>
                            <SNPT>2</SNPT>
                            <N><![CDATA[bpmDropDownTs2]]></N>
                            <SHN>2</SHN>
                            <SHTN>2</SHTN>
                          </ShpNmeProps>
                        </ShpNme>
                      </ShpNmes>
                    </Elmt>
                    <Elmt>
                      <ElmtProps>
                        <CPT>2</CPT>
                      </ElmtProps>
                      <ClmnBlks>
                        <ClmnBlk>
                          <ClmnBlkProps>
                            <FCPT>0</FCPT>
                            <FCN>2</FCN>
                            <LCPT>0</LCPT>
                            <LCN>2</LCN>
                          </ClmnBlkProps>
                          <ClmnBlkPts>
                            <ClmnBlkPt>
                              <ClmnBlkPtProps>
                                <CBPT>5</CBPT>
                                <ST>6</ST>
                                <VOFFF><![CDATA[Denomination Conversion Factor]]></VOFFF>
                              </ClmnBlkPtProps>
                            </ClmnBlkPt>
                          </ClmnBlkPts>
                        </ClmnBlk>
                        <ClmnBlk>
                          <ClmnBlkProps>
                            <FCPT>0</FCPT>
                            <FCN>8</FCN>
                            <LCPT>0</LCPT>
                            <LCN>9</LCN>
                          </ClmnBlkProps>
                          <ClmnBlkPts>
                            <ClmnBlkPt>
                              <ClmnBlkPtProps>
                                <CBPT>5</CBPT>
                                <ST>18</ST>
                                <SON>5</SON>
                                <MC>True</MC>
                                <VOFFF><![CDATA[=INDEX(§A¿1,1,2,1,22,0,1,1,1§Z¿,§A¿1,1,1,1,15,0,3,1,1§Z¿)]]></VOFFF>
                              </ClmnBlkPtProps>
                              <RgeNmes>
                                <RgeNme>
                                  <RgeNmeProps>
                                    <CBPLI>1,1,16,2,1</CBPLI>
                                    <MCN>1</MCN>
                                    <SN>1</SN>
                                    <EN>16</EN>
                                    <CN>0</CN>
                                    <CBN>2</CBN>
                                    <CBPN>1</CBPN>
                                    <PT>1</PT>
                                    <CBPRNT>6</CBPRNT>
                                    <NT>-1</NT>
                                    <SP1><![CDATA[Denom_Conv_Fact]]></SP1>
                                    <SP2/>
                                    <FFF/>
                                    <CMT/>
                                  </RgeNmeProps>
                                </RgeNme>
                              </RgeNmes>
                            </ClmnBlkPt>
                          </ClmnBlkPts>
                        </ClmnBlk>
                      </ClmnBlks>
                      <TtlCtg>
                        <TtlCtgProps>
                          <R>1</R>
                        </TtlCtgProps>
                      </TtlCtg>
                    </Elmt>
                    <Elmt>
                      <ElmtProps>
                        <CPT>2</CPT>
                      </ElmtProps>
                      <TtlCtg>
                        <TtlCtgProps>
                          <R>2</R>
                        </TtlCtgProps>
                      </TtlCtg>
                    </Elmt>
                    <Elmt>
                      <ElmtProps>
                        <CPT>2</CPT>
                      </ElmtProps>
                      <ClmnBlks>
                        <ClmnBlk>
                          <ClmnBlkProps>
                            <FCPT>0</FCPT>
                            <FCN>2</FCN>
                            <LCPT>0</LCPT>
                            <LCN>2</LCN>
                          </ClmnBlkProps>
                          <ClmnBlkPts>
                            <ClmnBlkPt>
                              <ClmnBlkPtProps>
                                <CBPT>5</CBPT>
                                <ST>4</ST>
                                <VOFFF><![CDATA[Scenarios]]></VOFFF>
                              </ClmnBlkPtProps>
                            </ClmnBlkPt>
                          </ClmnBlkPts>
                        </ClmnBlk>
                        <ClmnBlk>
                          <ClmnBlkProps>
                            <FCPT>0</FCPT>
                            <FCN>3</FCN>
                            <LCPT>5</LCPT>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0</FCPT>
                            <FCN>2</FCN>
                            <LCPT>0</LCPT>
                            <LCN>2</LCN>
                          </ClmnBlkProps>
                          <ClmnBlkPts>
                            <ClmnBlkPt>
                              <ClmnBlkPtProps>
                                <CBPT>5</CBPT>
                                <ST>6</ST>
                                <VOFFF><![CDATA[Scenarios Count]]></VOFFF>
                              </ClmnBlkPtProps>
                            </ClmnBlkPt>
                          </ClmnBlkPts>
                        </ClmnBlk>
                        <ClmnBlk>
                          <ClmnBlkProps>
                            <FCPT>0</FCPT>
                            <FCN>8</FCN>
                            <LCPT>0</LCPT>
                            <LCN>9</LCN>
                          </ClmnBlkProps>
                          <ClmnBlkPts>
                            <ClmnBlkPt>
                              <ClmnBlkPtProps>
                                <CBPT>5</CBPT>
                                <ST>18</ST>
                                <SON>9</SON>
                                <MC>True</MC>
                                <VOFFF><![CDATA[=IFERROR(INDIRECT("Scenarios_Count"),3)]]></VOFFF>
                              </ClmnBlkPtProps>
                              <Cmts>
                                <Cmt>
                                  <CmtProps>
                                    <CBPLI>1,1,20,2,1</CBPLI>
                                    <WRN>1</WRN>
                                    <ERT>5</ERT>
                                    <COSTN>0</COSTN>
                                    <OC>0</OC>
                                    <HT><![CDATA[Scenarios Count]]></HT>
                                    <BT><![CDATA[This cell block is used to automate the addition and removal of scenarios. Do not change or delete.]]></BT>
                                    <H>80</H>
                                    <W>120</W>
                                  </CmtProps>
                                </Cmt>
                              </Cmts>
                              <RgeNmes>
                                <RgeNme>
                                  <RgeNmeProps>
                                    <CBPLI>1,1,20,2,1</CBPLI>
                                    <MCN>1</MCN>
                                    <SN>1</SN>
                                    <EN>20</EN>
                                    <CN>0</CN>
                                    <CBN>2</CBN>
                                    <CBPN>1</CBPN>
                                    <PT>1</PT>
                                    <CBPRNT>6</CBPRNT>
                                    <NT>-1</NT>
                                    <SP1><![CDATA[Scenarios_Count]]></SP1>
                                    <SP2/>
                                    <FFF/>
                                    <CMT/>
                                  </RgeNmeProps>
                                </RgeNme>
                              </RgeNmes>
                            </ClmnBlkPt>
                          </ClmnBlkPts>
                        </ClmnBlk>
                      </ClmnBlks>
                      <TtlCtg>
                        <TtlCtgProps>
                          <R>2</R>
                        </TtlCtgProps>
                      </TtlCtg>
                    </Elmt>
                  </Elmts>
                </Sect>
              </Sects>
              <Ctrls>
                <Ctrl>
                  <CtrlProps>
                    <MN>1</MN>
                    <MCN>1</MCN>
                    <SIT>0</SIT>
                    <TLCRSN>1</TLCRSN>
                    <TLCREN>5</TLCREN>
                    <TLCRSRT>5</TLCRSRT>
                    <TLCCPT>0</TLCCPT>
                    <TLCCN>8</TLCCN>
                    <TLCCOT>0</TLCCOT>
                    <TLCCOC>0</TLCCOC>
                    <TLCCPTBMCN>0</TLCCPTBMCN>
                    <TLCCPTBN>0</TLCCPTBN>
                    <BRCRSN>1</BRCRSN>
                    <BRCREN>5</BRCREN>
                    <BRCRSRT>5</BRCRSRT>
                    <BRCCPT>0</BRCCPT>
                    <BRCCN>9</BRCCN>
                    <BRCCOT>0</BRCCOT>
                    <BRCCOC>0</BRCCOC>
                    <BRCCPTBMCN>0</BRCCPTBMCN>
                    <BRCCPTBN>0</BRCCPTBN>
                    <P>1</P>
                    <HAL>-4131</HAL>
                    <WA>1</WA>
                    <VA>-4108</VA>
                    <HAD>1</HAD>
                    <TI>0</TI>
                    <CT>0</CT>
                    <N/>
                    <D3DS>False</D3DS>
                    <PO>True</PO>
                    <L>True</L>
                    <OA/>
                    <T/>
                    <THA>-4108</THA>
                    <TVA>-4108</TVA>
                    <LT>True</LT>
                    <LCFFA><![CDATA[§A¿1,1,1,1,5,0,2,1,1§Z¿]]></LCFFA>
                    <LCCA/>
                    <CV>1</CV>
                    <MIV>0</MIV>
                    <MAV>100</MAV>
                    <SC>1</SC>
                    <LC>10</LC>
                    <LFRFFA><![CDATA[§A¿1,1,2,1,10,0,1,1,1§Z¿]]></LFRFFA>
                    <LFRCA/>
                    <DDL>0</DDL>
                  </CtrlProps>
                </Ctrl>
                <Ctrl>
                  <CtrlProps>
                    <MN>1</MN>
                    <MCN>1</MCN>
                    <SIT>0</SIT>
                    <TLCRSN>1</TLCRSN>
                    <TLCREN>15</TLCREN>
                    <TLCRSRT>5</TLCRSRT>
                    <TLCCPT>0</TLCCPT>
                    <TLCCN>9</TLCCN>
                    <TLCCOT>0</TLCCOT>
                    <TLCCOC>0</TLCCOC>
                    <TLCCPTBMCN>0</TLCCPTBMCN>
                    <TLCCPTBN>0</TLCCPTBN>
                    <BRCRSN>1</BRCRSN>
                    <BRCREN>15</BRCREN>
                    <BRCRSRT>5</BRCRSRT>
                    <BRCCPT>0</BRCCPT>
                    <BRCCN>9</BRCCN>
                    <BRCCOT>0</BRCCOT>
                    <BRCCOC>0</BRCCOC>
                    <BRCCPTBMCN>0</BRCCPTBMCN>
                    <BRCCPTBN>0</BRCCPTBN>
                    <P>1</P>
                    <HAL>-4131</HAL>
                    <WA>1</WA>
                    <VA>-4108</VA>
                    <HAD>1</HAD>
                    <TI>0</TI>
                    <CT>0</CT>
                    <N/>
                    <D3DS>False</D3DS>
                    <PO>True</PO>
                    <L>True</L>
                    <OA/>
                    <T/>
                    <THA>-4108</THA>
                    <TVA>-4108</TVA>
                    <LT>True</LT>
                    <LCFFA><![CDATA[§A¿1,1,1,1,15,0,3,1,1§Z¿]]></LCFFA>
                    <LCCA/>
                    <CV>1</CV>
                    <MIV>0</MIV>
                    <MAV>100</MAV>
                    <SC>1</SC>
                    <LC>10</LC>
                    <LFRFFA><![CDATA[§A¿1,1,2,1,18,0,1,1,1§Z¿]]></LFRFFA>
                    <LFRCA/>
                    <DDL>0</DDL>
                  </CtrlProps>
                </Ctrl>
                <Ctrl>
                  <CtrlProps>
                    <MN>1</MN>
                    <MCN>1</MCN>
                    <SIT>0</SIT>
                    <TLCRSN>1</TLCRSN>
                    <TLCREN>7</TLCREN>
                    <TLCRSRT>5</TLCRSRT>
                    <TLCCPT>0</TLCCPT>
                    <TLCCN>8</TLCCN>
                    <TLCCOT>0</TLCCOT>
                    <TLCCOC>0</TLCCOC>
                    <TLCCPTBMCN>0</TLCCPTBMCN>
                    <TLCCPTBN>0</TLCCPTBN>
                    <BRCRSN>1</BRCRSN>
                    <BRCREN>7</BRCREN>
                    <BRCRSRT>5</BRCRSRT>
                    <BRCCPT>0</BRCCPT>
                    <BRCCN>9</BRCCN>
                    <BRCCOT>0</BRCCOT>
                    <BRCCOC>0</BRCCOC>
                    <BRCCPTBMCN>0</BRCCPTBMCN>
                    <BRCCPTBN>0</BRCCPTBN>
                    <P>1</P>
                    <HAL>-4131</HAL>
                    <WA>1</WA>
                    <VA>-4108</VA>
                    <HAD>1</HAD>
                    <TI>0</TI>
                    <CT>0</CT>
                    <N/>
                    <D3DS>False</D3DS>
                    <PO>True</PO>
                    <L>True</L>
                    <OA/>
                    <T/>
                    <THA>-4108</THA>
                    <TVA>-4108</TVA>
                    <LT>True</LT>
                    <LCFFA><![CDATA[§A¿1,1,1,1,7,0,2,1,1§Z¿]]></LCFFA>
                    <LCCA/>
                    <CV>1</CV>
                    <MIV>0</MIV>
                    <MAV>100</MAV>
                    <SC>1</SC>
                    <LC>10</LC>
                    <LFRFFA><![CDATA[§A¿1,1,2,1,26,0,1,1,1§Z¿]]></LFRFFA>
                    <LFRCA/>
                    <DDL>0</DDL>
                  </CtrlProps>
                </Ctrl>
              </Ctrls>
            </ModComp>
            <ModComp>
              <ModCompProps>
                <MN>1</MN>
                <MCN>2</MCN>
                <MCTK>LU</MCTK>
                <RT><![CDATA[<ModuleName> - Lookups]]></RT>
                <ERN>MODMC2</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Month Day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3</EGN>
                      </ElmtProps>
                      <ClmnBlks>
                        <ClmnBlk>
                          <ClmnBlkProps>
                            <FCPT>0</FCPT>
                            <FCN>4</FCN>
                            <LCPT>0</LCPT>
                            <LCN>4</LCN>
                          </ClmnBlkProps>
                          <ClmnBlkPts>
                            <ClmnBlkPt>
                              <ClmnBlkPtProps>
                                <CBPT>0</CBPT>
                                <ST>25</ST>
                                <VOFFF><![CDATA[=ROWS(§A¿0,2,1,1,6,1,1,1,0,0,TRUE,FALSE,1,6,1,1,0,0,0,FALSE,FALSE§Z¿)]]></VOFFF>
                              </ClmnBlkPtProps>
                              <RgeNmes>
                                <RgeNme>
                                  <RgeNmeProps>
                                    <CBPLI>2,1,6,1,1</CBPLI>
                                    <MCN>2</MCN>
                                    <SN>1</SN>
                                    <EN>6</EN>
                                    <CN>0</CN>
                                    <CBN>1</CBN>
                                    <CBPN>1</CBPN>
                                    <PT>1</PT>
                                    <CBPRNT>2</CBPRNT>
                                    <NT>11</NT>
                                    <SP1><![CDATA[Mth_Day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Month Da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Mth_Days]]></VOFFF>
                              </ClmnBlkPtProps>
                            </ClmnBlkPt>
                          </ClmnBlkPts>
                        </ClmnBlk>
                      </ClmnBlks>
                      <SubTtls>
                        <SubTtl>
                          <SubTtlHdgRow>
                            <SubTtlHdgRowProps>
                              <STLI>2,1,6,1</STLI>
                              <R>0</R>
                            </SubTtlHdgRowProps>
                          </SubTtlHdgRow>
                          <Ctgs>
                            <Ctg>
                              <CtgProps>
                                <R>3</R>
                              </CtgProps>
                              <LuTblLbl>
                                <LuTblLblProps>
                                  <CLI>2,1,6,False,1</CLI>
                                  <L/>
                                </LuTblLblProps>
                              </LuTblLbl>
                            </Ctg>
                            <Ctg>
                              <CtgProps>
                                <R>3</R>
                              </CtgProps>
                              <LuTblLbl>
                                <LuTblLblProps>
                                  <CLI>2,1,6,False,2</CLI>
                                  <L/>
                                </LuTblLblProps>
                              </LuTblLbl>
                            </Ctg>
                            <Ctg>
                              <CtgProps>
                                <R>3</R>
                              </CtgProps>
                              <LuTblLbl>
                                <LuTblLblProps>
                                  <CLI>2,1,6,False,3</CLI>
                                  <L/>
                                </LuTblLblProps>
                              </LuTblLbl>
                            </Ctg>
                            <Ctg>
                              <CtgProps>
                                <R>3</R>
                              </CtgProps>
                              <LuTblLbl>
                                <LuTblLblProps>
                                  <CLI>2,1,6,False,4</CLI>
                                  <L/>
                                </LuTblLblProps>
                              </LuTblLbl>
                            </Ctg>
                            <Ctg>
                              <CtgProps>
                                <R>3</R>
                              </CtgProps>
                              <LuTblLbl>
                                <LuTblLblProps>
                                  <CLI>2,1,6,False,5</CLI>
                                  <L/>
                                </LuTblLblProps>
                              </LuTblLbl>
                            </Ctg>
                            <Ctg>
                              <CtgProps>
                                <R>3</R>
                              </CtgProps>
                              <LuTblLbl>
                                <LuTblLblProps>
                                  <CLI>2,1,6,False,6</CLI>
                                  <L/>
                                </LuTblLblProps>
                              </LuTblLbl>
                            </Ctg>
                            <Ctg>
                              <CtgProps>
                                <R>3</R>
                              </CtgProps>
                              <LuTblLbl>
                                <LuTblLblProps>
                                  <CLI>2,1,6,False,7</CLI>
                                  <L/>
                                </LuTblLblProps>
                              </LuTblLbl>
                            </Ctg>
                            <Ctg>
                              <CtgProps>
                                <R>3</R>
                              </CtgProps>
                              <LuTblLbl>
                                <LuTblLblProps>
                                  <CLI>2,1,6,False,8</CLI>
                                  <L/>
                                </LuTblLblProps>
                              </LuTblLbl>
                            </Ctg>
                            <Ctg>
                              <CtgProps>
                                <R>3</R>
                              </CtgProps>
                              <LuTblLbl>
                                <LuTblLblProps>
                                  <CLI>2,1,6,False,9</CLI>
                                  <L/>
                                </LuTblLblProps>
                              </LuTblLbl>
                            </Ctg>
                            <Ctg>
                              <CtgProps>
                                <R>3</R>
                              </CtgProps>
                              <LuTblLbl>
                                <LuTblLblProps>
                                  <CLI>2,1,6,False,10</CLI>
                                  <L/>
                                </LuTblLblProps>
                              </LuTblLbl>
                            </Ctg>
                            <Ctg>
                              <CtgProps>
                                <R>3</R>
                              </CtgProps>
                              <LuTblLbl>
                                <LuTblLblProps>
                                  <CLI>2,1,6,False,11</CLI>
                                  <L/>
                                </LuTblLblProps>
                              </LuTblLbl>
                            </Ctg>
                            <Ctg>
                              <CtgProps>
                                <R>3</R>
                              </CtgProps>
                              <LuTblLbl>
                                <LuTblLblProps>
                                  <CLI>2,1,6,False,12</CLI>
                                  <L/>
                                </LuTblLblProps>
                              </LuTblLbl>
                            </Ctg>
                            <Ctg>
                              <CtgProps>
                                <R>3</R>
                              </CtgProps>
                              <LuTblLbl>
                                <LuTblLblProps>
                                  <CLI>2,1,6,False,13</CLI>
                                  <L/>
                                </LuTblLblProps>
                              </LuTblLbl>
                            </Ctg>
                            <Ctg>
                              <CtgProps>
                                <R>3</R>
                              </CtgProps>
                              <LuTblLbl>
                                <LuTblLblProps>
                                  <CLI>2,1,6,False,14</CLI>
                                  <L/>
                                </LuTblLblProps>
                              </LuTblLbl>
                            </Ctg>
                            <Ctg>
                              <CtgProps>
                                <R>3</R>
                              </CtgProps>
                              <LuTblLbl>
                                <LuTblLblProps>
                                  <CLI>2,1,6,False,15</CLI>
                                  <L/>
                                </LuTblLblProps>
                              </LuTblLbl>
                            </Ctg>
                            <Ctg>
                              <CtgProps>
                                <R>3</R>
                              </CtgProps>
                              <LuTblLbl>
                                <LuTblLblProps>
                                  <CLI>2,1,6,False,16</CLI>
                                  <L/>
                                </LuTblLblProps>
                              </LuTblLbl>
                            </Ctg>
                            <Ctg>
                              <CtgProps>
                                <R>3</R>
                              </CtgProps>
                              <LuTblLbl>
                                <LuTblLblProps>
                                  <CLI>2,1,6,False,17</CLI>
                                  <L/>
                                </LuTblLblProps>
                              </LuTblLbl>
                            </Ctg>
                            <Ctg>
                              <CtgProps>
                                <R>3</R>
                              </CtgProps>
                              <LuTblLbl>
                                <LuTblLblProps>
                                  <CLI>2,1,6,False,18</CLI>
                                  <L/>
                                </LuTblLblProps>
                              </LuTblLbl>
                            </Ctg>
                            <Ctg>
                              <CtgProps>
                                <R>3</R>
                              </CtgProps>
                              <LuTblLbl>
                                <LuTblLblProps>
                                  <CLI>2,1,6,False,19</CLI>
                                  <L/>
                                </LuTblLblProps>
                              </LuTblLbl>
                            </Ctg>
                            <Ctg>
                              <CtgProps>
                                <R>3</R>
                              </CtgProps>
                              <LuTblLbl>
                                <LuTblLblProps>
                                  <CLI>2,1,6,False,20</CLI>
                                  <L/>
                                </LuTblLblProps>
                              </LuTblLbl>
                            </Ctg>
                            <Ctg>
                              <CtgProps>
                                <R>3</R>
                              </CtgProps>
                              <LuTblLbl>
                                <LuTblLblProps>
                                  <CLI>2,1,6,False,21</CLI>
                                  <L/>
                                </LuTblLblProps>
                              </LuTblLbl>
                            </Ctg>
                            <Ctg>
                              <CtgProps>
                                <R>3</R>
                              </CtgProps>
                              <LuTblLbl>
                                <LuTblLblProps>
                                  <CLI>2,1,6,False,22</CLI>
                                  <L/>
                                </LuTblLblProps>
                              </LuTblLbl>
                            </Ctg>
                            <Ctg>
                              <CtgProps>
                                <R>3</R>
                              </CtgProps>
                              <LuTblLbl>
                                <LuTblLblProps>
                                  <CLI>2,1,6,False,23</CLI>
                                  <L/>
                                </LuTblLblProps>
                              </LuTblLbl>
                            </Ctg>
                            <Ctg>
                              <CtgProps>
                                <R>3</R>
                              </CtgProps>
                              <LuTblLbl>
                                <LuTblLblProps>
                                  <CLI>2,1,6,False,24</CLI>
                                  <L/>
                                </LuTblLblProps>
                              </LuTblLbl>
                            </Ctg>
                            <Ctg>
                              <CtgProps>
                                <R>3</R>
                              </CtgProps>
                              <LuTblLbl>
                                <LuTblLblProps>
                                  <CLI>2,1,6,False,25</CLI>
                                  <L/>
                                </LuTblLblProps>
                              </LuTblLbl>
                            </Ctg>
                            <Ctg>
                              <CtgProps>
                                <R>3</R>
                              </CtgProps>
                              <LuTblLbl>
                                <LuTblLblProps>
                                  <CLI>2,1,6,False,26</CLI>
                                  <L/>
                                </LuTblLblProps>
                              </LuTblLbl>
                            </Ctg>
                            <Ctg>
                              <CtgProps>
                                <R>3</R>
                              </CtgProps>
                              <LuTblLbl>
                                <LuTblLblProps>
                                  <CLI>2,1,6,False,27</CLI>
                                  <L/>
                                </LuTblLblProps>
                              </LuTblLbl>
                            </Ctg>
                            <Ctg>
                              <CtgProps>
                                <R>3</R>
                              </CtgProps>
                              <LuTblLbl>
                                <LuTblLblProps>
                                  <CLI>2,1,6,False,28</CLI>
                                  <L/>
                                </LuTblLblProps>
                              </LuTblLbl>
                            </Ctg>
                            <Ctg>
                              <CtgProps>
                                <R>3</R>
                              </CtgProps>
                              <LuTblLbl>
                                <LuTblLblProps>
                                  <CLI>2,1,6,False,29</CLI>
                                  <L/>
                                </LuTblLblProps>
                              </LuTblLbl>
                            </Ctg>
                            <Ctg>
                              <CtgProps>
                                <R>3</R>
                              </CtgProps>
                              <LuTblLbl>
                                <LuTblLblProps>
                                  <CLI>2,1,6,False,30</CLI>
                                  <L/>
                                </LuTblLblProps>
                              </LuTblLbl>
                            </Ctg>
                            <Ctg>
                              <CtgProps>
                                <R>3</R>
                              </CtgProps>
                              <LuTblLbl>
                                <LuTblLblProps>
                                  <CLI>2,1,6,False,31</CLI>
                                  <L/>
                                </LuTblLblProp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Month Nam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TEXT(DATE(1,ROWS(§A¿0,2,1,1,10,1,1,1,0,0,TRUE,FALSE,1,10,1,1,0,0,0,FALSE,FALSE§Z¿),1),"mmmm")]]></VOFFF>
                              </ClmnBlkPtProps>
                              <RgeNmes>
                                <RgeNme>
                                  <RgeNmeProps>
                                    <CBPLI>2,1,10,1,1</CBPLI>
                                    <MCN>2</MCN>
                                    <SN>1</SN>
                                    <EN>10</EN>
                                    <CN>0</CN>
                                    <CBN>1</CBN>
                                    <CBPN>1</CBPN>
                                    <PT>1</PT>
                                    <CBPRNT>2</CBPRNT>
                                    <NT>11</NT>
                                    <SP1><![CDATA[Mth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Month Name]]></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Mth_Names]]></VOFFF>
                              </ClmnBlkPtProps>
                            </ClmnBlkPt>
                          </ClmnBlkPts>
                        </ClmnBlk>
                      </ClmnBlks>
                      <SubTtls>
                        <SubTtl>
                          <SubTtlHdgRow>
                            <SubTtlHdgRowProps>
                              <STLI>2,1,10,1</STLI>
                              <R>0</R>
                            </SubTtlHdgRowProps>
                          </SubTtlHdgRow>
                          <Ctgs>
                            <Ctg>
                              <CtgProps>
                                <R>3</R>
                              </CtgProps>
                              <LuTblLbl>
                                <LuTblLblProps>
                                  <CLI>2,1,10,False,1</CLI>
                                  <L><![CDATA[Lookup Label <CategoryNumber>.]]></L>
                                </LuTblLblProps>
                              </LuTblLbl>
                            </Ctg>
                            <Ctg>
                              <CtgProps>
                                <R>3</R>
                              </CtgProps>
                              <LuTblLbl>
                                <LuTblLblProps>
                                  <CLI>2,1,10,False,2</CLI>
                                  <L><![CDATA[Lookup Label <CategoryNumber>.]]></L>
                                </LuTblLblProps>
                              </LuTblLbl>
                            </Ctg>
                            <Ctg>
                              <CtgProps>
                                <R>3</R>
                              </CtgProps>
                              <LuTblLbl>
                                <LuTblLblProps>
                                  <CLI>2,1,10,False,3</CLI>
                                  <L><![CDATA[Lookup Label <CategoryNumber>.]]></L>
                                </LuTblLblProps>
                              </LuTblLbl>
                            </Ctg>
                            <Ctg>
                              <CtgProps>
                                <R>3</R>
                              </CtgProps>
                              <LuTblLbl>
                                <LuTblLblProps>
                                  <CLI>2,1,10,False,4</CLI>
                                  <L><![CDATA[Lookup Label <CategoryNumber>.]]></L>
                                </LuTblLblProps>
                              </LuTblLbl>
                            </Ctg>
                            <Ctg>
                              <CtgProps>
                                <R>3</R>
                              </CtgProps>
                              <LuTblLbl>
                                <LuTblLblProps>
                                  <CLI>2,1,10,False,5</CLI>
                                  <L><![CDATA[Lookup Label <CategoryNumber>.]]></L>
                                </LuTblLblProps>
                              </LuTblLbl>
                            </Ctg>
                            <Ctg>
                              <CtgProps>
                                <R>3</R>
                              </CtgProps>
                              <LuTblLbl>
                                <LuTblLblProps>
                                  <CLI>2,1,10,False,6</CLI>
                                  <L><![CDATA[Lookup Label <CategoryNumber>.]]></L>
                                </LuTblLblProps>
                              </LuTblLbl>
                            </Ctg>
                            <Ctg>
                              <CtgProps>
                                <R>3</R>
                              </CtgProps>
                              <LuTblLbl>
                                <LuTblLblProps>
                                  <CLI>2,1,10,False,7</CLI>
                                  <L><![CDATA[Lookup Label <CategoryNumber>.]]></L>
                                </LuTblLblProps>
                              </LuTblLbl>
                            </Ctg>
                            <Ctg>
                              <CtgProps>
                                <R>3</R>
                              </CtgProps>
                              <LuTblLbl>
                                <LuTblLblProps>
                                  <CLI>2,1,10,False,8</CLI>
                                  <L><![CDATA[Lookup Label <CategoryNumber>.]]></L>
                                </LuTblLblProps>
                              </LuTblLbl>
                            </Ctg>
                            <Ctg>
                              <CtgProps>
                                <R>3</R>
                              </CtgProps>
                              <LuTblLbl>
                                <LuTblLblProps>
                                  <CLI>2,1,10,False,9</CLI>
                                  <L><![CDATA[Lookup Label <CategoryNumber>.]]></L>
                                </LuTblLblProps>
                              </LuTblLbl>
                            </Ctg>
                            <Ctg>
                              <CtgProps>
                                <R>3</R>
                              </CtgProps>
                              <LuTblLbl>
                                <LuTblLblProps>
                                  <CLI>2,1,10,False,10</CLI>
                                  <L><![CDATA[Lookup Label <CategoryNumber>.]]></L>
                                </LuTblLblProps>
                              </LuTblLbl>
                            </Ctg>
                            <Ctg>
                              <CtgProps>
                                <R>3</R>
                              </CtgProps>
                              <LuTblLbl>
                                <LuTblLblProps>
                                  <CLI>2,1,10,False,11</CLI>
                                  <L><![CDATA[Lookup Label <CategoryNumber>.]]></L>
                                </LuTblLblProps>
                              </LuTblLbl>
                            </Ctg>
                            <Ctg>
                              <CtgProps>
                                <R>3</R>
                              </CtgProps>
                              <LuTblLbl>
                                <LuTblLblProps>
                                  <CLI>2,1,10,False,12</CLI>
                                  <L><![CDATA[Lookup Label <CategoryNumber>.]]></L>
                                </LuTblLblProps>
                              </LuTblLbl>
                            </Ctg>
                          </Ctgs>
                        </SubTtl>
                      </SubTtls>
                      <TtlCtg>
                        <TtlCtgProps>
                          <R>3</R>
                        </TtlCtgProps>
                      </TtlCtg>
                    </Elmt>
                    <Elmt>
                      <ElmtProps>
                        <CPT>2</CPT>
                      </ElmtProps>
                      <TtlCtg>
                        <TtlCtgProps>
                          <R>3</R>
                        </TtlCtgProps>
                      </TtlCtg>
                    </Elmt>
                    <Elmt>
                      <ElmtProps>
                        <CPT>2</CPT>
                      </ElmtProps>
                      <ClmnBlks>
                        <ClmnBlk>
                          <ClmnBlkProps>
                            <FCPT>0</FCPT>
                            <FCN>3</FCN>
                            <LCPT>0</LCPT>
                            <LCN>3</LCN>
                          </ClmnBlkProps>
                          <ClmnBlkPts>
                            <ClmnBlkPt>
                              <ClmnBlkPtProps>
                                <CBPT>5</CBPT>
                                <ST>4</ST>
                                <VOFFF><![CDATA[Periods In Periods]]></VOFFF>
                              </ClmnBlkPtProps>
                            </ClmnBlkPt>
                          </ClmnBlkPts>
                        </ClmnBlk>
                        <ClmnBlk>
                          <ClmnBlkProps>
                            <FCPT>0</FCPT>
                            <FCN>4</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4</EGN>
                      </ElmtProps>
                      <ClmnBlks>
                        <ClmnBlk>
                          <ClmnBlkProps>
                            <FCPT>0</FCPT>
                            <FCN>4</FCN>
                            <LCPT>0</LCPT>
                            <LCN>4</LCN>
                          </ClmnBlkProps>
                          <ClmnBlkPts>
                            <ClmnBlkPt>
                              <ClmnBlkPtProps>
                                <CBPT>0</CBPT>
                                <ST>25</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Periods In Peri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 ]]></VOFFF>
                              </ClmnBlkPtProps>
                            </ClmnBlkPt>
                          </ClmnBlkPts>
                        </ClmnBlk>
                      </ClmnBlks>
                      <SubTtls>
                        <SubTtl>
                          <SubTtlHdgRow>
                            <SubTtlHdgRowProps>
                              <STLI>2,1,14,1</STLI>
                              <R>0</R>
                            </SubTtlHdgRowProps>
                          </SubTtlHdgRow>
                          <Ctgs>
                            <Ctg>
                              <CtgProps>
                                <R>3</R>
                              </CtgProps>
                              <LuTblLbl>
                                <LuTblLblProps>
                                  <CLI>2,1,14,False,1</CLI>
                                  <L><![CDATA[60]]></L>
                                </LuTblLblProps>
                                <RgeNmes>
                                  <RgeNme>
                                    <RgeNmeProps>
                                      <CBPLI>2,1,14,1,1</CBPLI>
                                      <MCN>2</MCN>
                                      <SN>1</SN>
                                      <EN>14</EN>
                                      <CN>1</CN>
                                      <CBN>1</CBN>
                                      <CBPN>1</CBPN>
                                      <PT>2</PT>
                                      <CBPRNT>8</CBPRNT>
                                      <NT>-1</NT>
                                      <SP1><![CDATA[Secs_In_Min]]></SP1>
                                      <SP2/>
                                      <FFF/>
                                      <CMT/>
                                    </RgeNmeProps>
                                  </RgeNme>
                                </RgeNmes>
                              </LuTblLbl>
                            </Ctg>
                            <Ctg>
                              <CtgProps>
                                <R>3</R>
                              </CtgProps>
                              <LuTblLbl>
                                <LuTblLblProps>
                                  <CLI>2,1,14,False,2</CLI>
                                  <L><![CDATA[60]]></L>
                                </LuTblLblProps>
                                <RgeNmes>
                                  <RgeNme>
                                    <RgeNmeProps>
                                      <CBPLI>2,1,14,1,1</CBPLI>
                                      <MCN>2</MCN>
                                      <SN>1</SN>
                                      <EN>14</EN>
                                      <CN>2</CN>
                                      <CBN>1</CBN>
                                      <CBPN>1</CBPN>
                                      <PT>2</PT>
                                      <CBPRNT>8</CBPRNT>
                                      <NT>-1</NT>
                                      <SP1><![CDATA[Mins_In_Hr]]></SP1>
                                      <SP2/>
                                      <FFF/>
                                      <CMT/>
                                    </RgeNmeProps>
                                  </RgeNme>
                                </RgeNmes>
                              </LuTblLbl>
                            </Ctg>
                            <Ctg>
                              <CtgProps>
                                <R>3</R>
                              </CtgProps>
                              <LuTblLbl>
                                <LuTblLblProps>
                                  <CLI>2,1,14,False,3</CLI>
                                  <L><![CDATA[24]]></L>
                                </LuTblLblProps>
                                <RgeNmes>
                                  <RgeNme>
                                    <RgeNmeProps>
                                      <CBPLI>2,1,14,1,1</CBPLI>
                                      <MCN>2</MCN>
                                      <SN>1</SN>
                                      <EN>14</EN>
                                      <CN>3</CN>
                                      <CBN>1</CBN>
                                      <CBPN>1</CBPN>
                                      <PT>2</PT>
                                      <CBPRNT>8</CBPRNT>
                                      <NT>-1</NT>
                                      <SP1><![CDATA[Hrs_In_Day]]></SP1>
                                      <SP2/>
                                      <FFF/>
                                      <CMT/>
                                    </RgeNmeProps>
                                  </RgeNme>
                                </RgeNmes>
                              </LuTblLbl>
                            </Ctg>
                            <Ctg>
                              <CtgProps>
                                <R>3</R>
                              </CtgProps>
                              <LuTblLbl>
                                <LuTblLblProps>
                                  <CLI>2,1,14,False,4</CLI>
                                  <L><![CDATA[7]]></L>
                                </LuTblLblProps>
                                <RgeNmes>
                                  <RgeNme>
                                    <RgeNmeProps>
                                      <CBPLI>2,1,14,1,1</CBPLI>
                                      <MCN>2</MCN>
                                      <SN>1</SN>
                                      <EN>14</EN>
                                      <CN>4</CN>
                                      <CBN>1</CBN>
                                      <CBPN>1</CBPN>
                                      <PT>2</PT>
                                      <CBPRNT>8</CBPRNT>
                                      <NT>-1</NT>
                                      <SP1><![CDATA[Days_In_Wk]]></SP1>
                                      <SP2/>
                                      <FFF/>
                                      <CMT/>
                                    </RgeNmeProps>
                                  </RgeNme>
                                </RgeNmes>
                              </LuTblLbl>
                            </Ctg>
                            <Ctg>
                              <CtgProps>
                                <R>3</R>
                              </CtgProps>
                              <LuTblLbl>
                                <LuTblLblProps>
                                  <CLI>2,1,14,False,5</CLI>
                                  <L><![CDATA[3]]></L>
                                </LuTblLblProps>
                                <RgeNmes>
                                  <RgeNme>
                                    <RgeNmeProps>
                                      <CBPLI>2,1,14,1,1</CBPLI>
                                      <MCN>2</MCN>
                                      <SN>1</SN>
                                      <EN>14</EN>
                                      <CN>5</CN>
                                      <CBN>1</CBN>
                                      <CBPN>1</CBPN>
                                      <PT>2</PT>
                                      <CBPRNT>8</CBPRNT>
                                      <NT>-1</NT>
                                      <SP1><![CDATA[Mths_In_Qtr]]></SP1>
                                      <SP2/>
                                      <FFF/>
                                      <CMT/>
                                    </RgeNmeProps>
                                  </RgeNme>
                                </RgeNmes>
                              </LuTblLbl>
                            </Ctg>
                            <Ctg>
                              <CtgProps>
                                <R>3</R>
                              </CtgProps>
                              <LuTblLbl>
                                <LuTblLblProps>
                                  <CLI>2,1,14,False,6</CLI>
                                  <L><![CDATA[6]]></L>
                                </LuTblLblProps>
                                <RgeNmes>
                                  <RgeNme>
                                    <RgeNmeProps>
                                      <CBPLI>2,1,14,1,1</CBPLI>
                                      <MCN>2</MCN>
                                      <SN>1</SN>
                                      <EN>14</EN>
                                      <CN>6</CN>
                                      <CBN>1</CBN>
                                      <CBPN>1</CBPN>
                                      <PT>2</PT>
                                      <CBPRNT>8</CBPRNT>
                                      <NT>-1</NT>
                                      <SP1><![CDATA[Mths_In_Half]]></SP1>
                                      <SP2/>
                                      <FFF/>
                                      <CMT/>
                                    </RgeNmeProps>
                                  </RgeNme>
                                </RgeNmes>
                              </LuTblLbl>
                            </Ctg>
                            <Ctg>
                              <CtgProps>
                                <R>3</R>
                              </CtgProps>
                              <LuTblLbl>
                                <LuTblLblProps>
                                  <CLI>2,1,14,False,7</CLI>
                                  <L><![CDATA[12]]></L>
                                </LuTblLblProps>
                                <RgeNmes>
                                  <RgeNme>
                                    <RgeNmeProps>
                                      <CBPLI>2,1,14,1,1</CBPLI>
                                      <MCN>2</MCN>
                                      <SN>1</SN>
                                      <EN>14</EN>
                                      <CN>7</CN>
                                      <CBN>1</CBN>
                                      <CBPN>1</CBPN>
                                      <PT>2</PT>
                                      <CBPRNT>8</CBPRNT>
                                      <NT>-1</NT>
                                      <SP1><![CDATA[Mths_In_Yr]]></SP1>
                                      <SP2/>
                                      <FFF/>
                                      <CMT/>
                                    </RgeNmeProps>
                                  </RgeNme>
                                </RgeNmes>
                              </LuTblLbl>
                            </Ctg>
                            <Ctg>
                              <CtgProps>
                                <R>3</R>
                              </CtgProps>
                              <LuTblLbl>
                                <LuTblLblProps>
                                  <CLI>2,1,14,False,8</CLI>
                                  <L><![CDATA[2]]></L>
                                </LuTblLblProps>
                                <RgeNmes>
                                  <RgeNme>
                                    <RgeNmeProps>
                                      <CBPLI>2,1,14,1,1</CBPLI>
                                      <MCN>2</MCN>
                                      <SN>1</SN>
                                      <EN>14</EN>
                                      <CN>8</CN>
                                      <CBN>1</CBN>
                                      <CBPN>1</CBPN>
                                      <PT>2</PT>
                                      <CBPRNT>8</CBPRNT>
                                      <NT>-1</NT>
                                      <SP1><![CDATA[Qtrs_In_Half]]></SP1>
                                      <SP2/>
                                      <FFF/>
                                      <CMT/>
                                    </RgeNmeProps>
                                  </RgeNme>
                                </RgeNmes>
                              </LuTblLbl>
                            </Ctg>
                            <Ctg>
                              <CtgProps>
                                <R>3</R>
                              </CtgProps>
                              <LuTblLbl>
                                <LuTblLblProps>
                                  <CLI>2,1,14,False,9</CLI>
                                  <L><![CDATA[4]]></L>
                                </LuTblLblProps>
                                <RgeNmes>
                                  <RgeNme>
                                    <RgeNmeProps>
                                      <CBPLI>2,1,14,1,1</CBPLI>
                                      <MCN>2</MCN>
                                      <SN>1</SN>
                                      <EN>14</EN>
                                      <CN>9</CN>
                                      <CBN>1</CBN>
                                      <CBPN>1</CBPN>
                                      <PT>2</PT>
                                      <CBPRNT>8</CBPRNT>
                                      <NT>-1</NT>
                                      <SP1><![CDATA[Qtrs_In_Yr]]></SP1>
                                      <SP2/>
                                      <FFF/>
                                      <CMT/>
                                    </RgeNmeProps>
                                  </RgeNme>
                                </RgeNmes>
                              </LuTblLbl>
                            </Ctg>
                            <Ctg>
                              <CtgProps>
                                <R>3</R>
                              </CtgProps>
                              <LuTblLbl>
                                <LuTblLblProps>
                                  <CLI>2,1,14,False,10</CLI>
                                  <L><![CDATA[2]]></L>
                                </LuTblLblProps>
                                <RgeNmes>
                                  <RgeNme>
                                    <RgeNmeProps>
                                      <CBPLI>2,1,14,1,1</CBPLI>
                                      <MCN>2</MCN>
                                      <SN>1</SN>
                                      <EN>14</EN>
                                      <CN>10</CN>
                                      <CBN>1</CBN>
                                      <CBPN>1</CBPN>
                                      <PT>2</PT>
                                      <CBPRNT>8</CBPRNT>
                                      <NT>-1</NT>
                                      <SP1><![CDATA[Halves_In_Yr]]></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Denomination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2</EGN>
                      </ElmtProps>
                      <ClmnBlks>
                        <ClmnBlk>
                          <ClmnBlkProps>
                            <FCPT>0</FCPT>
                            <FCN>4</FCN>
                            <LCPT>0</LCPT>
                            <LCN>4</LCN>
                          </ClmnBlkProps>
                          <ClmnBlkPts>
                            <ClmnBlkPt>
                              <ClmnBlkPtProps>
                                <CBPT>0</CBPT>
                                <ST>25</ST>
                                <VOFFF><![CDATA[=§A¿1,1,1,1,15,0,2,1,1§Z¿&CHOOSE(ROWS(§A¿0,2,1,1,18,1,1,1,0,0,TRUE,FALSE,1,18,1,1,0,0,0,FALSE,FALSE§Z¿),"","'000","Millions","Billions")]]></VOFFF>
                              </ClmnBlkPtProps>
                              <RgeNmes>
                                <RgeNme>
                                  <RgeNmeProps>
                                    <CBPLI>2,1,18,1,1</CBPLI>
                                    <MCN>2</MCN>
                                    <SN>1</SN>
                                    <EN>18</EN>
                                    <CN>0</CN>
                                    <CBN>1</CBN>
                                    <CBPN>1</CBPN>
                                    <PT>1</PT>
                                    <CBPRNT>2</CBPRNT>
                                    <NT>11</NT>
                                    <SP1><![CDATA[Denom]]></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enomination]]></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Denom]]></VOFFF>
                              </ClmnBlkPtProps>
                            </ClmnBlkPt>
                          </ClmnBlkPts>
                        </ClmnBlk>
                      </ClmnBlks>
                      <SubTtls>
                        <SubTtl>
                          <SubTtlHdgRow>
                            <SubTtlHdgRowProps>
                              <STLI>2,1,18,1</STLI>
                              <R>0</R>
                            </SubTtlHdgRowProps>
                          </SubTtlHdgRow>
                          <Ctgs>
                            <Ctg>
                              <CtgProps>
                                <R>3</R>
                              </CtgProps>
                              <LuTblLbl>
                                <LuTblLblProps>
                                  <CLI>2,1,18,False,1</CLI>
                                  <L><![CDATA[Lookup Label <CategoryNumber>.]]></L>
                                </LuTblLblProps>
                              </LuTblLbl>
                            </Ctg>
                            <Ctg>
                              <CtgProps>
                                <R>3</R>
                              </CtgProps>
                              <LuTblLbl>
                                <LuTblLblProps>
                                  <CLI>2,1,18,False,2</CLI>
                                  <L><![CDATA[Lookup Label <CategoryNumber>.]]></L>
                                </LuTblLblProps>
                              </LuTblLbl>
                            </Ctg>
                            <Ctg>
                              <CtgProps>
                                <R>3</R>
                              </CtgProps>
                              <LuTblLbl>
                                <LuTblLblProps>
                                  <CLI>2,1,18,False,3</CLI>
                                  <L><![CDATA[Lookup Label <CategoryNumber>.]]></L>
                                </LuTblLblProps>
                              </LuTblLbl>
                            </Ctg>
                            <Ctg>
                              <CtgProps>
                                <R>3</R>
                              </CtgProps>
                              <LuTblLbl>
                                <LuTblLblProps>
                                  <CLI>2,1,18,False,4</CLI>
                                  <L><![CDATA[Lookup Label <CategoryNumber>.]]></L>
                                </LuTblLblProp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Denomination Conversion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2</EGN>
                      </ElmtProps>
                      <ClmnBlks>
                        <ClmnBlk>
                          <ClmnBlkProps>
                            <FCPT>0</FCPT>
                            <FCN>4</FCN>
                            <LCPT>0</LCPT>
                            <LCN>4</LCN>
                          </ClmnBlkProps>
                          <ClmnBlkPts>
                            <ClmnBlkPt>
                              <ClmnBlkPtProps>
                                <CBPT>0</CBPT>
                                <ST>24</ST>
                                <VOFFF/>
                              </ClmnBlkPtProps>
                              <RgeNmes>
                                <RgeNme>
                                  <RgeNmeProps>
                                    <CBPLI>2,1,22,1,1</CBPLI>
                                    <MCN>2</MCN>
                                    <SN>1</SN>
                                    <EN>22</EN>
                                    <CN>0</CN>
                                    <CBN>1</CBN>
                                    <CBPN>1</CBPN>
                                    <PT>1</PT>
                                    <CBPRNT>2</CBPRNT>
                                    <NT>11</NT>
                                    <SP1><![CDATA[Denom_Conv]]></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enomination Conversion]]></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Denom_Conv]]></VOFFF>
                              </ClmnBlkPtProps>
                            </ClmnBlkPt>
                          </ClmnBlkPts>
                        </ClmnBlk>
                      </ClmnBlks>
                      <SubTtls>
                        <SubTtl>
                          <SubTtlHdgRow>
                            <SubTtlHdgRowProps>
                              <STLI>2,1,22,1</STLI>
                              <R>0</R>
                            </SubTtlHdgRowProps>
                          </SubTtlHdgRow>
                          <Ctgs>
                            <Ctg>
                              <CtgProps>
                                <R>3</R>
                              </CtgProps>
                              <LuTblLbl>
                                <LuTblLblProps>
                                  <CLI>2,1,22,False,1</CLI>
                                  <L><![CDATA[1]]></L>
                                </LuTblLblProps>
                              </LuTblLbl>
                            </Ctg>
                            <Ctg>
                              <CtgProps>
                                <R>3</R>
                              </CtgProps>
                              <LuTblLbl>
                                <LuTblLblProps>
                                  <CLI>2,1,22,False,2</CLI>
                                  <L><![CDATA[1000]]></L>
                                </LuTblLblProps>
                                <RgeNmes>
                                  <RgeNme>
                                    <RgeNmeProps>
                                      <CBPLI>2,1,22,1,1</CBPLI>
                                      <MCN>2</MCN>
                                      <SN>1</SN>
                                      <EN>22</EN>
                                      <CN>2</CN>
                                      <CBN>1</CBN>
                                      <CBPN>1</CBPN>
                                      <PT>2</PT>
                                      <CBPRNT>8</CBPRNT>
                                      <NT>-1</NT>
                                      <SP1><![CDATA[Thousand]]></SP1>
                                      <SP2/>
                                      <FFF/>
                                      <CMT/>
                                    </RgeNmeProps>
                                  </RgeNme>
                                </RgeNmes>
                              </LuTblLbl>
                            </Ctg>
                            <Ctg>
                              <CtgProps>
                                <R>3</R>
                              </CtgProps>
                              <LuTblLbl>
                                <LuTblLblProps>
                                  <CLI>2,1,22,False,3</CLI>
                                  <L><![CDATA[1000000]]></L>
                                </LuTblLblProps>
                                <RgeNmes>
                                  <RgeNme>
                                    <RgeNmeProps>
                                      <CBPLI>2,1,22,1,1</CBPLI>
                                      <MCN>2</MCN>
                                      <SN>1</SN>
                                      <EN>22</EN>
                                      <CN>3</CN>
                                      <CBN>1</CBN>
                                      <CBPN>1</CBPN>
                                      <PT>2</PT>
                                      <CBPRNT>8</CBPRNT>
                                      <NT>-1</NT>
                                      <SP1><![CDATA[Million]]></SP1>
                                      <SP2/>
                                      <FFF/>
                                      <CMT/>
                                    </RgeNmeProps>
                                  </RgeNme>
                                </RgeNmes>
                              </LuTblLbl>
                            </Ctg>
                            <Ctg>
                              <CtgProps>
                                <R>3</R>
                              </CtgProps>
                              <LuTblLbl>
                                <LuTblLblProps>
                                  <CLI>2,1,22,False,4</CLI>
                                  <L><![CDATA[1000000000]]></L>
                                </LuTblLblProps>
                                <RgeNmes>
                                  <RgeNme>
                                    <RgeNmeProps>
                                      <CBPLI>2,1,22,1,1</CBPLI>
                                      <MCN>2</MCN>
                                      <SN>1</SN>
                                      <EN>22</EN>
                                      <CN>4</CN>
                                      <CBN>1</CBN>
                                      <CBPN>1</CBPN>
                                      <PT>2</PT>
                                      <CBPRNT>8</CBPRNT>
                                      <NT>-1</NT>
                                      <SP1><![CDATA[Billion]]></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Model Start Month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5</EGN>
                      </ElmtProps>
                      <ClmnBlks>
                        <ClmnBlk>
                          <ClmnBlkProps>
                            <FCPT>0</FCPT>
                            <FCN>4</FCN>
                            <LCPT>0</LCPT>
                            <LCN>4</LCN>
                          </ClmnBlkProps>
                          <ClmnBlkPts>
                            <ClmnBlkPt>
                              <ClmnBlkPtProps>
                                <CBPT>0</CBPT>
                                <ST>25</ST>
                                <SON>6</SON>
                                <VOFFF><![CDATA[=EOMONTH(DATE(§A¿1,1,1,1,6,0,2,1,1§Z¿-1,§A¿1,1,1,1,5,0,2,1,1§Z¿+ROWS(§A¿0,2,1,1,26,1,1,1,0,0,TRUE,FALSE,1,26,1,1,0,0,0,FALSE,FALSE§Z¿)-1,1),0)+1]]></VOFFF>
                              </ClmnBlkPtProps>
                              <RgeNmes>
                                <RgeNme>
                                  <RgeNmeProps>
                                    <CBPLI>2,1,26,1,1</CBPLI>
                                    <MCN>2</MCN>
                                    <SN>1</SN>
                                    <EN>26</EN>
                                    <CN>0</CN>
                                    <CBN>1</CBN>
                                    <CBPN>1</CBPN>
                                    <PT>1</PT>
                                    <CBPRNT>2</CBPRNT>
                                    <NT>11</NT>
                                    <SP1><![CDATA[Model_Start_Mth]]></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Model Start Mont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Ts_Model_Start_Mth]]></VOFFF>
                              </ClmnBlkPtProps>
                            </ClmnBlkPt>
                          </ClmnBlkPts>
                        </ClmnBlk>
                      </ClmnBlks>
                      <SubTtls>
                        <SubTtl>
                          <SubTtlHdgRow>
                            <SubTtlHdgRowProps>
                              <STLI>2,1,26,1</STLI>
                              <R>0</R>
                            </SubTtlHdgRowProps>
                          </SubTtlHdgRow>
                          <Ctgs>
                            <Ctg>
                              <CtgProps>
                                <R>3</R>
                              </CtgProps>
                              <LuTblLbl>
                                <LuTblLblProps>
                                  <CLI>2,1,26,False,1</CLI>
                                  <L><![CDATA[Lookup Label <CategoryNumber>.]]></L>
                                </LuTblLblProps>
                              </LuTblLbl>
                            </Ctg>
                            <Ctg>
                              <CtgProps>
                                <R>3</R>
                              </CtgProps>
                              <LuTblLbl>
                                <LuTblLblProps>
                                  <CLI>2,1,26,False,2</CLI>
                                  <L><![CDATA[Lookup Label <CategoryNumber>.]]></L>
                                </LuTblLblProps>
                              </LuTblLbl>
                            </Ctg>
                            <Ctg>
                              <CtgProps>
                                <R>3</R>
                              </CtgProps>
                              <LuTblLbl>
                                <LuTblLblProps>
                                  <CLI>2,1,26,False,3</CLI>
                                  <L><![CDATA[Lookup Label <CategoryNumber>.]]></L>
                                </LuTblLblProps>
                              </LuTblLbl>
                            </Ctg>
                            <Ctg>
                              <CtgProps>
                                <R>3</R>
                              </CtgProps>
                              <LuTblLbl>
                                <LuTblLblProps>
                                  <CLI>2,1,26,False,4</CLI>
                                  <L><![CDATA[Lookup Label <CategoryNumber>.]]></L>
                                </LuTblLblProps>
                              </LuTblLbl>
                            </Ctg>
                            <Ctg>
                              <CtgProps>
                                <R>3</R>
                              </CtgProps>
                              <LuTblLbl>
                                <LuTblLblProps>
                                  <CLI>2,1,26,False,5</CLI>
                                  <L><![CDATA[Lookup Label <CategoryNumber>.]]></L>
                                </LuTblLblProps>
                              </LuTblLbl>
                            </Ctg>
                            <Ctg>
                              <CtgProps>
                                <R>3</R>
                              </CtgProps>
                              <LuTblLbl>
                                <LuTblLblProps>
                                  <CLI>2,1,26,False,6</CLI>
                                  <L><![CDATA[Lookup Label <CategoryNumber>.]]></L>
                                </LuTblLblProps>
                              </LuTblLbl>
                            </Ctg>
                            <Ctg>
                              <CtgProps>
                                <R>3</R>
                              </CtgProps>
                              <LuTblLbl>
                                <LuTblLblProps>
                                  <CLI>2,1,26,False,7</CLI>
                                  <L><![CDATA[Lookup Label <CategoryNumber>.]]></L>
                                </LuTblLblProps>
                              </LuTblLbl>
                            </Ctg>
                            <Ctg>
                              <CtgProps>
                                <R>3</R>
                              </CtgProps>
                              <LuTblLbl>
                                <LuTblLblProps>
                                  <CLI>2,1,26,False,8</CLI>
                                  <L><![CDATA[Lookup Label <CategoryNumber>.]]></L>
                                </LuTblLblProps>
                              </LuTblLbl>
                            </Ctg>
                            <Ctg>
                              <CtgProps>
                                <R>3</R>
                              </CtgProps>
                              <LuTblLbl>
                                <LuTblLblProps>
                                  <CLI>2,1,26,False,9</CLI>
                                  <L><![CDATA[Lookup Label <CategoryNumber>.]]></L>
                                </LuTblLblProps>
                              </LuTblLbl>
                            </Ctg>
                            <Ctg>
                              <CtgProps>
                                <R>3</R>
                              </CtgProps>
                              <LuTblLbl>
                                <LuTblLblProps>
                                  <CLI>2,1,26,False,10</CLI>
                                  <L><![CDATA[Lookup Label <CategoryNumber>.]]></L>
                                </LuTblLblProps>
                              </LuTblLbl>
                            </Ctg>
                            <Ctg>
                              <CtgProps>
                                <R>3</R>
                              </CtgProps>
                              <LuTblLbl>
                                <LuTblLblProps>
                                  <CLI>2,1,26,False,11</CLI>
                                  <L><![CDATA[Lookup Label <CategoryNumber>.]]></L>
                                </LuTblLblProps>
                              </LuTblLbl>
                            </Ctg>
                            <Ctg>
                              <CtgProps>
                                <R>3</R>
                              </CtgProps>
                              <LuTblLbl>
                                <LuTblLblProps>
                                  <CLI>2,1,26,False,12</CLI>
                                  <L><![CDATA[Lookup Label <CategoryNumber>.]]></L>
                                </LuTblLblProps>
                              </LuTblLbl>
                            </Ctg>
                          </Ctgs>
                        </SubTtl>
                      </SubTtls>
                      <TtlCtg>
                        <TtlCtgProps>
                          <R>3</R>
                        </TtlCtgProps>
                      </TtlCtg>
                    </Elmt>
                  </Elmts>
                </Sect>
              </Sects>
            </ModComp>
            <ModComp>
              <ModCompProps>
                <MN>1</MN>
                <MCN>3</MCN>
                <MCTK>PT</MCTK>
                <RT><![CDATA[Scenarios]]></RT>
                <ERN>MODMC15</ERN>
                <MCST>-1</MCST>
                <IPMC>False</IPMC>
                <SN>0</SN>
                <LODS>False</LODS>
                <LST>False</LST>
                <RSTF>False</RSTF>
                <STRA>0</STRA>
                <HS>False</HS>
                <IBOA>3</IBOA>
                <IB>True</IB>
                <CI/>
                <PTI><![CDATA[Scenarios]]></PTI>
                <PTP>False</PTP>
                <PTD><![CDATA[Provides a foundation for scalable scenario analysis.]]></PTD>
                <PTMCN>3</PTMCN>
                <CROL>3</CROL>
                <CCOL>3</CCOL>
                <AMFN>0</AMFN>
              </ModCompProps>
              <PrdTitlsBlks>
                <PrdTitlsBlk>
                  <PrdTitlsBlkProps>
                    <LI>3,1</LI>
                    <UPLC>False</UPLC>
                    <PLCT>0</PLCT>
                    <PLCCBPLI/>
                    <PLCRNN>0</PLCRNN>
                    <ICEN>0</ICEN>
                    <ICGT>0</ICGT>
                    <ICOL>3</ICOL>
                    <ICVT>0</ICVT>
                    <ICUM>0</ICUM>
                    <ICLCT>0</ICLCT>
                    <ICLCCBPLI/>
                    <ICLCRNN>0</ICLCRNN>
                    <HUC>False</HUC>
                  </PrdTitlsBlkProps>
                </PrdTitlsBlk>
                <PrdTitlsBlk>
                  <PrdTitlsBlkProps>
                    <LI>3,2</LI>
                    <UPLC>False</UPLC>
                    <PLCT>0</PLCT>
                    <PLCCBPLI/>
                    <PLCRNN>0</PLCRNN>
                    <ICEN>0</ICEN>
                    <ICGT>0</ICGT>
                    <ICOL>3</ICOL>
                    <ICVT>0</ICVT>
                    <ICUM>0</ICUM>
                    <ICLCT>0</ICLCT>
                    <ICLCCBPLI/>
                    <ICLCRNN>0</ICLCRNN>
                    <HUC>False</HUC>
                  </PrdTitlsBlkProps>
                </PrdTitlsBlk>
                <PrdTitlsBlk>
                  <PrdTitlsBlkProps>
                    <LI>3,3</LI>
                    <UPLC>True</UPLC>
                    <PLCT>2</PLCT>
                    <PLCCBPLI>1,1,20,2,1</PLCCBPLI>
                    <PLCRNN>1</PLCRNN>
                    <ICEN>0</ICEN>
                    <ICGT>0</ICGT>
                    <ICOL>3</ICOL>
                    <ICVT>0</ICVT>
                    <ICUM>0</ICUM>
                    <ICLCT>0</ICLCT>
                    <ICLCCBPLI/>
                    <ICLCRNN>0</ICLCRNN>
                    <HUC>False</HUC>
                  </PrdTitlsBlkProps>
                </PrdTitlsBlk>
              </PrdTitlsBlks>
              <ClmnSpns>
                <ClmnSpn>
                  <ClmnSpnProps>
                    <PT>1</PT>
                    <SN>0</SN>
                    <MCN>3</MCN>
                    <CWSN>1</CWSN>
                    <FCPT>3</FCPT>
                    <FCN>9</FCN>
                    <FCOT>0</FCOT>
                    <FCOC>6</FCOC>
                    <FCPTBMCN>3</FCPTBMCN>
                    <FCPTBN>2</FCPTBN>
                    <LCPT>3</LCPT>
                    <LCN>12</LCN>
                    <LCOT>1</LCOT>
                    <LCOC>0</LCOC>
                    <LCPTBMCN>3</LCPTBMCN>
                    <LCPTBN>3</LCPTBN>
                    <CW>15</CW>
                    <OL>1</OL>
                    <HD>False</HD>
                  </ClmnSpnProps>
                </ClmnSpn>
              </ClmnSpns>
              <FrzPnes>
                <FrzPnesProps>
                  <MN>1</MN>
                  <MCN>3</MCN>
                  <FPRPT>4</FPRPT>
                  <FPREN>2</FPREN>
                  <FPCPT>0</FPCPT>
                  <FPCN>2</FPCN>
                  <FPCOT>0</FPCOT>
                  <FPCOC>0</FPCOC>
                  <FPCPTBN>0</FPCPTBN>
                </FrzPnesProps>
              </FrzPnes>
              <Sects>
                <Sect>
                  <SectProps>
                    <LI>3,1</LI>
                    <EGN>0</EGN>
                  </SectProps>
                  <Elmts>
                    <Elmt>
                      <ElmtProps>
                        <CPT>2</CPT>
                      </ElmtProps>
                      <ClmnBlks>
                        <ClmnBlk>
                          <ClmnBlkProps>
                            <FCPT>0</FCPT>
                            <FCN>2</FCN>
                            <LCPT>1</LCPT>
                            <LCN>2</LCN>
                            <LCOT>0</LCOT>
                            <LCOC>0</LCOC>
                          </ClmnBlkProps>
                          <ClmnBlkPts>
                            <ClmnBlkPt>
                              <ClmnBlkPtProps>
                                <CBPT>5</CBPT>
                                <ST>33</ST>
                                <VOFFF/>
                              </ClmnBlkPtProps>
                            </ClmnBlkPt>
                          </ClmnBlkPts>
                        </ClmnBlk>
                        <ClmnBlk>
                          <ClmnBlkProps>
                            <FCPT>2</FCPT>
                            <FCN>3</FCN>
                            <FCOT>1</FCOT>
                            <FCOC>1</FCOC>
                            <LCPT>1</LCPT>
                            <LCN>9</LCN>
                            <LCOT>0</LCOT>
                            <LCOC>6</LCOC>
                          </ClmnBlkProps>
                          <ClmnBlkPts>
                            <ClmnBlkPt>
                              <ClmnBlkPtProps>
                                <CBPT>5</CBPT>
                                <ST>33</ST>
                                <VOFFF/>
                              </ClmnBlkPtProps>
                            </ClmnBlkPt>
                          </ClmnBlkPts>
                        </ClmnBlk>
                        <ClmnBlk>
                          <ClmnBlkProps>
                            <FCPT>2</FCPT>
                            <FCN>10</FCN>
                            <FCOT>1</FCOT>
                            <FCOC>1</FCOC>
                            <LCPT>1</LCPT>
                            <LCN>12</LCN>
                            <LCOT>0</LCOT>
                            <LCOC>2</LCOC>
                          </ClmnBlkProps>
                          <ClmnBlkPts>
                            <ClmnBlkPt>
                              <ClmnBlkPtProps>
                                <CBPT>5</CBPT>
                                <ST>33</ST>
                                <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22</ST>
                                <SON>1</SON>
                                <VOFFF><![CDATA[Scenario]]></VOFFF>
                              </ClmnBlkPtProps>
                            </ClmnBlkPt>
                          </ClmnBlkPts>
                        </ClmnBlk>
                        <ClmnBlk>
                          <ClmnBlkProps>
                            <FCPT>2</FCPT>
                            <FCN>3</FCN>
                            <FCOT>1</FCOT>
                            <FCOC>1</FCOC>
                            <LCPT>1</LCPT>
                            <LCN>9</LCN>
                            <LCOT>0</LCOT>
                            <LCOC>6</LCOC>
                          </ClmnBlkProps>
                          <ClmnBlkPts>
                            <ClmnBlkPt>
                              <ClmnBlkPtProps>
                                <CBPT>5</CBPT>
                                <ST>22</ST>
                                <SON>1</SON>
                                <VOFFF/>
                              </ClmnBlkPtProps>
                            </ClmnBlkPt>
                          </ClmnBlkPts>
                        </ClmnBlk>
                        <ClmnBlk>
                          <ClmnBlkProps>
                            <FCPT>2</FCPT>
                            <FCN>10</FCN>
                            <FCOT>1</FCOT>
                            <FCOC>1</FCOC>
                            <LCPT>1</LCPT>
                            <LCN>12</LCN>
                            <LCOT>0</LCOT>
                            <LCOC>2</LCOC>
                          </ClmnBlkProps>
                          <ClmnBlkPts>
                            <ClmnBlkPt>
                              <ClmnBlkPtProps>
                                <CBPT>5</CBPT>
                                <ST>22</ST>
                                <SON>10</SON>
                                <VOFFF><![CDATA[=COLUMNS(§A¿9,3,0,1,1,2,3,1,-1,0,0,FALSE,TRUE,1,2,3,1,-1,0,0,FALSE,FALSE§Z¿)]]></VOFFF>
                              </ClmnBlkPtProps>
                            </ClmnBlkPt>
                          </ClmnBlkPts>
                        </ClmnBlk>
                      </ClmnBlks>
                      <TtlCtg>
                        <TtlCtgProps>
                          <R>1</R>
                        </TtlCtgProps>
                      </TtlCtg>
                    </Elmt>
                  </Elmts>
                </Sect>
              </Sects>
            </ModComp>
            <ModComp>
              <ModCompProps>
                <MN>1</MN>
                <MCN>4</MCN>
                <MCTK>PT</MCTK>
                <RT><![CDATA[Monthly]]></RT>
                <ERN>MODMC3</ERN>
                <MCST>-1</MCST>
                <IPMC>False</IPMC>
                <SN>0</SN>
                <LODS>False</LODS>
                <LST>False</LST>
                <RSTF>False</RSTF>
                <STRA>0</STRA>
                <HS>False</HS>
                <IBOA>4</IBOA>
                <IB>False</IB>
                <CI/>
                <PTI><![CDATA[Mthly]]></PTI>
                <PTP>True</PTP>
                <PTD><![CDATA[Monthly time series periods.]]></PTD>
                <PTMCN>4</PTMCN>
                <CROL>3</CROL>
                <CCOL>3</CCOL>
                <AMFN>0</AMFN>
              </ModCompProps>
              <PrdTitlsBlks>
                <PrdTitlsBlk>
                  <PrdTitlsBlkProps>
                    <LI>4,1</LI>
                    <UPLC>False</UPLC>
                    <PLCT>0</PLCT>
                    <PLCCBPLI/>
                    <PLCRNN>0</PLCRNN>
                    <ICEN>0</ICEN>
                    <ICGT>0</ICGT>
                    <ICOL>3</ICOL>
                    <ICVT>0</ICVT>
                    <ICUM>0</ICUM>
                    <ICLCT>0</ICLCT>
                    <ICLCCBPLI/>
                    <ICLCRNN>0</ICLCRNN>
                    <HUC>False</HUC>
                  </PrdTitlsBlkProps>
                </PrdTitlsBlk>
                <PrdTitlsBlk>
                  <PrdTitlsBlkProps>
                    <LI>4,2</LI>
                    <UPLC>False</UPLC>
                    <PLCT>0</PLCT>
                    <PLCCBPLI/>
                    <PLCRNN>0</PLCRNN>
                    <ICEN>0</ICEN>
                    <ICGT>0</ICGT>
                    <ICOL>3</ICOL>
                    <ICVT>0</ICVT>
                    <ICUM>0</ICUM>
                    <ICLCT>0</ICLCT>
                    <ICLCCBPLI/>
                    <ICLCRNN>0</ICLCRNN>
                    <HUC>False</HUC>
                  </PrdTitlsBlkProps>
                </PrdTitlsBlk>
                <PrdTitlsBlk>
                  <PrdTitlsBlkProps>
                    <LI>4,3</LI>
                    <UPLC>True</UPLC>
                    <PLCT>2</PLCT>
                    <PLCCBPLI>1,1,8,2,1</PLCCBPLI>
                    <PLCRNN>1</PLCRNN>
                    <ICEN>0</ICEN>
                    <ICGT>0</ICGT>
                    <ICOL>3</ICOL>
                    <ICVT>0</ICVT>
                    <ICUM>0</ICUM>
                    <ICLCT>0</ICLCT>
                    <ICLCCBPLI/>
                    <ICLCRNN>0</ICLCRNN>
                    <HUC>False</HUC>
                  </PrdTitlsBlkProps>
                </PrdTitlsBlk>
              </PrdTitlsBlks>
              <ClmnSpns>
                <ClmnSpn>
                  <ClmnSpnProps>
                    <PT>1</PT>
                    <SN>0</SN>
                    <MCN>4</MCN>
                    <CWSN>1</CWSN>
                    <FCPT>3</FCPT>
                    <FCN>5</FCN>
                    <FCOT>0</FCOT>
                    <FCOC>2</FCOC>
                    <FCPTBMCN>4</FCPTBMCN>
                    <FCPTBN>2</FCPTBN>
                    <LCPT>3</LCPT>
                    <LCN>5</LCN>
                    <LCOT>0</LCOT>
                    <LCOC>2</LCOC>
                    <LCPTBMCN>4</LCPTBMCN>
                    <LCPTBN>2</LCPTBN>
                    <CW>11</CW>
                    <OL>1</OL>
                    <HD>False</HD>
                  </ClmnSpnProps>
                </ClmnSpn>
              </ClmnSpns>
              <FrzPnes>
                <FrzPnesProps>
                  <MN>1</MN>
                  <MCN>4</MCN>
                  <FPRPT>4</FPRPT>
                  <FPREN>13</FPREN>
                  <FPCPT>3</FPCPT>
                  <FPCN>10</FPCN>
                  <FPCOT>0</FPCOT>
                  <FPCOC>0</FPCOC>
                  <FPCPTBN>3</FPCPTBN>
                </FrzPnesProps>
              </FrzPnes>
              <Sects>
                <Sect>
                  <SectProps>
                    <LI>4,1</LI>
                    <EGN>0</EGN>
                  </SectProps>
                  <Elmts>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22</ST>
                                <VOFFF><![CDATA[Month Ending]]></VOFFF>
                              </ClmnBlkPtProps>
                            </ClmnBlkPt>
                          </ClmnBlkPts>
                        </ClmnBlk>
                        <ClmnBlk>
                          <ClmnBlkProps>
                            <FCPT>2</FCPT>
                            <FCN>3</FCN>
                            <FCOT>1</FCOT>
                            <FCOC>1</FCOC>
                            <LCPT>1</LCPT>
                            <LCN>9</LCN>
                            <LCOT>0</LCOT>
                            <LCOC>6</LCOC>
                          </ClmnBlkProps>
                          <ClmnBlkPts>
                            <ClmnBlkPt>
                              <ClmnBlkPtProps>
                                <CBPT>5</CBPT>
                                <ST>22</ST>
                                <VOFFF/>
                              </ClmnBlkPtProps>
                            </ClmnBlkPt>
                          </ClmnBlkPts>
                        </ClmnBlk>
                        <ClmnBlk>
                          <ClmnBlkProps>
                            <FCPT>2</FCPT>
                            <FCN>10</FCN>
                            <FCOT>1</FCOT>
                            <FCOC>1</FCOC>
                            <LCPT>1</LCPT>
                            <LCN>45</LCN>
                            <LCOT>0</LCOT>
                            <LCOC>35</LCOC>
                          </ClmnBlkProps>
                          <ClmnBlkPts>
                            <ClmnBlkPt>
                              <ClmnBlkPtProps>
                                <CBPT>5</CBPT>
                                <ST>22</ST>
                                <SON>7</SON>
                                <VOFFF><![CDATA[=TEXT(§A¿9,4,0,0,1,5,3,1,-1,0,0,FALSE,FALSE§Z¿,"mmm-yy")]]></VOFFF>
                              </ClmnBlkPtProps>
                            </ClmnBlkPt>
                          </ClmnBlkPts>
                        </ClmnBlk>
                      </ClmnBlks>
                      <TtlCtg/>
                    </Elmt>
                    <Elmt>
                      <ElmtProps>
                        <CPT>2</CPT>
                      </ElmtProps>
                      <ClmnBlks>
                        <ClmnBlk>
                          <ClmnBlkProps>
                            <FCPT>0</FCPT>
                            <FCN>2</FCN>
                            <LCPT>1</LCPT>
                            <LCN>2</LCN>
                            <LCOT>0</LCOT>
                            <LCOC>0</LCOC>
                          </ClmnBlkProps>
                          <ClmnBlkPts>
                            <ClmnBlkPt>
                              <ClmnBlkPtProps>
                                <CBPT>5</CBPT>
                                <ST>22</ST>
                                <SON>1</SON>
                                <VOFFF><![CDATA[Month]]></VOFFF>
                              </ClmnBlkPtProps>
                            </ClmnBlkPt>
                          </ClmnBlkPts>
                        </ClmnBlk>
                        <ClmnBlk>
                          <ClmnBlkProps>
                            <FCPT>2</FCPT>
                            <FCN>3</FCN>
                            <FCOT>1</FCOT>
                            <FCOC>1</FCOC>
                            <LCPT>1</LCPT>
                            <LCN>9</LCN>
                            <LCOT>0</LCOT>
                            <LCOC>6</LCOC>
                          </ClmnBlkProps>
                          <ClmnBlkPts>
                            <ClmnBlkPt>
                              <ClmnBlkPtProps>
                                <CBPT>5</CBPT>
                                <ST>22</ST>
                                <SON>1</SON>
                                <VOFFF/>
                              </ClmnBlkPtProps>
                            </ClmnBlkPt>
                          </ClmnBlkPts>
                        </ClmnBlk>
                        <ClmnBlk>
                          <ClmnBlkProps>
                            <FCPT>2</FCPT>
                            <FCN>10</FCN>
                            <FCOT>1</FCOT>
                            <FCOC>1</FCOC>
                            <LCPT>1</LCPT>
                            <LCN>45</LCN>
                            <LCOT>0</LCOT>
                            <LCOC>35</LCOC>
                          </ClmnBlkProps>
                          <ClmnBlkPts>
                            <ClmnBlkPt>
                              <ClmnBlkPtProps>
                                <CBPT>5</CBPT>
                                <ST>22</ST>
                                <SON>8</SON>
                                <VOFFF><![CDATA[="M"&§A¿9,4,0,0,1,8,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17</ST>
                                <VOFFF><![CDATA[=EDATE(§A¿1,1,1,1,9,0,2,1,1§Z¿,§A¿9,4,0,0,1,6,3,1,-1,0,0,FALSE,FALSE§Z¿-1)]]></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17</ST>
                                <VOFFF><![CDATA[=EDATE(§A¿9,4,0,0,1,4,3,1,-1,0,0,FALSE,FALSE§Z¿,1)-1]]></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18</ST>
                                <SON>3</SON>
                                <VOFFF><![CDATA[=COLUMNS(§A¿9,4,0,1,1,6,3,1,-1,0,0,FALSE,TRUE,1,6,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Financial Year]]></VOFFF>
                              </ClmnBlkPtProps>
                            </ClmnBlkPt>
                          </ClmnBlkPts>
                        </ClmnBlk>
                        <ClmnBlk>
                          <ClmnBlkProps>
                            <FCPT>2</FCPT>
                            <FCN>3</FCN>
                            <FCOT>1</FCOT>
                            <FCOC>1</FCOC>
                            <LCPT>1</LCPT>
                            <LCN>9</LCN>
                            <LCOT>0</LCOT>
                            <LCOC>6</LCOC>
                          </ClmnBlkProps>
                          <ClmnBlkPts>
                            <ClmnBlkPt>
                              <ClmnBlkPtProps>
                                <CBPT>5</CBPT>
                                <ST>33</ST>
                                <VOFFF/>
                              </ClmnBlkPtProps>
                            </ClmnBlkPt>
                          </ClmnBlkPts>
                        </ClmnBlk>
                        <ClmnBlk>
                          <ClmnBlkProps>
                            <FCPT>2</FCPT>
                            <FCN>10</FCN>
                            <FCOT>1</FCOT>
                            <FCOC>1</FCOC>
                            <LCPT>1</LCPT>
                            <LCN>45</LCN>
                            <LCOT>0</LCOT>
                            <LCOC>35</LCOC>
                          </ClmnBlkProps>
                          <ClmnBlkPts>
                            <ClmnBlkPt>
                              <ClmnBlkPtProps>
                                <CBPT>5</CBPT>
                                <ST>16</ST>
                                <VOFFF><![CDATA[=YEAR(§A¿9,4,0,0,1,5,3,1,-1,0,0,FALSE,FALSE§Z¿)+IF(MONTH(§A¿9,4,0,0,1,5,3,1,-1,0,0,FALSE,FALSE§Z¿)>§A¿1,1,1,1,5,0,2,1,1§Z¿,1,0)]]></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Month Numb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18</ST>
                                <SON>3</SON>
                                <VOFFF><![CDATA[=MOD(MONTH(§A¿9,4,0,0,1,5,3,1,-1,0,0,FALSE,FALSE§Z¿)-§A¿1,1,1,1,5,0,2,1,1§Z¿-1,§A¿1,2,2,1,14,7,1,1,1§Z¿)+1]]></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Month Key]]></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6</ST>
                                <SON>7</SON>
                                <VOFFF><![CDATA[="M"&§A¿9,4,0,0,1,8,3,1,-1,0,0,FALSE,FALSE§Z¿&"-"&§A¿9,4,0,0,1,7,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Quarter Key]]></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45</LCN>
                            <LCOT>0</LCOT>
                            <LCOC>35</LCOC>
                          </ClmnBlkProps>
                          <ClmnBlkPts>
                            <ClmnBlkPt>
                              <ClmnBlkPtProps>
                                <CBPT>5</CBPT>
                                <ST>6</ST>
                                <SON>7</SON>
                                <VOFFF><![CDATA[="Q"&INT((§A¿9,4,0,0,1,8,3,1,-1,0,0,FALSE,FALSE§Z¿-1)/§A¿1,2,2,1,14,5,1,1,1§Z¿)+1&"-"&§A¿9,4,0,0,1,7,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33</ST>
                                <VOFFF><![CDATA[Weekdays]]></VOFFF>
                              </ClmnBlkPtProps>
                            </ClmnBlkPt>
                          </ClmnBlkPts>
                        </ClmnBlk>
                        <ClmnBlk>
                          <ClmnBlkProps>
                            <FCPT>2</FCPT>
                            <FCN>3</FCN>
                            <FCOT>1</FCOT>
                            <FCOC>1</FCOC>
                            <LCPT>1</LCPT>
                            <LCN>9</LCN>
                            <LCOT>0</LCOT>
                            <LCOC>6</LCOC>
                          </ClmnBlkProps>
                          <ClmnBlkPts>
                            <ClmnBlkPt>
                              <ClmnBlkPtProps>
                                <CBPT>5</CBPT>
                                <ST>33</ST>
                                <VOFFF/>
                              </ClmnBlkPtProps>
                            </ClmnBlkPt>
                          </ClmnBlkPts>
                        </ClmnBlk>
                        <ClmnBlk>
                          <ClmnBlkProps>
                            <FCPT>2</FCPT>
                            <FCN>10</FCN>
                            <FCOT>1</FCOT>
                            <FCOC>1</FCOC>
                            <LCPT>1</LCPT>
                            <LCN>45</LCN>
                            <LCOT>0</LCOT>
                            <LCOC>35</LCOC>
                          </ClmnBlkProps>
                          <ClmnBlkPts>
                            <ClmnBlkPt>
                              <ClmnBlkPtProps>
                                <CBPT>5</CBPT>
                                <ST>33</ST>
                                <VOFFF><![CDATA[=NETWORKDAYS( §A¿9,4,0,0,1,4,3,1,-1,0,0,FALSE,FALSE§Z¿,§A¿9,4,0,0,1,5,3,1,-1,0,0,FALSE,FALSE§Z¿ )]]></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33</ST>
                                <VOFFF><![CDATA[Weeks]]></VOFFF>
                              </ClmnBlkPtProps>
                            </ClmnBlkPt>
                          </ClmnBlkPts>
                        </ClmnBlk>
                        <ClmnBlk>
                          <ClmnBlkProps>
                            <FCPT>2</FCPT>
                            <FCN>3</FCN>
                            <FCOT>1</FCOT>
                            <FCOC>1</FCOC>
                            <LCPT>1</LCPT>
                            <LCN>9</LCN>
                            <LCOT>0</LCOT>
                            <LCOC>6</LCOC>
                          </ClmnBlkProps>
                          <ClmnBlkPts>
                            <ClmnBlkPt>
                              <ClmnBlkPtProps>
                                <CBPT>5</CBPT>
                                <ST>33</ST>
                                <VOFFF/>
                              </ClmnBlkPtProps>
                            </ClmnBlkPt>
                          </ClmnBlkPts>
                        </ClmnBlk>
                        <ClmnBlk>
                          <ClmnBlkProps>
                            <FCPT>2</FCPT>
                            <FCN>10</FCN>
                            <FCOT>1</FCOT>
                            <FCOC>1</FCOC>
                            <LCPT>1</LCPT>
                            <LCN>45</LCN>
                            <LCOT>0</LCOT>
                            <LCOC>35</LCOC>
                          </ClmnBlkProps>
                          <ClmnBlkPts>
                            <ClmnBlkPt>
                              <ClmnBlkPtProps>
                                <CBPT>5</CBPT>
                                <ST>33</ST>
                                <VOFFF><![CDATA[=§A¿9,4,0,0,1,11,3,1,-1,0,0,FALSE,FALSE§Z¿/5]]></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SON>1</SON>
                                <VOFFF><![CDATA[Half Key]]></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45</LCN>
                            <LCOT>0</LCOT>
                            <LCOC>35</LCOC>
                          </ClmnBlkProps>
                          <ClmnBlkPts>
                            <ClmnBlkPt>
                              <ClmnBlkPtProps>
                                <CBPT>5</CBPT>
                                <ST>6</ST>
                                <SON>8</SON>
                                <VOFFF><![CDATA[="H"&INT((§A¿9,4,0,0,1,8,3,1,-1,0,0,FALSE,FALSE§Z¿-1)/§A¿1,2,2,1,14,6,1,1,1§Z¿)+1&"-"&§A¿9,4,0,0,1,7,3,1,-1,0,0,FALSE,FALSE§Z¿]]></VOFFF>
                              </ClmnBlkPtProps>
                            </ClmnBlkPt>
                          </ClmnBlkPts>
                        </ClmnBlk>
                      </ClmnBlks>
                      <TtlCtg>
                        <TtlCtgProps>
                          <R>1</R>
                        </TtlCtgProps>
                      </TtlCtg>
                    </Elmt>
                  </Elmts>
                </Sect>
              </Sects>
            </ModComp>
            <ModComp>
              <ModCompProps>
                <MN>1</MN>
                <MCN>5</MCN>
                <MCTK>PT</MCTK>
                <RT><![CDATA[Quarterly]]></RT>
                <ERN>MODMC4</ERN>
                <MCST>-1</MCST>
                <IPMC>False</IPMC>
                <SN>0</SN>
                <LODS>False</LODS>
                <LST>False</LST>
                <RSTF>False</RSTF>
                <STRA>0</STRA>
                <HS>False</HS>
                <IBOA>5</IBOA>
                <IB>False</IB>
                <CI/>
                <PTI><![CDATA[Qtrly]]></PTI>
                <PTP>False</PTP>
                <PTD><![CDATA[Quarterly time series periods.]]></PTD>
                <PTMCN>5</PTMCN>
                <CROL>3</CROL>
                <CCOL>3</CCOL>
                <AMFN>0</AMFN>
              </ModCompProps>
              <PrdTitlsBlks>
                <PrdTitlsBlk>
                  <PrdTitlsBlkProps>
                    <LI>5,1</LI>
                    <UPLC>False</UPLC>
                    <PLCT>0</PLCT>
                    <PLCCBPLI/>
                    <PLCRNN>0</PLCRNN>
                    <ICEN>0</ICEN>
                    <ICGT>0</ICGT>
                    <ICOL>3</ICOL>
                    <ICVT>0</ICVT>
                    <ICUM>0</ICUM>
                    <ICLCT>0</ICLCT>
                    <ICLCCBPLI/>
                    <ICLCRNN>0</ICLCRNN>
                    <HUC>False</HUC>
                  </PrdTitlsBlkProps>
                </PrdTitlsBlk>
                <PrdTitlsBlk>
                  <PrdTitlsBlkProps>
                    <LI>5,2</LI>
                    <UPLC>False</UPLC>
                    <PLCT>0</PLCT>
                    <PLCCBPLI/>
                    <PLCRNN>0</PLCRNN>
                    <ICEN>0</ICEN>
                    <ICGT>0</ICGT>
                    <ICOL>3</ICOL>
                    <ICVT>0</ICVT>
                    <ICUM>0</ICUM>
                    <ICLCT>0</ICLCT>
                    <ICLCCBPLI/>
                    <ICLCRNN>0</ICLCRNN>
                    <HUC>False</HUC>
                  </PrdTitlsBlkProps>
                </PrdTitlsBlk>
                <PrdTitlsBlk>
                  <PrdTitlsBlkProps>
                    <LI>5,3</LI>
                    <UPLC>True</UPLC>
                    <PLCT>2</PLCT>
                    <PLCCBPLI>1,1,11,2,1</PLCCBPLI>
                    <PLCRNN>1</PLCRNN>
                    <ICEN>0</ICEN>
                    <ICGT>0</ICGT>
                    <ICOL>3</ICOL>
                    <ICVT>0</ICVT>
                    <ICUM>0</ICUM>
                    <ICLCT>0</ICLCT>
                    <ICLCCBPLI/>
                    <ICLCRNN>0</ICLCRNN>
                    <HUC>False</HUC>
                  </PrdTitlsBlkProps>
                </PrdTitlsBlk>
              </PrdTitlsBlks>
              <FrzPnes>
                <FrzPnesProps>
                  <MN>1</MN>
                  <MCN>5</MCN>
                  <FPRPT>4</FPRPT>
                  <FPREN>10</FPREN>
                  <FPCPT>0</FPCPT>
                  <FPCN>2</FPCN>
                  <FPCOT>0</FPCOT>
                  <FPCOC>0</FPCOC>
                  <FPCPTBN>0</FPCPTBN>
                </FrzPnesProps>
              </FrzPnes>
              <Sects>
                <Sect>
                  <SectProps>
                    <LI>5,1</LI>
                    <EGN>0</EGN>
                  </SectProps>
                  <Elmts>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22</ST>
                                <VOFFF><![CDATA[Quarter Ending]]></VOFFF>
                              </ClmnBlkPtProps>
                            </ClmnBlkPt>
                          </ClmnBlkPts>
                        </ClmnBlk>
                        <ClmnBlk>
                          <ClmnBlkProps>
                            <FCPT>2</FCPT>
                            <FCN>3</FCN>
                            <FCOT>1</FCOT>
                            <FCOC>1</FCOC>
                            <LCPT>1</LCPT>
                            <LCN>9</LCN>
                            <LCOT>0</LCOT>
                            <LCOC>6</LCOC>
                          </ClmnBlkProps>
                          <ClmnBlkPts>
                            <ClmnBlkPt>
                              <ClmnBlkPtProps>
                                <CBPT>5</CBPT>
                                <ST>22</ST>
                                <VOFFF/>
                              </ClmnBlkPtProps>
                            </ClmnBlkPt>
                          </ClmnBlkPts>
                        </ClmnBlk>
                        <ClmnBlk>
                          <ClmnBlkProps>
                            <FCPT>2</FCPT>
                            <FCN>10</FCN>
                            <FCOT>1</FCOT>
                            <FCOC>1</FCOC>
                            <LCPT>1</LCPT>
                            <LCN>21</LCN>
                            <LCOT>0</LCOT>
                            <LCOC>11</LCOC>
                          </ClmnBlkProps>
                          <ClmnBlkPts>
                            <ClmnBlkPt>
                              <ClmnBlkPtProps>
                                <CBPT>5</CBPT>
                                <ST>22</ST>
                                <SON>7</SON>
                                <VOFFF><![CDATA[=TEXT(§A¿9,5,0,0,1,5,3,1,-1,0,0,FALSE,FALSE§Z¿,"mmm-yy")]]></VOFFF>
                              </ClmnBlkPtProps>
                            </ClmnBlkPt>
                          </ClmnBlkPts>
                        </ClmnBlk>
                      </ClmnBlks>
                      <TtlCtg/>
                    </Elmt>
                    <Elmt>
                      <ElmtProps>
                        <CPT>2</CPT>
                      </ElmtProps>
                      <ClmnBlks>
                        <ClmnBlk>
                          <ClmnBlkProps>
                            <FCPT>0</FCPT>
                            <FCN>2</FCN>
                            <LCPT>1</LCPT>
                            <LCN>2</LCN>
                            <LCOT>0</LCOT>
                            <LCOC>0</LCOC>
                          </ClmnBlkProps>
                          <ClmnBlkPts>
                            <ClmnBlkPt>
                              <ClmnBlkPtProps>
                                <CBPT>5</CBPT>
                                <ST>22</ST>
                                <SON>1</SON>
                                <VOFFF><![CDATA[Quarter]]></VOFFF>
                              </ClmnBlkPtProps>
                            </ClmnBlkPt>
                          </ClmnBlkPts>
                        </ClmnBlk>
                        <ClmnBlk>
                          <ClmnBlkProps>
                            <FCPT>2</FCPT>
                            <FCN>3</FCN>
                            <FCOT>1</FCOT>
                            <FCOC>1</FCOC>
                            <LCPT>1</LCPT>
                            <LCN>9</LCN>
                            <LCOT>0</LCOT>
                            <LCOC>6</LCOC>
                          </ClmnBlkProps>
                          <ClmnBlkPts>
                            <ClmnBlkPt>
                              <ClmnBlkPtProps>
                                <CBPT>5</CBPT>
                                <ST>22</ST>
                                <SON>1</SON>
                                <VOFFF/>
                              </ClmnBlkPtProps>
                            </ClmnBlkPt>
                          </ClmnBlkPts>
                        </ClmnBlk>
                        <ClmnBlk>
                          <ClmnBlkProps>
                            <FCPT>2</FCPT>
                            <FCN>10</FCN>
                            <FCOT>1</FCOT>
                            <FCOC>1</FCOC>
                            <LCPT>1</LCPT>
                            <LCN>21</LCN>
                            <LCOT>0</LCOT>
                            <LCOC>11</LCOC>
                          </ClmnBlkProps>
                          <ClmnBlkPts>
                            <ClmnBlkPt>
                              <ClmnBlkPtProps>
                                <CBPT>5</CBPT>
                                <ST>22</ST>
                                <SON>8</SON>
                                <VOFFF><![CDATA[=IF(§A¿9,5,0,0,1,5,3,1,-1,0,0,FALSE,FALSE§Z¿<>EOMONTH(§A¿9,5,0,0,1,4,3,1,-1,0,0,FALSE,FALSE§Z¿,§A¿1,2,2,1,14,5,1,1,1§Z¿-1),§A¿1,1,1,1,14,0,2,1,1§Z¿,"")&"Q"&§A¿9,5,0,0,1,8,3,1,-1,0,0,FALSE,FALSE§Z¿]]>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17</ST>
                                <VOFFF><![CDATA[=MAX(EDATE(§A¿1,1,1,1,9,0,2,1,1§Z¿,(§A¿9,5,0,0,1,6,3,1,-1,0,0,FALSE,FALSE§Z¿-1)*§A¿1,2,2,1,14,5,1,1,1§Z¿-MOD(MONTH(§A¿1,1,1,1,9,0,2,1,1§Z¿)-§A¿1,1,1,1,5,0,2,1,1§Z¿-1,§A¿1,2,2,1,14,5,1,1,1§Z¿)),§A¿1,1,1,1,9,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17</ST>
                                <VOFFF><![CDATA[=MIN(EOMONTH(§A¿1,1,1,1,9,0,2,1,1§Z¿,§A¿9,5,0,0,1,6,3,1,-1,0,0,FALSE,FALSE§Z¿*§A¿1,2,2,1,14,5,1,1,1§Z¿-MOD(MONTH(§A¿1,1,1,1,9,0,2,1,1§Z¿)-§A¿1,1,1,1,5,0,2,1,1§Z¿-1,§A¿1,2,2,1,14,5,1,1,1§Z¿)-1),§A¿1,1,1,1,10,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18</ST>
                                <SON>3</SON>
                                <VOFFF><![CDATA[=COLUMNS(§A¿9,5,0,1,1,6,3,1,-1,0,0,FALSE,TRUE,1,6,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Financial Yea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16</ST>
                                <VOFFF><![CDATA[=YEAR(§A¿9,5,0,0,1,5,3,1,-1,0,0,FALSE,FALSE§Z¿)+IF(MONTH(§A¿9,5,0,0,1,5,3,1,-1,0,0,FALSE,FALSE§Z¿)>§A¿1,1,1,1,5,0,2,1,1§Z¿,1,0)]]></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Quarter Numb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18</ST>
                                <SON>3</SON>
                                <VOFFF><![CDATA[=ROUNDUP((MOD(MONTH(§A¿9,5,0,0,1,5,3,1,-1,0,0,FALSE,FALSE§Z¿)-§A¿1,1,1,1,5,0,2,1,1§Z¿-1,§A¿1,2,2,1,14,7,1,1,1§Z¿)+1)/§A¿1,2,2,1,14,5,1,1,1§Z¿,0)]]></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Quarter Key]]></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21</LCN>
                            <LCOT>0</LCOT>
                            <LCOC>11</LCOC>
                          </ClmnBlkProps>
                          <ClmnBlkPts>
                            <ClmnBlkPt>
                              <ClmnBlkPtProps>
                                <CBPT>5</CBPT>
                                <ST>6</ST>
                                <SON>7</SON>
                                <VOFFF><![CDATA[="Q"&§A¿9,5,0,0,1,8,3,1,-1,0,0,FALSE,FALSE§Z¿&"-"&§A¿9,5,0,0,1,7,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SON>1</SON>
                                <VOFFF><![CDATA[Half Key]]></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21</LCN>
                            <LCOT>0</LCOT>
                            <LCOC>11</LCOC>
                          </ClmnBlkProps>
                          <ClmnBlkPts>
                            <ClmnBlkPt>
                              <ClmnBlkPtProps>
                                <CBPT>5</CBPT>
                                <ST>6</ST>
                                <SON>8</SON>
                                <VOFFF><![CDATA[="H"&IF(§A¿9,5,0,0,1,8,3,1,-1,0,0,FALSE,FALSE§Z¿>§A¿1,2,2,1,14,8,1,1,1§Z¿,2,1)&"-"&§A¿9,5,0,0,1,7,3,1,-1,0,0,FALSE,FALSE§Z¿]]></VOFFF>
                              </ClmnBlkPtProps>
                            </ClmnBlkPt>
                          </ClmnBlkPts>
                        </ClmnBlk>
                      </ClmnBlks>
                      <TtlCtg>
                        <TtlCtgProps>
                          <R>1</R>
                        </TtlCtgProps>
                      </TtlCtg>
                    </Elmt>
                  </Elmts>
                </Sect>
              </Sects>
            </ModComp>
            <ModComp>
              <ModCompProps>
                <MN>1</MN>
                <MCN>6</MCN>
                <MCTK>PT</MCTK>
                <RT><![CDATA[Semi-Annual]]></RT>
                <ERN>MODMC5</ERN>
                <MCST>-1</MCST>
                <IPMC>False</IPMC>
                <SN>0</SN>
                <LODS>False</LODS>
                <LST>False</LST>
                <RSTF>False</RSTF>
                <STRA>0</STRA>
                <HS>False</HS>
                <IBOA>6</IBOA>
                <IB>False</IB>
                <CI/>
                <PTI><![CDATA[Semi_A]]></PTI>
                <PTP>False</PTP>
                <PTD><![CDATA[Semi-annual time series periods.]]></PTD>
                <PTMCN>6</PTMCN>
                <CROL>3</CROL>
                <CCOL>3</CCOL>
                <AMFN>0</AMFN>
              </ModCompProps>
              <PrdTitlsBlks>
                <PrdTitlsBlk>
                  <PrdTitlsBlkProps>
                    <LI>6,1</LI>
                    <UPLC>False</UPLC>
                    <PLCT>0</PLCT>
                    <PLCCBPLI/>
                    <PLCRNN>0</PLCRNN>
                    <ICEN>0</ICEN>
                    <ICGT>0</ICGT>
                    <ICOL>3</ICOL>
                    <ICVT>0</ICVT>
                    <ICUM>0</ICUM>
                    <ICLCT>0</ICLCT>
                    <ICLCCBPLI/>
                    <ICLCRNN>0</ICLCRNN>
                    <HUC>False</HUC>
                  </PrdTitlsBlkProps>
                </PrdTitlsBlk>
                <PrdTitlsBlk>
                  <PrdTitlsBlkProps>
                    <LI>6,2</LI>
                    <UPLC>False</UPLC>
                    <PLCT>0</PLCT>
                    <PLCCBPLI/>
                    <PLCRNN>0</PLCRNN>
                    <ICEN>0</ICEN>
                    <ICGT>0</ICGT>
                    <ICOL>3</ICOL>
                    <ICVT>0</ICVT>
                    <ICUM>0</ICUM>
                    <ICLCT>0</ICLCT>
                    <ICLCCBPLI/>
                    <ICLCRNN>0</ICLCRNN>
                    <HUC>False</HUC>
                  </PrdTitlsBlkProps>
                </PrdTitlsBlk>
                <PrdTitlsBlk>
                  <PrdTitlsBlkProps>
                    <LI>6,3</LI>
                    <UPLC>True</UPLC>
                    <PLCT>2</PLCT>
                    <PLCCBPLI>1,1,12,2,1</PLCCBPLI>
                    <PLCRNN>1</PLCRNN>
                    <ICEN>0</ICEN>
                    <ICGT>0</ICGT>
                    <ICOL>3</ICOL>
                    <ICVT>0</ICVT>
                    <ICUM>0</ICUM>
                    <ICLCT>0</ICLCT>
                    <ICLCCBPLI/>
                    <ICLCRNN>0</ICLCRNN>
                    <HUC>False</HUC>
                  </PrdTitlsBlkProps>
                </PrdTitlsBlk>
              </PrdTitlsBlks>
              <FrzPnes>
                <FrzPnesProps>
                  <MN>1</MN>
                  <MCN>6</MCN>
                  <FPRPT>4</FPRPT>
                  <FPREN>9</FPREN>
                  <FPCPT>0</FPCPT>
                  <FPCN>2</FPCN>
                  <FPCOT>0</FPCOT>
                  <FPCOC>0</FPCOC>
                  <FPCPTBN>0</FPCPTBN>
                </FrzPnesProps>
              </FrzPnes>
              <Sects>
                <Sect>
                  <SectProps>
                    <LI>6,1</LI>
                    <EGN>0</EGN>
                  </SectProps>
                  <Elmts>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22</ST>
                                <VOFFF><![CDATA[Half Year Ending]]></VOFFF>
                              </ClmnBlkPtProps>
                            </ClmnBlkPt>
                          </ClmnBlkPts>
                        </ClmnBlk>
                        <ClmnBlk>
                          <ClmnBlkProps>
                            <FCPT>2</FCPT>
                            <FCN>3</FCN>
                            <FCOT>1</FCOT>
                            <FCOC>1</FCOC>
                            <LCPT>1</LCPT>
                            <LCN>9</LCN>
                            <LCOT>0</LCOT>
                            <LCOC>6</LCOC>
                          </ClmnBlkProps>
                          <ClmnBlkPts>
                            <ClmnBlkPt>
                              <ClmnBlkPtProps>
                                <CBPT>5</CBPT>
                                <ST>22</ST>
                                <VOFFF/>
                              </ClmnBlkPtProps>
                            </ClmnBlkPt>
                          </ClmnBlkPts>
                        </ClmnBlk>
                        <ClmnBlk>
                          <ClmnBlkProps>
                            <FCPT>2</FCPT>
                            <FCN>10</FCN>
                            <FCOT>1</FCOT>
                            <FCOC>1</FCOC>
                            <LCPT>1</LCPT>
                            <LCN>15</LCN>
                            <LCOT>0</LCOT>
                            <LCOC>5</LCOC>
                          </ClmnBlkProps>
                          <ClmnBlkPts>
                            <ClmnBlkPt>
                              <ClmnBlkPtProps>
                                <CBPT>5</CBPT>
                                <ST>22</ST>
                                <SON>7</SON>
                                <VOFFF><![CDATA[=TEXT(§A¿9,6,0,0,1,5,3,1,-1,0,0,FALSE,FALSE§Z¿,"mmm-yy")]]></VOFFF>
                              </ClmnBlkPtProps>
                            </ClmnBlkPt>
                          </ClmnBlkPts>
                        </ClmnBlk>
                      </ClmnBlks>
                      <TtlCtg/>
                    </Elmt>
                    <Elmt>
                      <ElmtProps>
                        <CPT>2</CPT>
                      </ElmtProps>
                      <ClmnBlks>
                        <ClmnBlk>
                          <ClmnBlkProps>
                            <FCPT>0</FCPT>
                            <FCN>2</FCN>
                            <LCPT>1</LCPT>
                            <LCN>2</LCN>
                            <LCOT>0</LCOT>
                            <LCOC>0</LCOC>
                          </ClmnBlkProps>
                          <ClmnBlkPts>
                            <ClmnBlkPt>
                              <ClmnBlkPtProps>
                                <CBPT>5</CBPT>
                                <ST>22</ST>
                                <SON>1</SON>
                                <VOFFF><![CDATA[Half Year]]></VOFFF>
                              </ClmnBlkPtProps>
                            </ClmnBlkPt>
                          </ClmnBlkPts>
                        </ClmnBlk>
                        <ClmnBlk>
                          <ClmnBlkProps>
                            <FCPT>2</FCPT>
                            <FCN>3</FCN>
                            <FCOT>1</FCOT>
                            <FCOC>1</FCOC>
                            <LCPT>1</LCPT>
                            <LCN>9</LCN>
                            <LCOT>0</LCOT>
                            <LCOC>6</LCOC>
                          </ClmnBlkProps>
                          <ClmnBlkPts>
                            <ClmnBlkPt>
                              <ClmnBlkPtProps>
                                <CBPT>5</CBPT>
                                <ST>22</ST>
                                <SON>1</SON>
                                <VOFFF/>
                              </ClmnBlkPtProps>
                            </ClmnBlkPt>
                          </ClmnBlkPts>
                        </ClmnBlk>
                        <ClmnBlk>
                          <ClmnBlkProps>
                            <FCPT>2</FCPT>
                            <FCN>10</FCN>
                            <FCOT>1</FCOT>
                            <FCOC>1</FCOC>
                            <LCPT>1</LCPT>
                            <LCN>15</LCN>
                            <LCOT>0</LCOT>
                            <LCOC>5</LCOC>
                          </ClmnBlkProps>
                          <ClmnBlkPts>
                            <ClmnBlkPt>
                              <ClmnBlkPtProps>
                                <CBPT>5</CBPT>
                                <ST>22</ST>
                                <SON>8</SON>
                                <VOFFF><![CDATA[=IF(§A¿9,6,0,0,1,5,3,1,-1,0,0,FALSE,FALSE§Z¿<>EOMONTH(§A¿9,6,0,0,1,4,3,1,-1,0,0,FALSE,FALSE§Z¿,§A¿1,2,2,1,14,6,1,1,1§Z¿-1),§A¿1,1,1,1,14,0,2,1,1§Z¿,"")&"H"&§A¿9,6,0,0,1,8,3,1,-1,0,0,FALSE,FALSE§Z¿]]>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17</ST>
                                <VOFFF><![CDATA[=MAX(EDATE(§A¿1,1,1,1,9,0,2,1,1§Z¿,(§A¿9,6,0,0,1,6,3,1,-1,0,0,FALSE,FALSE§Z¿-1)*§A¿1,2,2,1,14,6,1,1,1§Z¿-MOD(MONTH(§A¿1,1,1,1,9,0,2,1,1§Z¿)-§A¿1,1,1,1,5,0,2,1,1§Z¿-1,§A¿1,2,2,1,14,6,1,1,1§Z¿)),§A¿1,1,1,1,9,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17</ST>
                                <VOFFF><![CDATA[=MIN(EOMONTH(§A¿1,1,1,1,9,0,2,1,1§Z¿,§A¿9,6,0,0,1,6,3,1,-1,0,0,FALSE,FALSE§Z¿*§A¿1,2,2,1,14,6,1,1,1§Z¿-MOD(MONTH(§A¿1,1,1,1,9,0,2,1,1§Z¿)-§A¿1,1,1,1,5,0,2,1,1§Z¿-1,§A¿1,2,2,1,14,6,1,1,1§Z¿)-1),§A¿1,1,1,1,10,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18</ST>
                                <SON>3</SON>
                                <VOFFF><![CDATA[=COLUMNS(§A¿9,6,0,1,1,6,3,1,-1,0,0,FALSE,TRUE,1,6,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Financial Yea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16</ST>
                                <VOFFF><![CDATA[=YEAR(§A¿9,6,0,0,1,5,3,1,-1,0,0,FALSE,FALSE§Z¿)+IF(MONTH(§A¿9,6,0,0,1,5,3,1,-1,0,0,FALSE,FALSE§Z¿)>§A¿1,1,1,1,5,0,2,1,1§Z¿,1,0)]]></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Half Numb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15</LCN>
                            <LCOT>0</LCOT>
                            <LCOC>5</LCOC>
                          </ClmnBlkProps>
                          <ClmnBlkPts>
                            <ClmnBlkPt>
                              <ClmnBlkPtProps>
                                <CBPT>5</CBPT>
                                <ST>18</ST>
                                <SON>3</SON>
                                <VOFFF><![CDATA[=ROUNDUP((MOD(MONTH(§A¿9,6,0,0,1,5,3,1,-1,0,0,FALSE,FALSE§Z¿)-§A¿1,1,1,1,5,0,2,1,1§Z¿-1,§A¿1,2,2,1,14,7,1,1,1§Z¿)+1)/§A¿1,2,2,1,14,6,1,1,1§Z¿,0)]]></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SON>1</SON>
                                <VOFFF><![CDATA[Half Key]]></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15</LCN>
                            <LCOT>0</LCOT>
                            <LCOC>5</LCOC>
                          </ClmnBlkProps>
                          <ClmnBlkPts>
                            <ClmnBlkPt>
                              <ClmnBlkPtProps>
                                <CBPT>5</CBPT>
                                <ST>6</ST>
                                <SON>8</SON>
                                <VOFFF><![CDATA[="H"&§A¿9,6,0,0,1,8,3,1,-1,0,0,FALSE,FALSE§Z¿&"-"&§A¿9,6,0,0,1,7,3,1,-1,0,0,FALSE,FALSE§Z¿]]></VOFFF>
                              </ClmnBlkPtProps>
                            </ClmnBlkPt>
                          </ClmnBlkPts>
                        </ClmnBlk>
                      </ClmnBlks>
                      <TtlCtg>
                        <TtlCtgProps>
                          <R>1</R>
                        </TtlCtgProps>
                      </TtlCtg>
                    </Elmt>
                  </Elmts>
                </Sect>
              </Sects>
            </ModComp>
            <ModComp>
              <ModCompProps>
                <MN>1</MN>
                <MCN>7</MCN>
                <MCTK>PT</MCTK>
                <RT><![CDATA[Annual]]></RT>
                <ERN>MODMC6</ERN>
                <MCST>-1</MCST>
                <IPMC>False</IPMC>
                <SN>0</SN>
                <LODS>False</LODS>
                <LST>False</LST>
                <RSTF>False</RSTF>
                <STRA>0</STRA>
                <HS>False</HS>
                <IBOA>7</IBOA>
                <IB>False</IB>
                <CI/>
                <PTI><![CDATA[Ann]]></PTI>
                <PTP>False</PTP>
                <PTD><![CDATA[Annual time series periods.]]></PTD>
                <PTMCN>7</PTMCN>
                <CROL>3</CROL>
                <CCOL>3</CCOL>
                <AMFN>0</AMFN>
              </ModCompProps>
              <PrdTitlsBlks>
                <PrdTitlsBlk>
                  <PrdTitlsBlkProps>
                    <LI>7,1</LI>
                    <UPLC>False</UPLC>
                    <PLCT>0</PLCT>
                    <PLCCBPLI/>
                    <PLCRNN>0</PLCRNN>
                    <ICEN>0</ICEN>
                    <ICGT>0</ICGT>
                    <ICOL>3</ICOL>
                    <ICVT>0</ICVT>
                    <ICUM>0</ICUM>
                    <ICLCT>0</ICLCT>
                    <ICLCCBPLI/>
                    <ICLCRNN>0</ICLCRNN>
                    <HUC>False</HUC>
                  </PrdTitlsBlkProps>
                </PrdTitlsBlk>
                <PrdTitlsBlk>
                  <PrdTitlsBlkProps>
                    <LI>7,2</LI>
                    <UPLC>False</UPLC>
                    <PLCT>0</PLCT>
                    <PLCCBPLI/>
                    <PLCRNN>0</PLCRNN>
                    <ICEN>0</ICEN>
                    <ICGT>0</ICGT>
                    <ICOL>3</ICOL>
                    <ICVT>0</ICVT>
                    <ICUM>0</ICUM>
                    <ICLCT>0</ICLCT>
                    <ICLCCBPLI/>
                    <ICLCRNN>0</ICLCRNN>
                    <HUC>False</HUC>
                  </PrdTitlsBlkProps>
                </PrdTitlsBlk>
                <PrdTitlsBlk>
                  <PrdTitlsBlkProps>
                    <LI>7,3</LI>
                    <UPLC>True</UPLC>
                    <PLCT>2</PLCT>
                    <PLCCBPLI>1,1,13,2,1</PLCCBPLI>
                    <PLCRNN>1</PLCRNN>
                    <ICEN>0</ICEN>
                    <ICGT>0</ICGT>
                    <ICOL>3</ICOL>
                    <ICVT>0</ICVT>
                    <ICUM>0</ICUM>
                    <ICLCT>0</ICLCT>
                    <ICLCCBPLI/>
                    <ICLCRNN>0</ICLCRNN>
                    <HUC>False</HUC>
                  </PrdTitlsBlkProps>
                </PrdTitlsBlk>
              </PrdTitlsBlks>
              <FrzPnes>
                <FrzPnesProps>
                  <MN>1</MN>
                  <MCN>7</MCN>
                  <FPRPT>4</FPRPT>
                  <FPREN>6</FPREN>
                  <FPCPT>0</FPCPT>
                  <FPCN>2</FPCN>
                  <FPCOT>0</FPCOT>
                  <FPCOC>0</FPCOC>
                  <FPCPTBN>0</FPCPTBN>
                </FrzPnesProps>
              </FrzPnes>
              <Sects>
                <Sect>
                  <SectProps>
                    <LI>7,1</LI>
                    <EGN>0</EGN>
                  </SectProps>
                  <Elmts>
                    <Elmt>
                      <ElmtProps>
                        <CPT>2</CPT>
                      </ElmtProps>
                      <ClmnBlks>
                        <ClmnBlk>
                          <ClmnBlkProps>
                            <FCPT>0</FCPT>
                            <FCN>2</FCN>
                            <LCPT>1</LCPT>
                            <LCN>2</LCN>
                            <LCOT>0</LCOT>
                            <LCOC>0</LCOC>
                          </ClmnBlkProps>
                          <ClmnBlkPts>
                            <ClmnBlkPt>
                              <ClmnBlkPtProps>
                                <CBPT>5</CBPT>
                                <ST>-1</ST>
                                <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12</LCN>
                            <LCOT>0</LCOT>
                            <LCOC>2</LCOC>
                          </ClmnBlkProps>
                          <ClmnBlkPts>
                            <ClmnBlkPt>
                              <ClmnBlkPtProps>
                                <CBPT>5</CBPT>
                                <ST>-1</ST>
                                <VOFFF/>
                              </ClmnBlkPtProps>
                            </ClmnBlkPt>
                          </ClmnBlkPts>
                        </ClmnBlk>
                      </ClmnBlks>
                      <TtlCtg/>
                    </Elmt>
                    <Elmt>
                      <ElmtProps>
                        <CPT>2</CPT>
                      </ElmtProps>
                      <ClmnBlks>
                        <ClmnBlk>
                          <ClmnBlkProps>
                            <FCPT>0</FCPT>
                            <FCN>2</FCN>
                            <LCPT>1</LCPT>
                            <LCN>2</LCN>
                            <LCOT>0</LCOT>
                            <LCOC>0</LCOC>
                          </ClmnBlkProps>
                          <ClmnBlkPts>
                            <ClmnBlkPt>
                              <ClmnBlkPtProps>
                                <CBPT>5</CBPT>
                                <ST>22</ST>
                                <SON>1</SON>
                                <VOFFF><![CDATA[="Year Ending "&INDEX(§A¿1,1,2,1,10,0,1,1,1§Z¿,§A¿1,1,1,1,5,0,2,1,1§Z¿)]]></VOFFF>
                              </ClmnBlkPtProps>
                            </ClmnBlkPt>
                          </ClmnBlkPts>
                        </ClmnBlk>
                        <ClmnBlk>
                          <ClmnBlkProps>
                            <FCPT>2</FCPT>
                            <FCN>3</FCN>
                            <FCOT>1</FCOT>
                            <FCOC>1</FCOC>
                            <LCPT>1</LCPT>
                            <LCN>9</LCN>
                            <LCOT>0</LCOT>
                            <LCOC>6</LCOC>
                          </ClmnBlkProps>
                          <ClmnBlkPts>
                            <ClmnBlkPt>
                              <ClmnBlkPtProps>
                                <CBPT>5</CBPT>
                                <ST>22</ST>
                                <SON>1</SON>
                                <VOFFF/>
                              </ClmnBlkPtProps>
                            </ClmnBlkPt>
                          </ClmnBlkPts>
                        </ClmnBlk>
                        <ClmnBlk>
                          <ClmnBlkProps>
                            <FCPT>2</FCPT>
                            <FCN>10</FCN>
                            <FCOT>1</FCOT>
                            <FCOC>1</FCOC>
                            <LCPT>1</LCPT>
                            <LCN>12</LCN>
                            <LCOT>0</LCOT>
                            <LCOC>2</LCOC>
                          </ClmnBlkProps>
                          <ClmnBlkPts>
                            <ClmnBlkPt>
                              <ClmnBlkPtProps>
                                <CBPT>5</CBPT>
                                <ST>22</ST>
                                <SON>8</SON>
                                <VOFFF><![CDATA[=IF(§A¿9,7,0,0,1,4,3,1,-1,0,0,FALSE,FALSE§Z¿<>EOMONTH(§A¿9,7,0,0,1,3,3,1,-1,0,0,FALSE,FALSE§Z¿,§A¿1,2,2,1,14,7,1,1,1§Z¿-1),§A¿1,1,1,1,14,0,2,1,1§Z¿,"")&§A¿9,7,0,0,1,6,3,1,-1,0,0,FALSE,FALSE§Z¿]]></VOFFF>
                              </ClmnBlkPtProps>
                            </ClmnBlkPt>
                          </ClmnBlkPts>
                        </ClmnBlk>
                      </ClmnBlks>
                      <TtlCtg/>
                    </Elmt>
                    <Elmt>
                      <ElmtProps>
                        <CPT>2</CPT>
                      </ElmtProps>
                      <ClmnBlks>
                        <ClmnBlk>
                          <ClmnBlkProps>
                            <FCPT>0</FCPT>
                            <FCN>2</FCN>
                            <LCPT>1</LCPT>
                            <LCN>2</LCN>
                            <LCOT>0</LCOT>
                            <LCOC>0</LCOC>
                          </ClmnBlkProps>
                          <ClmnBlkPts>
                            <ClmnBlkPt>
                              <ClmnBlkPtProps>
                                <CBPT>5</CBPT>
                                <ST>6</ST>
                                <VOFFF><![CDATA[Period Start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12</LCN>
                            <LCOT>0</LCOT>
                            <LCOC>2</LCOC>
                          </ClmnBlkProps>
                          <ClmnBlkPts>
                            <ClmnBlkPt>
                              <ClmnBlkPtProps>
                                <CBPT>5</CBPT>
                                <ST>17</ST>
                                <VOFFF><![CDATA[=MAX(EDATE(§A¿1,1,1,1,9,0,2,1,1§Z¿,(§A¿9,7,0,0,1,5,3,1,-1,0,0,FALSE,FALSE§Z¿-1)*§A¿1,2,2,1,14,7,1,1,1§Z¿-MOD(MONTH(§A¿1,1,1,1,9,0,2,1,1§Z¿)-§A¿1,1,1,1,5,0,2,1,1§Z¿-1,§A¿1,2,2,1,14,7,1,1,1§Z¿)),§A¿1,1,1,1,9,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Period End Date]]></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12</LCN>
                            <LCOT>0</LCOT>
                            <LCOC>2</LCOC>
                          </ClmnBlkProps>
                          <ClmnBlkPts>
                            <ClmnBlkPt>
                              <ClmnBlkPtProps>
                                <CBPT>5</CBPT>
                                <ST>17</ST>
                                <VOFFF><![CDATA[=MIN(EOMONTH(§A¿1,1,1,1,9,0,2,1,1§Z¿,§A¿9,7,0,0,1,5,3,1,-1,0,0,FALSE,FALSE§Z¿*§A¿1,2,2,1,14,7,1,1,1§Z¿-MOD(MONTH(§A¿1,1,1,1,9,0,2,1,1§Z¿)-§A¿1,1,1,1,5,0,2,1,1§Z¿-1,§A¿1,2,2,1,14,7,1,1,1§Z¿)-1),§A¿1,1,1,1,10,0,2,1,1§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VOFFF><![CDATA[Counter]]></VOFFF>
                              </ClmnBlkPtProps>
                            </ClmnBlkPt>
                          </ClmnBlkPts>
                        </ClmnBlk>
                        <ClmnBlk>
                          <ClmnBlkProps>
                            <FCPT>2</FCPT>
                            <FCN>3</FCN>
                            <FCOT>1</FCOT>
                            <FCOC>1</FCOC>
                            <LCPT>1</LCPT>
                            <LCN>9</LCN>
                            <LCOT>0</LCOT>
                            <LCOC>6</LCOC>
                          </ClmnBlkProps>
                          <ClmnBlkPts>
                            <ClmnBlkPt>
                              <ClmnBlkPtProps>
                                <CBPT>5</CBPT>
                                <ST>-1</ST>
                                <VOFFF/>
                              </ClmnBlkPtProps>
                            </ClmnBlkPt>
                          </ClmnBlkPts>
                        </ClmnBlk>
                        <ClmnBlk>
                          <ClmnBlkProps>
                            <FCPT>2</FCPT>
                            <FCN>10</FCN>
                            <FCOT>1</FCOT>
                            <FCOC>1</FCOC>
                            <LCPT>1</LCPT>
                            <LCN>12</LCN>
                            <LCOT>0</LCOT>
                            <LCOC>2</LCOC>
                          </ClmnBlkProps>
                          <ClmnBlkPts>
                            <ClmnBlkPt>
                              <ClmnBlkPtProps>
                                <CBPT>5</CBPT>
                                <ST>18</ST>
                                <SON>3</SON>
                                <VOFFF><![CDATA[=COLUMNS(§A¿9,7,0,1,1,5,3,1,-1,0,0,FALSE,TRUE,1,5,3,1,-1,0,0,FALSE,FALSE§Z¿)]]></VOFFF>
                              </ClmnBlkPtProps>
                            </ClmnBlkPt>
                          </ClmnBlkPts>
                        </ClmnBlk>
                      </ClmnBlks>
                      <TtlCtg>
                        <TtlCtgProps>
                          <R>1</R>
                        </TtlCtgProps>
                      </TtlCtg>
                    </Elmt>
                    <Elmt>
                      <ElmtProps>
                        <CPT>2</CPT>
                      </ElmtProps>
                      <ClmnBlks>
                        <ClmnBlk>
                          <ClmnBlkProps>
                            <FCPT>0</FCPT>
                            <FCN>2</FCN>
                            <LCPT>1</LCPT>
                            <LCN>2</LCN>
                            <LCOT>0</LCOT>
                            <LCOC>0</LCOC>
                          </ClmnBlkProps>
                          <ClmnBlkPts>
                            <ClmnBlkPt>
                              <ClmnBlkPtProps>
                                <CBPT>5</CBPT>
                                <ST>6</ST>
                                <SON>1</SON>
                                <VOFFF><![CDATA[Financial Year]]></VOFFF>
                              </ClmnBlkPtProps>
                            </ClmnBlkPt>
                          </ClmnBlkPts>
                        </ClmnBlk>
                        <ClmnBlk>
                          <ClmnBlkProps>
                            <FCPT>2</FCPT>
                            <FCN>3</FCN>
                            <FCOT>1</FCOT>
                            <FCOC>1</FCOC>
                            <LCPT>1</LCPT>
                            <LCN>9</LCN>
                            <LCOT>0</LCOT>
                            <LCOC>6</LCOC>
                          </ClmnBlkProps>
                          <ClmnBlkPts>
                            <ClmnBlkPt>
                              <ClmnBlkPtProps>
                                <CBPT>5</CBPT>
                                <ST>-1</ST>
                                <SON>1</SON>
                                <VOFFF/>
                              </ClmnBlkPtProps>
                            </ClmnBlkPt>
                          </ClmnBlkPts>
                        </ClmnBlk>
                        <ClmnBlk>
                          <ClmnBlkProps>
                            <FCPT>2</FCPT>
                            <FCN>10</FCN>
                            <FCOT>1</FCOT>
                            <FCOC>1</FCOC>
                            <LCPT>1</LCPT>
                            <LCN>12</LCN>
                            <LCOT>0</LCOT>
                            <LCOC>2</LCOC>
                          </ClmnBlkProps>
                          <ClmnBlkPts>
                            <ClmnBlkPt>
                              <ClmnBlkPtProps>
                                <CBPT>5</CBPT>
                                <ST>16</ST>
                                <SON>1</SON>
                                <VOFFF><![CDATA[=YEAR(§A¿9,7,0,0,1,4,3,1,-1,0,0,FALSE,FALSE§Z¿)+IF(MONTH(§A¿9,7,0,0,1,4,3,1,-1,0,0,FALSE,FALSE§Z¿)>§A¿1,1,1,1,5,0,2,1,1§Z¿,1,0)]]></VOFFF>
                              </ClmnBlkPtProps>
                            </ClmnBlkPt>
                          </ClmnBlkPts>
                        </ClmnBlk>
                      </ClmnBlks>
                      <TtlCtg>
                        <TtlCtgProps>
                          <R>1</R>
                        </TtlCtgProps>
                      </TtlCtg>
                    </Elmt>
                  </Elmts>
                </Sect>
              </Sects>
            </ModComp>
          </ModComps>
        </Mod>
        <Mod>
          <ModProps>
            <MVS>14.0.5.0</MVS>
            <RAV/>
            <RXV>0</RXV>
            <FV>3</FV>
            <MT>0</MT>
            <SCT>-1</SCT>
            <P><![CDATA[Scenarios]]></P>
            <OI>100</OI>
            <MN>0</MN>
            <MAG>68D38FB9-8B3C-49E0-B3A2-51B6BAD836A4</MAG>
            <BN><![CDATA[Scenario Manager]]></BN>
            <N><![CDATA[Scenario Manager]]></N>
            <TS><![CDATA[Scenarios]]></TS>
            <D><![CDATA[Facilitates the inclusion of a variable number of scenarios in the model.]]></D>
            <FS><![CDATA[Collects scenario name assumptions as well as the active scenario and number of scenarios. Provides for precedent module data tables and the below placement of scenario assumptions components from modules throughout the workbook.]]></FS>
            <R><![CDATA[Any]]></R>
            <GE><![CDATA[Scenario Manager]]></GE>
            <CA><![CDATA[Variable Scenarios]]></CA>
            <VA><![CDATA[Single Component]]></VA>
            <GST><![CDATA[None]]></GST>
            <DE><![CDATA[Modano]]></DE>
            <E><![CDATA[info@modano.com]]></E>
            <C><![CDATA[Modano]]></C>
            <W><![CDATA[www.modano.com]]></W>
            <K/>
            <CO/>
            <V>10.16.1.0.</V>
            <AX>2</AX>
            <SX/>
            <PMLO>False</PMLO>
            <IPMLO>False</IPMLO>
            <MACA>0</MACA>
            <HP>False</HP>
            <DR>False</DR>
            <RTSM>True</RTSM>
            <CC>True</CC>
            <X>False</X>
            <G>DCD62DF3-4B7B-4ADB-823F-1C23B26D11D7</G>
          </ModProps>
          <RowStgs>
            <RowStg>
              <RowStgProps>
                <RSN>1</RSN>
                <RHST>0</RHST>
                <HS>0</HS>
                <OL>2</OL>
                <RH>False</RH>
              </RowStgProps>
            </RowStg>
            <RowStg>
              <RowStgProps>
                <RSN>2</RSN>
                <RHST>1</RHST>
                <HS>50</HS>
                <OL>3</OL>
                <RH>False</RH>
              </RowStgProps>
            </RowStg>
            <RowStg>
              <RowStgProps>
                <RSN>3</RSN>
                <RHST>0</RHST>
                <HS>0</HS>
                <OL>3</OL>
                <RH>False</RH>
              </RowStgProps>
            </RowStg>
            <RowStg>
              <RowStgProps>
                <RSN>4</RSN>
                <RHST>0</RHST>
                <HS>0</HS>
                <OL>3</OL>
                <RH>True</RH>
              </RowStgProps>
            </RowStg>
          </RowStgs>
          <StlOvlys>
            <StlOvly>
              <StlOvlyProps>
                <SON>1</SON>
                <IHA>True</IHA>
                <HA>-4108</HA>
              </StlOvlyProps>
            </StlOvly>
            <StlOvly>
              <StlOvlyProps>
                <SON>2</SON>
                <IHA>True</IHA>
                <HA>-4108</HA>
              </StlOvlyProps>
              <FntOvly>
                <FntOvlyProps>
                  <PT>1</PT>
                  <SON>2</SON>
                  <CBPLI>0,0,0,0,0</CBPLI>
                  <FCN>0</FCN>
                  <CN>0</CN>
                  <IC>True</IC>
                  <CT>-3</CT>
                  <CNU>2</CNU>
                  <CPR>8421504</CPR>
                  <TAS>0.4999542</TAS>
                </FntOvlyProps>
              </FntOvly>
            </StlOvly>
            <StlOvly>
              <StlOvlyProps>
                <SON>3</SON>
                <IHA>True</IHA>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StlOvlyProps>
              <FntOvly>
                <FntOvlyProps>
                  <PT>1</PT>
                  <SON>4</SON>
                  <CBPLI>0,0,0,0,0</CBPLI>
                  <FCN>0</FCN>
                  <CN>0</CN>
                  <IC>True</IC>
                  <CT>-2</CT>
                  <CNU>0</CNU>
                  <CPR>0</CPR>
                  <TAS>0</TAS>
                </FntOvlyProps>
              </FntOvly>
            </StlOvly>
            <StlOvly>
              <StlOvlyProps>
                <SON>5</SON>
                <INF>True</INF>
                <IHA>True</IHA>
                <NT>-2</NT>
                <DP>0</DP>
                <CNF><![CDATA[_(#,##0_);(#,##0);_("-"_);_)@_)]]></CNF>
                <HA>-4108</HA>
              </StlOvlyProps>
            </StlOvly>
            <StlOvly>
              <StlOvlyProps>
                <SON>6</SON>
                <INF>True</INF>
                <IHA>True</IHA>
                <NT>0</NT>
                <DP>0</DP>
                <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_);(#,##0);_("-"_);_)@_)]]></CNF>
                <HA>-4108</HA>
              </StlOvlyProps>
              <BdrOvlys>
                <BdrOvly>
                  <BdrOvlyProps>
                    <PT>1</PT>
                    <SON>7</SON>
                    <CBPLI/>
                    <FCN>0</FCN>
                    <I>True</I>
                    <BI>7</BI>
                    <LS>1</LS>
                    <W>2</W>
                    <CT>3</CT>
                    <CN>2</CN>
                    <TAS>0.4999542</TAS>
                  </BdrOvlyProps>
                </BdrOvly>
                <BdrOvly>
                  <BdrOvlyProps>
                    <PT>1</PT>
                    <SON>7</SON>
                    <CBPLI/>
                    <FCN>0</FCN>
                    <I>True</I>
                    <BI>10</BI>
                    <LS>1</LS>
                    <W>2</W>
                    <CT>3</CT>
                    <CN>2</CN>
                    <TAS>0.4999542</TAS>
                  </BdrOvlyProps>
                </BdrOvly>
                <BdrOvly>
                  <BdrOvlyProps>
                    <PT>1</PT>
                    <SON>7</SON>
                    <CBPLI/>
                    <FCN>0</FCN>
                    <I>True</I>
                    <BI>8</BI>
                    <LS>1</LS>
                    <W>2</W>
                    <CT>3</CT>
                    <CN>2</CN>
                    <TAS>0.4999542</TAS>
                  </BdrOvlyProps>
                </BdrOvly>
                <BdrOvly>
                  <BdrOvlyProps>
                    <PT>1</PT>
                    <SON>7</SON>
                    <CBPLI/>
                    <FCN>0</FCN>
                    <I>True</I>
                    <BI>9</BI>
                    <LS>1</LS>
                    <W>2</W>
                    <CT>3</CT>
                    <CN>2</CN>
                    <TAS>0.4999542</TAS>
                  </BdrOvlyProps>
                </BdrOvly>
              </BdrOvlys>
            </StlOvly>
            <StlOvly>
              <StlOvlyProps>
                <SON>8</SON>
                <IHA>True</IHA>
                <HA>-4108</HA>
              </StlOvlyProps>
              <FntOvly>
                <FntOvlyProps>
                  <PT>1</PT>
                  <SON>8</SON>
                  <CBPLI>0,0,0,0,0</CBPLI>
                  <FCN>0</FCN>
                  <CN>0</CN>
                  <II>True</II>
                  <I>True</I>
                </FntOvlyProps>
              </FntOvly>
            </StlOvly>
            <StlOvly>
              <StlOvlyProps>
                <SON>9</SON>
                <IHA>True</IHA>
                <HA>-4108</HA>
              </StlOvlyProps>
              <FntOvly>
                <FntOvlyProps>
                  <PT>1</PT>
                  <SON>9</SON>
                  <CBPLI>0,0,0,0,0</CBPLI>
                  <FCN>0</FCN>
                  <CN>0</CN>
                  <IN>True</IN>
                  <IB>True</IB>
                  <N>Wingdings 3</N>
                  <B>True</B>
                </FntOvlyProps>
              </FntOvly>
            </StlOvly>
          </StlOvlys>
          <ElmtsGrps>
            <ElmtsGrp>
              <ElmtsGrpProps>
                <NU>1</NU>
                <NA><![CDATA[Data Tables Scenarios]]></NA>
                <EGT>0</EGT>
                <DCC>3</DCC>
                <AST>False</AST>
                <ISTH>True</ISTH>
                <PTMCN>0</PTMCN>
                <PTBN>0</PTBN>
                <PTBI>0</PTBI>
                <GLN/>
                <CLOT>0</CLOT>
                <CLIT>0</CLIT>
                <PMLO>0</PMLO>
                <IPMLO>0</IPMLO>
              </ElmtsGrpProps>
            </ElmtsGrp>
            <ElmtsGrp>
              <ElmtsGrpProps>
                <NU>2</NU>
                <NA><![CDATA[Scenarios]]></NA>
                <EGT>1</EGT>
                <DCC>3</DCC>
                <AST>False</AST>
                <ISTH>True</ISTH>
                <PTMCN>3</PTMCN>
                <PTBN>3</PTBN>
                <PTBI>0</PTBI>
                <GLN/>
                <CLOT>0</CLOT>
                <CLIT>0</CLIT>
                <PMLO>0</PMLO>
                <IPMLO>0</IPMLO>
                <ICT>0</ICT>
                <ICO>1</ICO>
                <ICLCF/>
                <ICG>True</ICG>
                <ICIR>3</ICIR>
                <ICAR>3</ICAR>
                <ICU>0</ICU>
              </ElmtsGrpProps>
            </ElmtsGrp>
          </ElmtsGrps>
          <TrigCbps>
            <TrigCbp>
              <TrigCbpProps>
                <LI>1,1,12,2,1</LI>
                <TT>1</TT>
                <RLI/>
                <R2LI/>
                <TS/>
                <OT>0</OT>
                <FO>0</FO>
              </TrigCbpProps>
            </TrigCbp>
          </TrigCbps>
          <ModComps>
            <ModComp>
              <ModCompProps>
                <MN>2</MN>
                <MCN>1</MCN>
                <MCTK>BaseCase</MCTK>
                <RT><![CDATA[Scenario Manager]]></RT>
                <ERN>MODMC16</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9</FCN>
                            <FCOT>0</FCOT>
                            <FCOC>6</FCOC>
                            <FCPTBMCN>3</FCPTBMCN>
                            <FCPTBN>2</FCPTBN>
                            <LCPT>3</LCPT>
                            <LCN>9</LCN>
                            <LCOT>1</LCOT>
                            <LCOC>0</LCOC>
                            <LCPTBMCN>3</LCPTBMCN>
                            <LCPTBN>2</LCPTBN>
                          </ClmnBlkProps>
                          <ClmnBlkPts>
                            <ClmnBlkPt>
                              <ClmnBlkPtProps>
                                <CBPT>5</CBPT>
                                <ST>3</ST>
                                <SON>1</SON>
                                <VOFFF><![CDATA[Active]]></VOFFF>
                              </ClmnBlkPtProps>
                            </ClmnBlkPt>
                          </ClmnBlkPts>
                        </ClmnBlk>
                        <ClmnBlk>
                          <ClmnBlkProps>
                            <FCPT>3</FCPT>
                            <FCN>10</FCN>
                            <FCOT>0</FCOT>
                            <FCOC>0</FCOC>
                            <FCPTBMCN>3</FCPTBMCN>
                            <FCPTBN>3</FCPTBN>
                            <LCPT>3</LCPT>
                            <LCN>12</LCN>
                            <LCOT>1</LCOT>
                            <LCOC>0</LCOC>
                            <LCPTBMCN>3</LCPTBMCN>
                            <LCPTBN>3</LCPTBN>
                          </ClmnBlkProps>
                          <ClmnBlkPts>
                            <ClmnBlkPt>
                              <ClmnBlkPtProps>
                                <CBPT>5</CBPT>
                                <ST>22</ST>
                                <SON>8</SON>
                                <VOFFF><![CDATA[=§A¿0,1,0,1,13,4,1,-1,0,0,FALSE,FALSE§Z¿]]></VOFFF>
                              </ClmnBlkPtProps>
                              <FmtCnds>
                                <FmtCnd>
                                  <FmtCndProps>
                                    <CBPLI>1,1,1,2,1</CBPLI>
                                    <FCN>1</FCN>
                                    <FCT>2</FCT>
                                    <FCO>1</FCO>
                                    <F1FFF><![CDATA[=COLUMNS(§A¿0,1,1,1,1,2,1,-1,0,0,FALSE,TRUE,1,1,2,1,-1,0,0,FALSE,FALSE§Z¿)=§A¿1,1,1,1,9,0,2,1,1§Z¿]]></F1FFF>
                                    <F2FFF/>
                                    <SIT>False</SIT>
                                    <BSV>True</BSV>
                                    <BCT>0</BCT>
                                    <CNBCN>0</CNBCN>
                                    <BTAS>0</BTAS>
                                    <IST>1</IST>
                                    <RO>False</RO>
                                    <SIO>False</SIO>
                                    <TO>0</TO>
                                    <TS/>
                                    <DO>1</DO>
                                    <TB>1</TB>
                                    <R>10</R>
                                    <P>False</P>
                                    <AB>0</AB>
                                    <NSD>1</NSD>
                                    <DU>1</DU>
                                    <INF>False</INF>
                                    <NT>0</NT>
                                    <DP>0</DP>
                                    <CNF/>
                                  </FmtCndProps>
                                  <FntOvly>
                                    <FntOvlyProps>
                                      <PT>2</PT>
                                      <SON>0</SON>
                                      <CBPLI>1,1,1,2,1</CBPLI>
                                      <FCN>1</FCN>
                                      <CN>0</CN>
                                      <II>True</II>
                                      <I>False</I>
                                    </FntOvlyProps>
                                  </FntOvly>
                                  <BdrOvlys>
                                    <BdrOvly>
                                      <BdrOvlyProps>
                                        <PT>2</PT>
                                        <SON>0</SON>
                                        <CBPLI>1,1,1,2,1</CBPLI>
                                        <FCN>1</FCN>
                                        <I>True</I>
                                        <BI>7</BI>
                                        <LS>1</LS>
                                        <W>2</W>
                                        <CT>3</CT>
                                        <CN>1</CN>
                                        <TAS>0</TAS>
                                      </BdrOvlyProps>
                                    </BdrOvly>
                                    <BdrOvly>
                                      <BdrOvlyProps>
                                        <PT>2</PT>
                                        <SON>0</SON>
                                        <CBPLI>1,1,1,2,1</CBPLI>
                                        <FCN>1</FCN>
                                        <I>True</I>
                                        <BI>10</BI>
                                        <LS>1</LS>
                                        <W>2</W>
                                        <CT>3</CT>
                                        <CN>1</CN>
                                        <TAS>0</TAS>
                                      </BdrOvlyProps>
                                    </BdrOvly>
                                  </BdrOvlys>
                                </FmtCnd>
                              </FmtCnds>
                            </ClmnBlkPt>
                          </ClmnBlkPts>
                        </ClmnBlk>
                      </ClmnBlks>
                      <TtlCtg/>
                    </Elmt>
                    <Elmt>
                      <ElmtProps>
                        <CPT>2</CPT>
                      </ElmtProps>
                      <ClmnBlks>
                        <ClmnBlk>
                          <ClmnBlkProps>
                            <FCPT>3</FCPT>
                            <FCN>10</FCN>
                            <FCOT>0</FCOT>
                            <FCOC>0</FCOC>
                            <FCPTBMCN>3</FCPTBMCN>
                            <FCPTBN>3</FCPTBN>
                            <LCPT>3</LCPT>
                            <LCN>12</LCN>
                            <LCOT>1</LCOT>
                            <LCOC>0</LCOC>
                            <LCPTBMCN>3</LCPTBMCN>
                            <LCPTBN>3</LCPTBN>
                          </ClmnBlkProps>
                          <ClmnBlkPts>
                            <ClmnBlkPt>
                              <ClmnBlkPtProps>
                                <CBPT>5</CBPT>
                                <ST>40</ST>
                                <SON>9</SON>
                                <VOFFF><![CDATA[=IF(COLUMNS(§A¿0,1,1,1,2,1,1,-1,0,0,FALSE,TRUE,1,2,1,1,-1,0,0,FALSE,FALSE§Z¿)=§A¿1,1,1,1,9,0,2,1,1§Z¿,"tu","vw")]]></VOFFF>
                              </ClmnBlkPtProps>
                              <FmtCnds>
                                <FmtCnd>
                                  <FmtCndProps>
                                    <CBPLI>1,1,2,1,1</CBPLI>
                                    <FCN>1</FCN>
                                    <FCT>2</FCT>
                                    <FCO>1</FCO>
                                    <F1FFF><![CDATA[=COLUMNS(§A¿0,1,1,1,2,1,1,-1,0,0,FALSE,TRUE,1,2,1,1,-1,0,0,FALSE,FALSE§Z¿)<>§A¿1,1,1,1,9,0,2,1,1§Z¿]]></F1FFF>
                                    <F2FFF/>
                                    <SIT>False</SIT>
                                    <BSV>True</BSV>
                                    <BCT>0</BCT>
                                    <CNBCN>0</CNBCN>
                                    <BTAS>0</BTAS>
                                    <IST>1</IST>
                                    <RO>False</RO>
                                    <SIO>False</SIO>
                                    <TO>0</TO>
                                    <TS/>
                                    <DO>1</DO>
                                    <TB>1</TB>
                                    <R>10</R>
                                    <P>False</P>
                                    <AB>0</AB>
                                    <NSD>1</NSD>
                                    <DU>1</DU>
                                    <INF>False</INF>
                                    <NT>0</NT>
                                    <DP>0</DP>
                                    <CNF/>
                                  </FmtCndProps>
                                  <FntOvly>
                                    <FntOvlyProps>
                                      <PT>2</PT>
                                      <SON>0</SON>
                                      <CBPLI>1,1,2,1,1</CBPLI>
                                      <FCN>1</FCN>
                                      <CN>0</CN>
                                      <II>True</II>
                                      <IC>True</IC>
                                      <I>False</I>
                                      <CT>3</CT>
                                      <CNU>3</CNU>
                                      <CPR>0</CPR>
                                      <TAS>0</TAS>
                                    </FntOvlyProps>
                                  </FntOvly>
                                </FmtCnd>
                              </FmtCnds>
                            </ClmnBlkPt>
                          </ClmnBlkPts>
                        </ClmnBlk>
                      </ClmnBlks>
                      <TtlCtg/>
                    </Elmt>
                    <Elmt>
                      <ElmtProps>
                        <CPT>2</CPT>
                      </ElmtProps>
                      <ClmnBlks>
                        <ClmnBlk>
                          <ClmnBlkProps>
                            <FCPT>3</FCPT>
                            <FCN>2</FCN>
                            <FCOT>0</FCOT>
                            <FCOC>0</FCOC>
                            <FCPTBMCN>3</FCPTBMCN>
                            <FCPTBN>1</FCPTBN>
                            <LCPT>3</LCPT>
                            <LCN>2</LCN>
                            <LCOT>1</LCOT>
                            <LCOC>0</LCOC>
                            <LCPTBMCN>3</LCPTBMCN>
                            <LCPTBN>1</LCPTBN>
                          </ClmnBlkProps>
                          <ClmnBlkPts>
                            <ClmnBlkPt>
                              <ClmnBlkPtProps>
                                <CBPT>5</CBPT>
                                <HCTHR>True</HCTHR>
                                <CTHN>32</CTHN>
                                <ST>3</ST>
                                <VOFFF><![CDATA[Scenarios]]></VOFFF>
                              </ClmnBlkPtProps>
                            </ClmnBlkPt>
                          </ClmnBlkPts>
                        </ClmnBlk>
                        <ClmnBlk>
                          <ClmnBlkProps>
                            <FCPT>3</FCPT>
                            <FCN>3</FCN>
                            <FCOT>0</FCOT>
                            <FCOC>0</FCOC>
                            <FCPTBMCN>3</FCPTBMCN>
                            <FCPTBN>2</FCPTBN>
                            <LCPT>3</LCPT>
                            <LCN>12</LCN>
                            <LCOT>1</LCOT>
                            <LCOC>0</LCOC>
                            <LCPTBMCN>3</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8</FCN>
                            <FCOT>0</FCOT>
                            <FCOC>5</FCOC>
                            <FCPTBMCN>3</FCPTBMCN>
                            <FCPTBN>2</FCPTBN>
                            <LCPT>3</LCPT>
                            <LCN>8</LCN>
                            <LCOT>0</LCOT>
                            <LCOC>5</LCOC>
                            <LCPTBMCN>3</LCPTBMCN>
                            <LCPTBN>2</LCPTBN>
                          </ClmnBlkProps>
                          <ClmnBlkPts>
                            <ClmnBlkPt>
                              <ClmnBlkPtProps>
                                <CBPT>5</CBPT>
                                <ST>15</ST>
                                <SON>4</SON>
                                <VOFFF><![CDATA[1]]></VOFFF>
                                <UDAV><![CDATA[1]]></UDAV>
                              </ClmnBlkPtProps>
                              <Vdtn>
                                <VdtnProps>
                                  <CBPLI>1,1,5,2,1</CBPLI>
                                  <ADVT>-1</ADVT>
                                  <VT>1</VT>
                                  <AS>1</AS>
                                  <O>1</O>
                                  <F1FFF><![CDATA[1]]></F1FFF>
                                  <F2FFF><![CDATA[=ROWS(§A¿1,1,2,1,6,0,1,1,1§Z¿)]]></F2FFF>
                                  <IB>False</IB>
                                  <ICDD>False</ICDD>
                                  <SI>False</SI>
                                  <IT/>
                                  <IM/>
                                  <SE>True</SE>
                                  <ET><![CDATA[Drop Down Box Cell Link]]></ET>
                                  <EM><![CDATA[The value in a drop down box cell link must be a whole number within the control's lookup range rows.]]></EM>
                                  <IMO>0</IMO>
                                </VdtnProps>
                              </Vdtn>
                              <RgeNmes>
                                <RgeNme>
                                  <RgeNmeProps>
                                    <CBPLI>1,1,5,2,1</CBPLI>
                                    <MCN>1</MCN>
                                    <SN>1</SN>
                                    <EN>5</EN>
                                    <CN>0</CN>
                                    <CBN>2</CBN>
                                    <CBPN>1</CBPN>
                                    <PT>1</PT>
                                    <CBPRNT>6</CBPRNT>
                                    <NT>3</NT>
                                    <SP1><![CDATA[Active]]></SP1>
                                    <SP2/>
                                    <FFF/>
                                    <CMT/>
                                  </RgeNmeProps>
                                </RgeNme>
                              </RgeNmes>
                            </ClmnBlkPt>
                          </ClmnBlkPts>
                        </ClmnBlk>
                      </ClmnBlks>
                      <TtlCtg>
                        <TtlCtgProps>
                          <R>1</R>
                        </TtlCtgProps>
                      </TtlCtg>
                      <ShpNmes>
                        <ShpNme>
                          <ShpNmeProps>
                            <ELI>1,1,5</ELI>
                            <COSTN>0</COSTN>
                            <ST>1</ST>
                            <SNPT>2</SNPT>
                            <N><![CDATA[bpmDropDownScenarios1]]></N>
                            <SHN>1</SHN>
                            <SHTN>1</SHTN>
                          </ShpNmeProps>
                        </ShpNme>
                      </ShpNmes>
                    </Elmt>
                    <Elmt>
                      <ElmtProps>
                        <CPT>2</CPT>
                      </ElmtProps>
                      <TtlCtg>
                        <TtlCtgProps>
                          <R>2</R>
                        </TtlCtgProps>
                      </TtlCtg>
                    </Elmt>
                    <Elmt>
                      <ElmtProps>
                        <CPT>0</CPT>
                        <TOT>False</TOT>
                        <EGN>1</EGN>
                      </ElmtProps>
                      <ClmnBlks>
                        <ClmnBlk>
                          <ClmnBlkProps>
                            <FCPT>3</FCPT>
                            <FCN>2</FCN>
                            <FCOT>0</FCOT>
                            <FCOC>0</FCOC>
                            <FCPTBMCN>3</FCPTBMCN>
                            <FCPTBN>1</FCPTBN>
                            <LCPT>3</LCPT>
                            <LCN>2</LCN>
                            <LCOT>1</LCOT>
                            <LCOC>0</LCOC>
                            <LCPTBMCN>3</LCPTBMCN>
                            <LCPTBN>1</LCPTBN>
                          </ClmnBlkProps>
                          <ClmnBlkPts>
                            <ClmnBlkPt>
                              <ClmnBlkPtProps>
                                <CBPT>0</CBPT>
                                <ST>6</ST>
                                <VOFFF><![CDATA[Data Tables Scenario <CategoryNumber>]]></VOFFF>
                              </ClmnBlkPtProps>
                              <LnkInForms>
                                <LnkInForm>
                                  <LnkInFormProps>
                                    <CBPLI>1,1,7,1,1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Active Data Tables Scenario]]></VOFFF>
                              </ClmnBlkPtProps>
                            </ClmnBlkPt>
                          </ClmnBlkPts>
                        </ClmnBlk>
                        <ClmnBlk>
                          <ClmnBlkProps>
                            <FCPT>3</FCPT>
                            <FCN>8</FCN>
                            <FCOT>0</FCOT>
                            <FCOC>5</FCOC>
                            <FCPTBMCN>3</FCPTBMCN>
                            <FCPTBN>2</FCPTBN>
                            <LCPT>3</LCPT>
                            <LCN>8</LCN>
                            <LCOT>0</LCOT>
                            <LCOC>5</LCOC>
                            <LCPTBMCN>3</LCPTBMCN>
                            <LCPTBN>2</LCPTBN>
                          </ClmnBlkProps>
                          <ClmnBlkPts>
                            <ClmnBlkPt>
                              <ClmnBlkPtProps>
                                <CBPT>0</CBPT>
                                <ST>18</ST>
                                <SON>5</SON>
                                <VOFFF><![CDATA[0]]></VOFFF>
                              </ClmnBlkPtProps>
                              <LnkInForms>
                                <LnkInForm>
                                  <LnkInFormProps>
                                    <CBPLI>1,1,7,2,1</CBPLI>
                                    <ELN>1</ELN>
                                    <FFF><![CDATA[=§A¿10,FALSE,0,2,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6</SON>
                                <VOFFF><![CDATA[=IF(COUNTIF(§A¿0,1,1,1,7,2,1,1,0,0,FALSE,FALSE,1,7,2,1,2,0,0,FALSE,FALSE§Z¿,"<>0")=0,0,INDEX(§A¿0,1,1,1,7,2,1,1,0,0,FALSE,FALSE,1,7,2,1,2,0,0,FALSE,FALSE§Z¿,MATCH(TRUE,INDEX(§A¿0,1,1,1,7,2,1,1,0,0,FALSE,FALSE,1,7,2,1,2,0,0,FALSE,FALSE§Z¿<>0,0),0)))]]></VOFFF>
                              </ClmnBlkPtProps>
                              <RgeNmes>
                                <RgeNme>
                                  <RgeNmeProps>
                                    <CBPLI>1,1,7,2,6</CBPLI>
                                    <MCN>1</MCN>
                                    <SN>1</SN>
                                    <EN>7</EN>
                                    <CN>0</CN>
                                    <CBN>2</CBN>
                                    <CBPN>6</CBPN>
                                    <PT>1</PT>
                                    <CBPRNT>6</CBPRNT>
                                    <NT>-1</NT>
                                    <SP1><![CDATA[Data_Tables]]></SP1>
                                    <SP2/>
                                    <FFF/>
                                    <CMT/>
                                  </RgeNmeProps>
                                </RgeNme>
                              </RgeNmes>
                            </ClmnBlkPt>
                          </ClmnBlkPts>
                        </ClmnBlk>
                      </ClmnBlks>
                      <SubTtls>
                        <SubTtl>
                          <Ctgs>
                            <Ctg>
                              <CtgProps>
                                <R>4</R>
                              </CtgProps>
                              <LnkIn>
                                <LnkInProps>
                                  <MN>2</MN>
                                  <CLI>1,1,7,False,1</CLI>
                                  <ELN>1</ELN>
                                  <LOOT>2</LOOT>
                                  <LOMN>60</LOMN>
                                  <LOMCN>1</LOMCN>
                                  <LOSN>1</LOSN>
                                  <LOEN>18</LOEN>
                                  <LOCN>0</LOCN>
                                </LnkInProps>
                              </LnkIn>
                            </Ctg>
                          </Ctgs>
                        </SubTtl>
                      </SubTtls>
                      <TtlCtg>
                        <TtlCtgProps>
                          <R>3</R>
                        </TtlCtgProps>
                      </TtlCtg>
                      <ElmtLnksIn>
                        <ElmtLnk>
                          <ElmtLnkProps>
                            <ELI>1,1,7</ELI>
                            <ELN>1</ELN>
                            <ELGN>1</ELGN>
                            <MLG>2A81519E-F0C6-4A2A-BDF6-68ADCD9F04D5</MLG>
                            <ICBI>1,2</ICBI>
                            <ILBN/>
                            <LIBN>0</LIBN>
                          </ElmtLnkProps>
                        </ElmtLnk>
                      </ElmtLnksIn>
                    </Elmt>
                    <Elmt>
                      <ElmtProps>
                        <CPT>2</CPT>
                      </ElmtProps>
                      <TtlCtg>
                        <TtlCtgProps>
                          <R>2</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pplied Scenario]]></VOFFF>
                              </ClmnBlkPtProps>
                            </ClmnBlkPt>
                          </ClmnBlkPts>
                        </ClmnBlk>
                        <ClmnBlk>
                          <ClmnBlkProps>
                            <FCPT>3</FCPT>
                            <FCN>8</FCN>
                            <FCOT>0</FCOT>
                            <FCOC>5</FCOC>
                            <FCPTBMCN>3</FCPTBMCN>
                            <FCPTBN>2</FCPTBN>
                            <LCPT>3</LCPT>
                            <LCN>8</LCN>
                            <LCOT>0</LCOT>
                            <LCOC>5</LCOC>
                            <LCPTBMCN>3</LCPTBMCN>
                            <LCPTBN>2</LCPTBN>
                          </ClmnBlkProps>
                          <ClmnBlkPts>
                            <ClmnBlkPt>
                              <ClmnBlkPtProps>
                                <CBPT>5</CBPT>
                                <ST>18</ST>
                                <SON>7</SON>
                                <VOFFF><![CDATA[=IF(§A¿1,1,1,1,7,0,2,6,1§Z¿>0,§A¿1,1,1,1,7,0,2,6,1§Z¿,§A¿1,1,1,1,5,0,2,1,1§Z¿)]]></VOFFF>
                              </ClmnBlkPtProps>
                              <RgeNmes>
                                <RgeNme>
                                  <RgeNmeProps>
                                    <CBPLI>1,1,9,2,1</CBPLI>
                                    <MCN>1</MCN>
                                    <SN>1</SN>
                                    <EN>9</EN>
                                    <CN>0</CN>
                                    <CBN>2</CBN>
                                    <CBPN>1</CBPN>
                                    <PT>1</PT>
                                    <CBPRNT>6</CBPRNT>
                                    <NT>-1</NT>
                                    <SP1><![CDATA[Active]]></SP1>
                                    <SP2/>
                                    <FFF/>
                                    <CMT/>
                                  </RgeNmeProps>
                                </RgeNme>
                              </RgeNmes>
                            </ClmnBlkPt>
                          </ClmnBlkPts>
                        </ClmnBlk>
                      </ClmnBlks>
                      <TtlCtg>
                        <TtlCtgProps>
                          <R>3</R>
                        </TtlCtgProps>
                      </TtlCtg>
                      <ElmtLnksOut>
                        <ElmtLnk>
                          <ElmtLnkProps>
                            <ELI>1,1,9</ELI>
                            <ELN>1</ELN>
                            <ELGN>1</ELGN>
                            <MLG>D4DCC3F9-35E2-4238-8D02-A3DB30F01813</MLG>
                            <ICBI>1,2</ICBI>
                            <ILBN>1,2</ILBN>
                            <LIBN>0</LIBN>
                          </ElmtLnkProps>
                        </ElmtLnk>
                      </ElmtLnksOut>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Display Name If First Scenario Active?]]></VOFFF>
                              </ClmnBlkPtProps>
                            </ClmnBlkPt>
                          </ClmnBlkPts>
                        </ClmnBlk>
                        <ClmnBlk>
                          <ClmnBlkProps>
                            <FCPT>3</FCPT>
                            <FCN>8</FCN>
                            <FCOT>0</FCOT>
                            <FCOC>5</FCOC>
                            <FCPTBMCN>3</FCPTBMCN>
                            <FCPTBN>2</FCPTBN>
                            <LCPT>3</LCPT>
                            <LCN>8</LCN>
                            <LCOT>0</LCOT>
                            <LCOC>5</LCOC>
                            <LCPTBMCN>3</LCPTBMCN>
                            <LCPTBN>2</LCPTBN>
                          </ClmnBlkProps>
                          <ClmnBlkPts>
                            <ClmnBlkPt>
                              <ClmnBlkPtProps>
                                <CBPT>5</CBPT>
                                <ST>8</ST>
                                <SON>1</SON>
                                <VOFFF><![CDATA[No]]></VOFFF>
                                <UDAV><![CDATA[No]]></UDAV>
                              </ClmnBlkPtProps>
                              <Vdtn>
                                <VdtnProps>
                                  <CBPLI>1,1,10,2,1</CBPLI>
                                  <ADVT>-1</ADVT>
                                  <VT>3</VT>
                                  <AS>1</AS>
                                  <O>1</O>
                                  <F1FFF><![CDATA[Yes,No]]></F1FFF>
                                  <F2FFF/>
                                  <IB>False</IB>
                                  <ICDD>True</ICDD>
                                  <SI>False</SI>
                                  <IT/>
                                  <IM/>
                                  <SE>True</SE>
                                  <ET><![CDATA[Invalid Assumption]]></ET>
                                  <EM><![CDATA[The assumption must be Yes or No.]]></EM>
                                  <IMO>0</IMO>
                                </VdtnProps>
                              </Vdtn>
                              <RgeNmes>
                                <RgeNme>
                                  <RgeNmeProps>
                                    <CBPLI>1,1,10,2,1</CBPLI>
                                    <MCN>1</MCN>
                                    <SN>1</SN>
                                    <EN>10</EN>
                                    <CN>0</CN>
                                    <CBN>2</CBN>
                                    <CBPN>1</CBPN>
                                    <PT>1</PT>
                                    <CBPRNT>6</CBPRNT>
                                    <NT>-1</NT>
                                    <SP1><![CDATA[Display_First]]></SP1>
                                    <SP2/>
                                    <FFF/>
                                    <CMT/>
                                  </RgeNmeProps>
                                </RgeNme>
                              </RgeNmes>
                            </ClmnBlkPt>
                          </ClmnBlkPts>
                        </ClmnBlk>
                      </ClmnBlks>
                      <TtlCtg>
                        <TtlCtgProps>
                          <R>3</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Displayed Scenario Name]]></VOFFF>
                              </ClmnBlkPtProps>
                            </ClmnBlkPt>
                          </ClmnBlkPts>
                        </ClmnBlk>
                        <ClmnBlk>
                          <ClmnBlkProps>
                            <FCPT>3</FCPT>
                            <FCN>8</FCN>
                            <FCOT>0</FCOT>
                            <FCOC>5</FCOC>
                            <FCPTBMCN>3</FCPTBMCN>
                            <FCPTBN>2</FCPTBN>
                            <LCPT>3</LCPT>
                            <LCN>8</LCN>
                            <LCOT>0</LCOT>
                            <LCOC>5</LCOC>
                            <LCPTBMCN>3</LCPTBMCN>
                            <LCPTBN>2</LCPTBN>
                          </ClmnBlkProps>
                          <ClmnBlkPts>
                            <ClmnBlkPt>
                              <ClmnBlkPtProps>
                                <CBPT>5</CBPT>
                                <ST>6</ST>
                                <SON>3</SON>
                                <VOFFF><![CDATA[=IF(AND(§A¿1,1,1,1,9,0,2,1,1§Z¿=1,§A¿0,1,0,1,10,2,1,-1,0,0,FALSE,FALSE§Z¿="No"),""," ("&§A¿1,1,1,1,13,0,3,1,1§Z¿&")")]]></VOFFF>
                              </ClmnBlkPtProps>
                              <RgeNmes>
                                <RgeNme>
                                  <RgeNmeProps>
                                    <CBPLI>1,1,11,2,1</CBPLI>
                                    <MCN>1</MCN>
                                    <SN>1</SN>
                                    <EN>11</EN>
                                    <CN>0</CN>
                                    <CBN>2</CBN>
                                    <CBPN>1</CBPN>
                                    <PT>1</PT>
                                    <CBPRNT>6</CBPRNT>
                                    <NT>-1</NT>
                                    <SP1><![CDATA[Displayed_Name]]></SP1>
                                    <SP2/>
                                    <FFF/>
                                    <CMT/>
                                  </RgeNmeProps>
                                </RgeNme>
                              </RgeNmes>
                            </ClmnBlkPt>
                          </ClmnBlkPts>
                        </ClmnBlk>
                      </ClmnBlks>
                      <TtlCtg>
                        <TtlCtgProps>
                          <R>3</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cenarios Count]]></VOFFF>
                              </ClmnBlkPtProps>
                            </ClmnBlkPt>
                          </ClmnBlkPts>
                        </ClmnBlk>
                        <ClmnBlk>
                          <ClmnBlkProps>
                            <FCPT>3</FCPT>
                            <FCN>8</FCN>
                            <FCOT>0</FCOT>
                            <FCOC>5</FCOC>
                            <FCPTBMCN>3</FCPTBMCN>
                            <FCPTBN>2</FCPTBN>
                            <LCPT>3</LCPT>
                            <LCN>8</LCN>
                            <LCOT>0</LCOT>
                            <LCOC>5</LCOC>
                            <LCPTBMCN>3</LCPTBMCN>
                            <LCPTBN>2</LCPTBN>
                          </ClmnBlkProps>
                          <ClmnBlkPts>
                            <ClmnBlkPt>
                              <ClmnBlkPtProps>
                                <CBPT>5</CBPT>
                                <ST>11</ST>
                                <SON>5</SON>
                                <VOFFF><![CDATA[3]]></VOFFF>
                                <UDAV><![CDATA[3]]></UDAV>
                              </ClmnBlkPtProps>
                              <Vdtn>
                                <VdtnProps>
                                  <CBPLI>1,1,12,2,1</CBPLI>
                                  <ADVT>-1</ADVT>
                                  <VT>1</VT>
                                  <AS>1</AS>
                                  <O>5</O>
                                  <F1FFF><![CDATA[0]]></F1FFF>
                                  <F2FFF/>
                                  <IB>False</IB>
                                  <ICDD>False</ICDD>
                                  <SI>False</SI>
                                  <IT/>
                                  <IM/>
                                  <SE>True</SE>
                                  <ET><![CDATA[Invalid Assumption]]></ET>
                                  <EM><![CDATA[The number of scenarios must be a whole number greater than zero.]]></EM>
                                  <IMO>0</IMO>
                                </VdtnProps>
                              </Vdtn>
                              <RgeNmes>
                                <RgeNme>
                                  <RgeNmeProps>
                                    <CBPLI>1,1,12,2,1</CBPLI>
                                    <MCN>1</MCN>
                                    <SN>1</SN>
                                    <EN>12</EN>
                                    <CN>0</CN>
                                    <CBN>2</CBN>
                                    <CBPN>1</CBPN>
                                    <PT>1</PT>
                                    <CBPRNT>6</CBPRNT>
                                    <NT>-1</NT>
                                    <SP1><![CDATA[Count]]></SP1>
                                    <SP2/>
                                    <FFF/>
                                    <CMT/>
                                  </RgeNmeProps>
                                </RgeNme>
                              </RgeNmes>
                            </ClmnBlkPt>
                          </ClmnBlkPts>
                        </ClmnBlk>
                      </ClmnBlks>
                      <TtlCtg>
                        <TtlCtgProps>
                          <R>1</R>
                        </TtlCtgProps>
                      </TtlCtg>
                      <ElmtLnksOut>
                        <ElmtLnk>
                          <ElmtLnkProps>
                            <ELI>1,1,12</ELI>
                            <ELN>1</ELN>
                            <ELGN>1</ELGN>
                            <MLG>7B9C09EC-9438-47E8-9ED3-81009B4CDC75</MLG>
                            <ICBI>1,2</ICBI>
                            <ILBN>1,2</ILBN>
                            <LIBN>0</LIBN>
                          </ElmtLnkProps>
                        </ElmtLnk>
                      </ElmtLnksOut>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Name]]></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2</SON>
                                <VOFFF><![CDATA[Name]]></VOFFF>
                              </ClmnBlkPtProps>
                            </ClmnBlkPt>
                          </ClmnBlkPts>
                        </ClmnBlk>
                        <ClmnBlk>
                          <ClmnBlkProps>
                            <FCPT>3</FCPT>
                            <FCN>9</FCN>
                            <FCOT>0</FCOT>
                            <FCOC>6</FCOC>
                            <FCPTBMCN>3</FCPTBMCN>
                            <FCPTBN>2</FCPTBN>
                            <LCPT>3</LCPT>
                            <LCN>9</LCN>
                            <LCOT>1</LCOT>
                            <LCOC>0</LCOC>
                            <LCPTBMCN>3</LCPTBMCN>
                            <LCPTBN>2</LCPTBN>
                          </ClmnBlkProps>
                          <ClmnBlkPts>
                            <ClmnBlkPt>
                              <ClmnBlkPtProps>
                                <CBPT>5</CBPT>
                                <ST>6</ST>
                                <SON>3</SON>
                                <VOFFF><![CDATA[=INDEX(§A¿0,1,1,1,13,4,1,-1,0,0,FALSE,TRUE,1,13,4,1,-1,1,0,FALSE,TRUE§Z¿,1,§A¿1,1,1,1,9,0,2,1,1§Z¿)]]></VOFFF>
                              </ClmnBlkPtProps>
                              <RgeNmes>
                                <RgeNme>
                                  <RgeNmeProps>
                                    <CBPLI>1,1,13,3,1</CBPLI>
                                    <MCN>1</MCN>
                                    <SN>1</SN>
                                    <EN>13</EN>
                                    <CN>0</CN>
                                    <CBN>3</CBN>
                                    <CBPN>1</CBPN>
                                    <PT>1</PT>
                                    <CBPRNT>6</CBPRNT>
                                    <NT>-1</NT>
                                    <SP1><![CDATA[Active_Name]]></SP1>
                                    <SP2/>
                                    <FFF/>
                                    <CMT/>
                                  </RgeNmeProps>
                                </RgeNme>
                              </RgeNmes>
                            </ClmnBlkPt>
                          </ClmnBlkPts>
                        </ClmnBlk>
                        <ClmnBlk>
                          <ClmnBlkProps>
                            <FCPT>3</FCPT>
                            <FCN>10</FCN>
                            <FCOT>0</FCOT>
                            <FCOC>0</FCOC>
                            <FCPTBMCN>3</FCPTBMCN>
                            <FCPTBN>3</FCPTBN>
                            <LCPT>3</LCPT>
                            <LCN>12</LCN>
                            <LCOT>1</LCOT>
                            <LCOC>0</LCOC>
                            <LCPTBMCN>3</LCPTBMCN>
                            <LCPTBN>3</LCPTBN>
                          </ClmnBlkProps>
                          <ClmnBlkPts>
                            <ClmnBlkPt>
                              <ClmnBlkPtProps>
                                <CBPT>5</CBPT>
                                <ST>8</ST>
                                <SON>1</SON>
                                <VOFFF><![CDATA[Scenario <ColumnNumber>]]></VOFFF>
                                <UDAV><![CDATA[Scenario <ColumnNumber>]]></UDAV>
                              </ClmnBlkPtProps>
                              <FmtCnds>
                                <FmtCnd>
                                  <FmtCndProps>
                                    <CBPLI>1,1,13,4,1</CBPLI>
                                    <FCN>1</FCN>
                                    <FCT>2</FCT>
                                    <FCO>1</FCO>
                                    <F1FFF><![CDATA[=§A¿1,1,1,1,9,0,2,1,1§Z¿=§A¿9,3,1,0,1,2,3,1,-1,0,0,TRUE,FALSE§Z¿]]></F1FFF>
                                    <F2FFF/>
                                    <SIT>False</SIT>
                                    <BSV>True</BSV>
                                    <BCT>0</BCT>
                                    <CNBCN>0</CNBCN>
                                    <BTAS>0</BTAS>
                                    <IST>1</IST>
                                    <RO>False</RO>
                                    <SIO>False</SIO>
                                    <TO>0</TO>
                                    <TS/>
                                    <DO>1</DO>
                                    <TB>1</TB>
                                    <R>10</R>
                                    <P>False</P>
                                    <AB>0</AB>
                                    <NSD>1</NSD>
                                    <DU>1</DU>
                                    <INF>False</INF>
                                    <NT>0</NT>
                                    <DP>0</DP>
                                    <CNF/>
                                  </FmtCndProps>
                                  <IntOvly>
                                    <IntOvlyProps>
                                      <PT>2</PT>
                                      <SON>0</SON>
                                      <CBPLI>1,1,13,4,1</CBPLI>
                                      <FCN>1</FCN>
                                      <IC>True</IC>
                                      <CT>3</CT>
                                      <CN>5</CN>
                                      <TAS>0.5999634</TAS>
                                    </IntOvlyProps>
                                  </IntOvly>
                                </FmtCnd>
                              </FmtCnds>
                            </ClmnBlkPt>
                          </ClmnBlkPts>
                        </ClmnBlk>
                      </ClmnBlks>
                      <TtlCtg>
                        <TtlCtgProps>
                          <R>1</R>
                        </TtlCtgProps>
                      </TtlCtg>
                    </Elmt>
                    <Elmt>
                      <ElmtProps>
                        <CPT>2</CPT>
                      </ElmtProps>
                      <TtlCtg>
                        <TtlCtgProps>
                          <R>3</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5</ST>
                                <VOFFF><![CDATA[Scenario]]></VOFFF>
                              </ClmnBlkPtProps>
                            </ClmnBlkPt>
                          </ClmnBlkPts>
                        </ClmnBlk>
                        <ClmnBlk>
                          <ClmnBlkProps>
                            <FCPT>3</FCPT>
                            <FCN>6</FCN>
                            <FCOT>0</FCOT>
                            <FCOC>3</FCOC>
                            <FCPTBMCN>3</FCPTBMCN>
                            <FCPTBN>2</FCPTBN>
                            <LCPT>3</LCPT>
                            <LCN>6</LCN>
                            <LCOT>0</LCOT>
                            <LCOC>3</LCOC>
                            <LCPTBMCN>3</LCPTBMCN>
                            <LCPTBN>2</LCPTBN>
                          </ClmnBlkProps>
                          <ClmnBlkPts>
                            <ClmnBlkPt>
                              <ClmnBlkPtProps>
                                <CBPT>5</CBPT>
                                <ST>5</ST>
                                <VOFFF><![CDATA[Description]]></VOFFF>
                              </ClmnBlkPtProps>
                            </ClmnBlkPt>
                          </ClmnBlkPts>
                        </ClmnBlk>
                      </ClmnBlks>
                      <TtlCtg>
                        <TtlCtgProps>
                          <R>3</R>
                        </TtlCtgProps>
                      </TtlCtg>
                    </Elmt>
                    <Elmt>
                      <ElmtProps>
                        <CPT>1</CPT>
                        <TOT>False</TOT>
                        <EGN>2</EGN>
                      </ElmtProps>
                      <ClmnBlks>
                        <ClmnBlk>
                          <ClmnBlkProps>
                            <FCPT>3</FCPT>
                            <FCN>2</FCN>
                            <FCOT>0</FCOT>
                            <FCOC>0</FCOC>
                            <FCPTBMCN>3</FCPTBMCN>
                            <FCPTBN>1</FCPTBN>
                            <LCPT>3</LCPT>
                            <LCN>2</LCN>
                            <LCOT>1</LCOT>
                            <LCOC>0</LCOC>
                            <LCPTBMCN>3</LCPTBMCN>
                            <LCPTBN>1</LCPTBN>
                          </ClmnBlkProps>
                          <ClmnBlkPts>
                            <ClmnBlkPt>
                              <ClmnBlkPtProps>
                                <CBPT>0</CBPT>
                                <ST>6</ST>
                                <VOFFF><![CDATA[=§A¿0,2,0,1,6,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6</FCN>
                            <FCOT>0</FCOT>
                            <FCOC>3</FCOC>
                            <FCPTBMCN>3</FCPTBMCN>
                            <FCPTBN>2</FCPTBN>
                            <LCPT>3</LCPT>
                            <LCN>9</LCN>
                            <LCOT>1</LCOT>
                            <LCOC>0</LCOC>
                            <LCPTBMCN>3</LCPTBMCN>
                            <LCPTBN>2</LCPTBN>
                          </ClmnBlkProps>
                          <ClmnBlkPts>
                            <ClmnBlkPt>
                              <ClmnBlkPtProps>
                                <CBPT>0</CBPT>
                                <ST>8</ST>
                                <MC>True</MC>
                                <VOFFF><![CDATA[Scenario <CategoryNumber> Description]]></VOFFF>
                                <UDAV><![CDATA[Scenario <CategoryNumber> Description]]></UDAV>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3</CC>
                              <R>4</R>
                            </CatSpanProps>
                          </CatSpan>
                        </SubTtl>
                      </SubTtls>
                      <TtlCtg/>
                      <ElmtLnksOut>
                        <ElmtLnk>
                          <ElmtLnkProps>
                            <ELI>1,1,16</ELI>
                            <ELN>1</ELN>
                            <ELGN>2</ELGN>
                            <MLG>570C6DD5-823F-4C1B-B2D6-A67A055FA554</MLG>
                            <ICBI>1,2</ICBI>
                            <ILBN>1,2</ILBN>
                            <LIBN>0</LIBN>
                          </ElmtLnkProps>
                        </ElmtLnk>
                      </ElmtLnksOut>
                    </Elmt>
                  </Elmts>
                </Sect>
              </Sects>
              <Ctrls>
                <Ctrl>
                  <CtrlProps>
                    <MN>2</MN>
                    <MCN>1</MCN>
                    <SIT>0</SIT>
                    <TLCRSN>1</TLCRSN>
                    <TLCREN>5</TLCREN>
                    <TLCRSRT>5</TLCRSRT>
                    <TLCCPT>3</TLCCPT>
                    <TLCCN>7</TLCCN>
                    <TLCCOT>0</TLCCOT>
                    <TLCCOC>4</TLCCOC>
                    <TLCCPTBMCN>3</TLCCPTBMCN>
                    <TLCCPTBN>2</TLCCPTBN>
                    <BRCRSN>1</BRCRSN>
                    <BRCREN>5</BRCREN>
                    <BRCRSRT>5</BRCRSRT>
                    <BRCCPT>3</BRCCPT>
                    <BRCCN>8</BRCCN>
                    <BRCCOT>0</BRCCOT>
                    <BRCCOC>5</BRCCOC>
                    <BRCCPTBMCN>3</BRCCPTBMCN>
                    <BRCCPTBN>2</BRCCPTBN>
                    <P>1</P>
                    <HAL>-4131</HAL>
                    <WA>1</WA>
                    <VA>-4108</VA>
                    <HAD>1</HAD>
                    <TI>0</TI>
                    <CT>0</CT>
                    <N/>
                    <D3DS>False</D3DS>
                    <PO>True</PO>
                    <L>True</L>
                    <OA/>
                    <T/>
                    <THA>-4108</THA>
                    <TVA>-4108</TVA>
                    <LT>True</LT>
                    <LCFFA><![CDATA[§A¿1,1,1,1,5,0,2,1,1§Z¿]]></LCFFA>
                    <LCCA/>
                    <CV>1</CV>
                    <MIV>0</MIV>
                    <MAV>100</MAV>
                    <SC>1</SC>
                    <LC>10</LC>
                    <LFRFFA><![CDATA[§A¿1,1,2,1,6,0,1,1,1§Z¿]]></LFRFFA>
                    <LFRCA/>
                    <DDL>0</DDL>
                  </CtrlProps>
                </Ctrl>
              </Ctrls>
            </ModComp>
            <ModComp>
              <ModCompProps>
                <MN>2</MN>
                <MCN>2</MCN>
                <MCTK>LU</MCTK>
                <RT><![CDATA[<ModuleName> - Lookups]]></RT>
                <ERN>MODMC17</ERN>
                <MCST>3</MCST>
                <IPMC>False</IPMC>
                <SN>19</SN>
                <LODS>False</LODS>
                <LST>False</LST>
                <RSTF>False</RSTF>
                <STRA>0</STRA>
                <HS>False</HS>
                <IBOA>0</IBOA>
                <IB>True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33</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0</FCPT>
                            <FCN>3</FCN>
                            <LCPT>0</LCPT>
                            <LCN>5</LCN>
                          </ClmnBlkProps>
                          <ClmnBlkPts>
                            <ClmnBlkPt>
                              <ClmnBlkPtProps>
                                <CBPT>5</CBPT>
                                <ST>4</ST>
                                <MC>True</MC>
                                <VOFFF><![CDATA[Scenario Nam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1</R>
                        </TtlCtgProps>
                      </TtlCtg>
                    </Elmt>
                    <Elmt>
                      <ElmtProps>
                        <CPT>2</CPT>
                      </ElmtProps>
                      <TtlCtg>
                        <TtlCtgProps>
                          <R>1</R>
                        </TtlCtgProps>
                      </TtlCtg>
                    </Elmt>
                    <Elmt>
                      <ElmtProps>
                        <CPT>0</CPT>
                        <TOT>True</TOT>
                        <EGN>2</EGN>
                      </ElmtProps>
                      <ClmnBlks>
                        <ClmnBlk>
                          <ClmnBlkProps>
                            <FCPT>0</FCPT>
                            <FCN>4</FCN>
                            <LCPT>0</LCPT>
                            <LCN>4</LCN>
                          </ClmnBlkProps>
                          <ClmnBlkPts>
                            <ClmnBlkPt>
                              <ClmnBlkPtProps>
                                <CBPT>0</CBPT>
                                <ST>25</ST>
                                <VOFFF><![CDATA[=INDEX(§A¿0,1,1,1,13,4,1,-1,0,0,TRUE,TRUE,1,13,4,1,-1,1,0,TRUE,TRUE§Z¿,ROWS(§A¿0,2,1,1,6,1,1,1,0,0,TRUE,FALSE,1,6,1,1,0,0,0,FALSE,FALSE§Z¿))]]></VOFFF>
                              </ClmnBlkPtProps>
                              <RgeNmes>
                                <RgeNme>
                                  <RgeNmeProps>
                                    <CBPLI>2,1,6,1,1</CBPLI>
                                    <MCN>2</MCN>
                                    <SN>1</SN>
                                    <EN>6</EN>
                                    <CN>0</CN>
                                    <CBN>1</CBN>
                                    <CBPN>1</CBPN>
                                    <PT>1</PT>
                                    <CBPRNT>2</CBPRNT>
                                    <NT>11</NT>
                                    <SP1><![CDATA[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Scenario Name]]></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Scenarios_Names]]></VOFFF>
                              </ClmnBlkPtProps>
                            </ClmnBlkPt>
                          </ClmnBlkPts>
                        </ClmnBlk>
                      </ClmnBlks>
                      <SubTtls>
                        <SubTtl>
                          <Ctgs>
                            <Ctg>
                              <CtgProps>
                                <R>1</R>
                              </CtgProps>
                              <LuTblLbl>
                                <LuTblLblProps>
                                  <CLI>2,1,6,False,1</CLI>
                                  <L><![CDATA[Lookup Label <CategoryNumber>.]]></L>
                                </LuTblLblProps>
                              </LuTblLbl>
                            </Ctg>
                            <Ctg>
                              <CtgProps>
                                <R>1</R>
                              </CtgProps>
                              <LuTblLbl>
                                <LuTblLblProps>
                                  <CLI>2,1,6,False,2</CLI>
                                  <L><![CDATA[Lookup Label <CategoryNumber>.]]></L>
                                </LuTblLblProps>
                              </LuTblLbl>
                            </Ctg>
                            <Ctg>
                              <CtgProps>
                                <R>1</R>
                              </CtgProps>
                              <LuTblLbl>
                                <LuTblLblProps>
                                  <CLI>2,1,6,False,3</CLI>
                                  <L><![CDATA[Lookup Label <CategoryNumber>.]]></L>
                                </LuTblLblProps>
                              </LuTblLbl>
                            </Ctg>
                          </Ctgs>
                        </SubTtl>
                      </SubTtls>
                      <TtlCtg>
                        <TtlCtgProps>
                          <R>1</R>
                        </TtlCtgProps>
                      </TtlCtg>
                    </Elmt>
                  </Elmts>
                </Sect>
              </Sects>
            </ModComp>
          </ModComps>
        </Mod>
        <Mod>
          <ModProps>
            <MVS>14.0.5.0</MVS>
            <RAV/>
            <RXV>0</RXV>
            <FV>3</FV>
            <MT>0</MT>
            <SCT>-1</SCT>
            <P><![CDATA[OBS]]></P>
            <OI>100</OI>
            <MN>0</MN>
            <MAG>A2CD815D-CA75-43CF-B069-ED711E1EF923</MAG>
            <BN><![CDATA[Opening Balance Sheet]]></BN>
            <N><![CDATA[Opening Balance Sheet]]></N>
            <TS><![CDATA[Requires time series assumptions and/or lookup tables.]]></TS>
            <D><![CDATA[Collects opening balance sheet assumptions.]]></D>
            <FS><![CDATA[Allows for all asset, liability and equity items included within the Modano generic financial model Chart of Accounts 2, including VAT.]]></FS>
            <R><![CDATA[United Kingdom]]></R>
            <GE><![CDATA[Opening Balance Sheet]]></GE>
            <CA><![CDATA[Chart of Accounts 2]]></CA>
            <VA><![CDATA[Single Component]]></VA>
            <GST><![CDATA[VAT]]></GST>
            <DE><![CDATA[Modano]]></DE>
            <E><![CDATA[info@modano.com]]></E>
            <C><![CDATA[Modano]]></C>
            <W><![CDATA[www.modano.com]]></W>
            <K/>
            <CO/>
            <V>10.16.5.1.</V>
            <AX>2</AX>
            <SX/>
            <PMLO>True</PMLO>
            <IPMLO>False</IPMLO>
            <MACA>0</MACA>
            <HP>False</HP>
            <DR>False</DR>
            <RTSM>True</RTSM>
            <CC>True</CC>
            <X>False</X>
            <G>CC40D942-A4F3-4A66-8A24-F2266F1DA285</G>
          </ModProps>
          <RowStgs>
            <RowStg>
              <RowStgProps>
                <RSN>1</RSN>
                <RHST>1</RHST>
                <HS>50</HS>
                <OL>2</OL>
                <RH>False</RH>
              </RowStgProps>
            </RowStg>
            <RowStg>
              <RowStgProps>
                <RSN>2</RSN>
                <RHST>0</RHST>
                <HS>0</HS>
                <OL>2</OL>
                <RH>False</RH>
              </RowStgProps>
            </RowStg>
            <RowStg>
              <RowStgProps>
                <RSN>3</RSN>
                <RHST>0</RHST>
                <HS>0</HS>
                <OL>3</OL>
                <RH>False</RH>
              </RowStgProps>
            </RowStg>
            <RowStg>
              <RowStgProps>
                <RSN>4</RSN>
                <RHST>1</RHST>
                <HS>50</HS>
                <OL>3</OL>
                <RH>False</RH>
              </RowStgProps>
            </RowStg>
          </RowStgs>
          <StlOvlys>
            <StlOvly>
              <StlOvlyProps>
                <SON>1</SON>
              </StlOvlyProps>
              <BdrOvlys>
                <BdrOvly>
                  <BdrOvlyProps>
                    <PT>1</PT>
                    <SON>1</SON>
                    <CBPLI/>
                    <FCN>0</FCN>
                    <I>True</I>
                    <BI>9</BI>
                    <LS>1</LS>
                    <W>2</W>
                  </BdrOvlyProps>
                </BdrOvly>
              </BdrOvlys>
            </StlOvly>
            <StlOvly>
              <StlOvlyProps>
                <SON>2</SON>
                <INF>True</INF>
                <NT>0</NT>
                <DP>0</DP>
                <CNF/>
              </StlOvlyProps>
            </StlOvly>
            <StlOvly>
              <StlOvlyProps>
                <SON>3</SON>
                <INF>True</INF>
                <NT>0</NT>
                <DP>0</DP>
                <CNF/>
              </StlOvlyProps>
              <BdrOvlys>
                <BdrOvly>
                  <BdrOvlyProps>
                    <PT>1</PT>
                    <SON>3</SON>
                    <CBPLI/>
                    <FCN>0</FCN>
                    <I>True</I>
                    <BI>9</BI>
                    <LS>-4115</LS>
                    <W>2</W>
                  </BdrOvlyProps>
                </BdrOvly>
              </BdrOvlys>
            </StlOvly>
            <StlOvly>
              <StlOvlyProps>
                <SON>4</SON>
              </StlOvlyProps>
              <FntOvly>
                <FntOvlyProps>
                  <PT>1</PT>
                  <SON>4</SON>
                  <CBPLI>0,0,0,0,0</CBPLI>
                  <FCN>0</FCN>
                  <CN>0</CN>
                  <IB>True</IB>
                  <B>False</B>
                </FntOvlyProps>
              </FntOvly>
            </StlOvly>
            <StlOvly>
              <StlOvlyProps>
                <SON>5</SON>
                <INF>True</INF>
                <IHA>True</IHA>
                <NT>5</NT>
                <DP>0</DP>
                <CNF><![CDATA[_)d-mmm-yy_);_)d-mmm-yy_);_)"-"_);_)@_)]]></CNF>
                <HA>-4108</HA>
              </StlOvlyProps>
            </StlOvly>
            <StlOvly>
              <StlOvlyProps>
                <SON>6</SON>
                <INF>True</INF>
                <NT>-2</NT>
                <DP>0</DP>
                <CNF><![CDATA[_(#,##0_);(#,##0);_("-"_);_)@_)]]></CNF>
              </StlOvlyProps>
              <BdrOvlys>
                <BdrOvly>
                  <BdrOvlyProps>
                    <PT>1</PT>
                    <SON>6</SON>
                    <CBPLI/>
                    <FCN>0</FCN>
                    <I>True</I>
                    <BI>9</BI>
                    <LS>1</LS>
                    <W>2</W>
                  </BdrOvlyProps>
                </BdrOvly>
              </BdrOvlys>
            </StlOvly>
            <StlOvly>
              <StlOvlyProps>
                <SON>7</SON>
                <INF>True</INF>
                <NT>-2</NT>
                <DP>0</DP>
                <CNF><![CDATA[_(#,##0_);(#,##0);_("-"_);_)@_)]]></CNF>
              </StlOvlyProps>
            </StlOvly>
            <StlOvly>
              <StlOvlyProps>
                <SON>8</SON>
                <INF>True</INF>
                <NT>-2</NT>
                <DP>0</DP>
                <CNF><![CDATA[_(#,##0_);(#,##0);_("-"_);_)@_)]]></CNF>
              </StlOvlyProps>
              <FntOvly>
                <FntOvlyProps>
                  <PT>1</PT>
                  <SON>8</SON>
                  <CBPLI>0,0,0,0,0</CBPLI>
                  <FCN>0</FCN>
                  <CN>0</CN>
                  <IB>True</IB>
                  <B>True</B>
                </FntOvlyProps>
              </FntOvly>
              <BdrOvlys>
                <BdrOvly>
                  <BdrOvlyProps>
                    <PT>1</PT>
                    <SON>8</SON>
                    <CBPLI/>
                    <FCN>0</FCN>
                    <I>True</I>
                    <BI>8</BI>
                    <LS>1</LS>
                    <W>2</W>
                  </BdrOvlyProps>
                </BdrOvly>
              </BdrOvlys>
            </StlOvly>
            <StlOvly>
              <StlOvlyProps>
                <SON>9</SON>
                <INF>True</INF>
                <NT>-2</NT>
                <DP>0</DP>
                <CNF><![CDATA[_(#,##0_);(#,##0);_("-"_);_)@_)]]></CNF>
              </StlOvlyProps>
              <FntOvly>
                <FntOvlyProps>
                  <PT>1</PT>
                  <SON>9</SON>
                  <CBPLI>0,0,0,0,0</CBPLI>
                  <FCN>0</FCN>
                  <CN>0</CN>
                  <IB>True</IB>
                  <B>True</B>
                </FntOvlyProps>
              </FntOvly>
              <BdrOvlys>
                <BdrOvly>
                  <BdrOvlyProps>
                    <PT>1</PT>
                    <SON>9</SON>
                    <CBPLI/>
                    <FCN>0</FCN>
                    <I>True</I>
                    <BI>8</BI>
                    <LS>1</LS>
                    <W>2</W>
                  </BdrOvlyProps>
                </BdrOvly>
                <BdrOvly>
                  <BdrOvlyProps>
                    <PT>1</PT>
                    <SON>9</SON>
                    <CBPLI/>
                    <FCN>0</FCN>
                    <I>True</I>
                    <BI>9</BI>
                    <LS>1</LS>
                    <W>2</W>
                  </BdrOvlyProps>
                </BdrOvly>
              </BdrOvlys>
            </StlOvly>
            <StlOvly>
              <StlOvlyProps>
                <SON>10</SON>
                <INF>True</INF>
                <NT>-2</NT>
                <DP>0</DP>
                <CNF><![CDATA[_(#,##0_);(#,##0);_("-"_);_)@_)]]></CNF>
              </StlOvlyProps>
              <FntOvly>
                <FntOvlyProps>
                  <PT>1</PT>
                  <SON>10</SON>
                  <CBPLI>0,0,0,0,0</CBPLI>
                  <FCN>0</FCN>
                  <CN>0</CN>
                  <IB>True</IB>
                  <B>True</B>
                </FntOvlyProps>
              </FntOvly>
              <BdrOvlys>
                <BdrOvly>
                  <BdrOvlyProps>
                    <PT>1</PT>
                    <SON>10</SON>
                    <CBPLI/>
                    <FCN>0</FCN>
                    <I>True</I>
                    <BI>8</BI>
                    <LS>1</LS>
                    <W>2</W>
                  </BdrOvlyProps>
                </BdrOvly>
                <BdrOvly>
                  <BdrOvlyProps>
                    <PT>1</PT>
                    <SON>10</SON>
                    <CBPLI/>
                    <FCN>0</FCN>
                    <I>True</I>
                    <BI>9</BI>
                    <LS>-4119</LS>
                    <W>4</W>
                  </BdrOvlyProps>
                </BdrOvly>
              </BdrOvlys>
            </StlOvly>
          </StlOvlys>
          <ElmtsGrps>
            <ElmtsGrp>
              <ElmtsGrpProps>
                <NU>1</NU>
                <NA><![CDATA[Debtors]]></NA>
                <EGT>0</EGT>
                <DCC>3</DCC>
                <AST>True</AST>
                <ISTH>True</ISTH>
                <PTMCN>0</PTMCN>
                <PTBN>0</PTBN>
                <PTBI>0</PTBI>
                <GLN/>
                <CLOT>0</CLOT>
                <CLIT>0</CLIT>
                <PMLO>0</PMLO>
                <IPMLO>0</IPMLO>
              </ElmtsGrpProps>
            </ElmtsGrp>
            <ElmtsGrp>
              <ElmtsGrpProps>
                <NU>2</NU>
                <NA><![CDATA[Inventory]]></NA>
                <EGT>0</EGT>
                <DCC>3</DCC>
                <AST>True</AST>
                <ISTH>True</ISTH>
                <PTMCN>0</PTMCN>
                <PTBN>0</PTBN>
                <PTBI>0</PTBI>
                <GLN/>
                <CLOT>0</CLOT>
                <CLIT>0</CLIT>
                <PMLO>0</PMLO>
                <IPMLO>0</IPMLO>
              </ElmtsGrpProps>
            </ElmtsGrp>
            <ElmtsGrp>
              <ElmtsGrpProps>
                <NU>3</NU>
                <NA><![CDATA[Other Current Assets]]></NA>
                <EGT>0</EGT>
                <DCC>3</DCC>
                <AST>True</AST>
                <ISTH>True</ISTH>
                <PTMCN>0</PTMCN>
                <PTBN>0</PTBN>
                <PTBI>0</PTBI>
                <GLN/>
                <CLOT>0</CLOT>
                <CLIT>0</CLIT>
                <PMLO>0</PMLO>
                <IPMLO>0</IPMLO>
              </ElmtsGrpProps>
            </ElmtsGrp>
            <ElmtsGrp>
              <ElmtsGrpProps>
                <NU>4</NU>
                <NA><![CDATA[Fixed Assets]]></NA>
                <EGT>0</EGT>
                <DCC>3</DCC>
                <AST>True</AST>
                <ISTH>True</ISTH>
                <PTMCN>0</PTMCN>
                <PTBN>0</PTBN>
                <PTBI>0</PTBI>
                <GLN/>
                <CLOT>0</CLOT>
                <CLIT>0</CLIT>
                <PMLO>0</PMLO>
                <IPMLO>0</IPMLO>
              </ElmtsGrpProps>
            </ElmtsGrp>
            <ElmtsGrp>
              <ElmtsGrpProps>
                <NU>5</NU>
                <NA><![CDATA[Other Non-Current Assets]]></NA>
                <EGT>0</EGT>
                <DCC>3</DCC>
                <AST>True</AST>
                <ISTH>True</ISTH>
                <PTMCN>0</PTMCN>
                <PTBN>0</PTBN>
                <PTBI>0</PTBI>
                <GLN/>
                <CLOT>0</CLOT>
                <CLIT>0</CLIT>
                <PMLO>0</PMLO>
                <IPMLO>0</IPMLO>
              </ElmtsGrpProps>
            </ElmtsGrp>
            <ElmtsGrp>
              <ElmtsGrpProps>
                <NU>6</NU>
                <NA><![CDATA[Creditors]]></NA>
                <EGT>0</EGT>
                <DCC>3</DCC>
                <AST>True</AST>
                <ISTH>True</ISTH>
                <PTMCN>0</PTMCN>
                <PTBN>0</PTBN>
                <PTBI>0</PTBI>
                <GLN/>
                <CLOT>0</CLOT>
                <CLIT>0</CLIT>
                <PMLO>0</PMLO>
                <IPMLO>0</IPMLO>
              </ElmtsGrpProps>
            </ElmtsGrp>
            <ElmtsGrp>
              <ElmtsGrpProps>
                <NU>7</NU>
                <NA><![CDATA[Inventory Payables]]></NA>
                <EGT>0</EGT>
                <DCC>3</DCC>
                <AST>True</AST>
                <ISTH>True</ISTH>
                <PTMCN>0</PTMCN>
                <PTBN>0</PTBN>
                <PTBI>0</PTBI>
                <GLN/>
                <CLOT>0</CLOT>
                <CLIT>0</CLIT>
                <PMLO>0</PMLO>
                <IPMLO>0</IPMLO>
              </ElmtsGrpProps>
            </ElmtsGrp>
            <ElmtsGrp>
              <ElmtsGrpProps>
                <NU>8</NU>
                <NA><![CDATA[Debt]]></NA>
                <EGT>0</EGT>
                <DCC>3</DCC>
                <AST>True</AST>
                <ISTH>True</ISTH>
                <PTMCN>0</PTMCN>
                <PTBN>0</PTBN>
                <PTBI>0</PTBI>
                <GLN/>
                <CLOT>0</CLOT>
                <CLIT>0</CLIT>
                <PMLO>0</PMLO>
                <IPMLO>0</IPMLO>
              </ElmtsGrpProps>
            </ElmtsGrp>
            <ElmtsGrp>
              <ElmtsGrpProps>
                <NU>9</NU>
                <NA><![CDATA[Other Current Liabilities]]></NA>
                <EGT>0</EGT>
                <DCC>3</DCC>
                <AST>True</AST>
                <ISTH>True</ISTH>
                <PTMCN>0</PTMCN>
                <PTBN>0</PTBN>
                <PTBI>0</PTBI>
                <GLN/>
                <CLOT>0</CLOT>
                <CLIT>0</CLIT>
                <PMLO>0</PMLO>
                <IPMLO>0</IPMLO>
              </ElmtsGrpProps>
            </ElmtsGrp>
            <ElmtsGrp>
              <ElmtsGrpProps>
                <NU>10</NU>
                <NA><![CDATA[Other Non-Current Liabilities]]></NA>
                <EGT>0</EGT>
                <DCC>3</DCC>
                <AST>True</AST>
                <ISTH>True</ISTH>
                <PTMCN>0</PTMCN>
                <PTBN>0</PTBN>
                <PTBI>0</PTBI>
                <GLN/>
                <CLOT>0</CLOT>
                <CLIT>0</CLIT>
                <PMLO>0</PMLO>
                <IPMLO>0</IPMLO>
              </ElmtsGrpProps>
            </ElmtsGrp>
            <ElmtsGrp>
              <ElmtsGrpProps>
                <NU>11</NU>
                <NA><![CDATA[Other Equity]]></NA>
                <EGT>0</EGT>
                <DCC>3</DCC>
                <AST>True</AST>
                <ISTH>True</ISTH>
                <PTMCN>0</PTMCN>
                <PTBN>0</PTBN>
                <PTBI>0</PTBI>
                <GLN/>
                <CLOT>0</CLOT>
                <CLIT>0</CLIT>
                <PMLO>0</PMLO>
                <IPMLO>0</IPMLO>
              </ElmtsGrpProps>
            </ElmtsGrp>
            <ElmtsGrp>
              <ElmtsGrpProps>
                <NU>12</NU>
                <NA><![CDATA[Interest Payable]]></NA>
                <EGT>0</EGT>
                <DCC>3</DCC>
                <AST>True</AST>
                <ISTH>True</ISTH>
                <PTMCN>0</PTMCN>
                <PTBN>0</PTBN>
                <PTBI>0</PTBI>
                <GLN/>
                <CLOT>0</CLOT>
                <CLIT>0</CLIT>
                <PMLO>0</PMLO>
                <IPMLO>0</IPMLO>
              </ElmtsGrpProps>
            </ElmtsGrp>
          </ElmtsGrps>
          <TrigCbps>
            <TrigCbp>
              <TrigCbpProps>
                <LI>1,1,40,1,1</LI>
                <TT>3</TT>
                <RLI/>
                <R2LI/>
                <TS/>
                <OT>0</OT>
                <FO>0</FO>
              </TrigCbpProps>
            </TrigCbp>
          </TrigCbps>
          <ModComps>
            <ModComp>
              <ModCompProps>
                <MN>3</MN>
                <MCN>1</MCN>
                <MCTK>BaseCase</MCTK>
                <RT><![CDATA[<ModuleName>]]></RT>
                <ERN>MODMC12</ERN>
                <MCST>0</MCST>
                <IPMC>False</IPMC>
                <SN>9</SN>
                <LODS>True</LODS>
                <LST>False</LST>
                <RSTF>False</RSTF>
                <STRA>0</STRA>
                <HS>False</HS>
                <IBOA>0</IBOA>
                <IB>False</IB>
                <CI/>
                <PTI/>
                <PTP>False</PTP>
                <PTD/>
                <PTMCN>0</PTMCN>
                <CROL>0</CROL>
                <CCOL>0</CCOL>
                <AMFN>0</AMFN>
              </ModCompProps>
              <Sects>
                <Sect>
                  <SectProps>
                    <LI>1,1</LI>
                    <EGN>0</EGN>
                  </SectProps>
                  <Elmts>
                    <Elmt>
                      <ElmtProps>
                        <CPT>2</CPT>
                      </ElmtProps>
                      <TtlCtg/>
                    </Elmt>
                    <Elmt>
                      <ElmtProps>
                        <CPT>2</CPT>
                      </ElmtProps>
                      <ClmnBlks>
                        <ClmnBlk>
                          <ClmnBlkProps>
                            <FCPT>0</FCPT>
                            <FCN>2</FCN>
                            <LCPT>0</LCPT>
                            <LCN>2</LCN>
                          </ClmnBlkProps>
                          <ClmnBlkPts>
                            <ClmnBlkPt>
                              <ClmnBlkPtProps>
                                <CBPT>5</CBPT>
                                <HCTHR>True</HCTHR>
                                <CTHN>21</CTHN>
                                <ST>3</ST>
                                <VOFFF><![CDATA[<ModuleComponentTitle>]]></VOFFF>
                              </ClmnBlkPtProps>
                            </ClmnBlkPt>
                          </ClmnBlkPts>
                        </ClmnBlk>
                        <ClmnBlk>
                          <ClmnBlkProps>
                            <FCPT>0</FCPT>
                            <FCN>3</FCN>
                            <LCPT>0</LCPT>
                            <LCN>9</LCN>
                          </ClmnBlkProps>
                          <ClmnBlkPts>
                            <ClmnBlkPt>
                              <ClmnBlkPtProps>
                                <CBPT>5</CBPT>
                                <ST>3</ST>
                                <VOFFF/>
                              </ClmnBlkPtProps>
                            </ClmnBlkPt>
                          </ClmnBlkPts>
                        </ClmnBlk>
                        <ClmnBlk>
                          <ClmnBlkProps>
                            <FCPT>0</FCPT>
                            <FCN>10</FCN>
                            <LCPT>0</LCPT>
                            <LCN>10</LCN>
                          </ClmnBlkProps>
                          <ClmnBlkPts>
                            <ClmnBlkPt>
                              <ClmnBlkPtProps>
                                <CBPT>5</CBPT>
                                <ST>3</ST>
                                <SON>5</SON>
                                <VOFFF><![CDATA[=§A¿7,1,1,1,9,0,2,1,1§Z¿]]></VOFFF>
                              </ClmnBlkPtProps>
                            </ClmnBlkPt>
                          </ClmnBlkPts>
                        </ClmnBlk>
                        <ClmnBlk>
                          <ClmnBlkProps>
                            <FCPT>0</FCPT>
                            <FCN>11</FCN>
                            <LCPT>5</LCPT>
                          </ClmnBlkProps>
                          <ClmnBlkPts>
                            <ClmnBlkPt>
                              <ClmnBlkPtProps>
                                <CBPT>5</CBPT>
                                <ST>3</ST>
                                <VOFFF/>
                              </ClmnBlkPtProps>
                            </ClmnBlkPt>
                          </ClmnBlkPts>
                        </ClmnBlk>
                      </ClmnBlks>
                      <TtlCtg/>
                    </Elmt>
                    <Elmt>
                      <ElmtProps>
                        <CPT>2</CPT>
                      </ElmtProps>
                      <TtlCtg>
                        <TtlCtgProps>
                          <R>2</R>
                        </TtlCtgProps>
                      </TtlCtg>
                    </Elmt>
                    <Elmt>
                      <ElmtProps>
                        <CPT>2</CPT>
                      </ElmtProps>
                      <ClmnBlks>
                        <ClmnBlk>
                          <ClmnBlkProps>
                            <FCPT>0</FCPT>
                            <FCN>2</FCN>
                            <LCPT>0</LCPT>
                            <LCN>2</LCN>
                          </ClmnBlkProps>
                          <ClmnBlkPts>
                            <ClmnBlkPt>
                              <ClmnBlkPtProps>
                                <CBPT>5</CBPT>
                                <ST>6</ST>
                                <VOFFF><![CDATA[Cash]]></VOFFF>
                              </ClmnBlkPtProps>
                            </ClmnBlkPt>
                          </ClmnBlkPts>
                        </ClmnBlk>
                        <ClmnBlk>
                          <ClmnBlkProps>
                            <FCPT>0</FCPT>
                            <FCN>10</FCN>
                            <LCPT>0</LCPT>
                            <LCN>10</LCN>
                          </ClmnBlkProps>
                          <ClmnBlkPts>
                            <ClmnBlkPt>
                              <ClmnBlkPtProps>
                                <CBPT>5</CBPT>
                                <ST>11</ST>
                                <SON>7</SON>
                                <VOFFF><![CDATA[0]]></VOFFF>
                                <UDAV><![CDATA[0]]></UDAV>
                              </ClmnBlkPtProps>
                              <Vdtn>
                                <VdtnProps>
                                  <CBPLI>1,1,4,2,1</CBPLI>
                                  <ADVT>0</ADVT>
                                  <VT>7</VT>
                                </VdtnProps>
                              </Vdtn>
                            </ClmnBlkPt>
                          </ClmnBlkPts>
                        </ClmnBlk>
                      </ClmnBlks>
                      <TtlCtg>
                        <TtlCtgProps>
                          <R>2</R>
                        </TtlCtgProps>
                      </TtlCtg>
                      <ElmtLnksOut>
                        <ElmtLnk>
                          <ElmtLnkProps>
                            <ELI>1,1,4</ELI>
                            <ELN>1</ELN>
                            <ELGN>1</ELGN>
                            <MLG>9E42884D-B19F-41D0-B295-95A4FF9EA104</MLG>
                            <ICBI>1,2</ICBI>
                            <ILBN>1,2</ILBN>
                            <LIBN>0</LIBN>
                          </ElmtLnkProps>
                        </ElmtLnk>
                      </ElmtLnksOut>
                    </Elmt>
                    <Elmt>
                      <ElmtProps>
                        <CPT>2</CPT>
                      </ElmtProps>
                      <TtlCtg>
                        <TtlCtgProps>
                          <R>1</R>
                        </TtlCtgProps>
                      </TtlCtg>
                    </Elmt>
                    <Elmt>
                      <ElmtProps>
                        <CPT>0</CPT>
                        <TOT>False</TOT>
                        <EGN>1</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6,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Debtors]]></VOFFF>
                              </ClmnBlkPtProps>
                            </ClmnBlkPt>
                          </ClmnBlkPts>
                        </ClmnBlk>
                        <ClmnBlk>
                          <ClmnBlkProps>
                            <FCPT>0</FCPT>
                            <FCN>10</FCN>
                            <LCPT>0</LCPT>
                            <LCN>10</LCN>
                          </ClmnBlkProps>
                          <ClmnBlkPts>
                            <ClmnBlkPt>
                              <ClmnBlkPtProps>
                                <CBPT>0</CBPT>
                                <ST>11</ST>
                                <SON>6</SON>
                                <VOFFF><![CDATA[0]]></VOFFF>
                                <UDAV><![CDATA[0]]></UDAV>
                              </ClmnBlkPtProps>
                              <Vdtn>
                                <VdtnProps>
                                  <CBPLI>1,1,6,2,1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1,1,6,1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1,1,6</ELI>
                            <ELN>1</ELN>
                            <ELGN>2</ELGN>
                            <MLG>613A46E0-37FF-4CF1-95B7-FBD4FE1EBED4</MLG>
                            <ICBI>1,2</ICBI>
                            <ILBN>1,2</ILBN>
                            <LIBN>0</LIBN>
                          </ElmtLnkProps>
                        </ElmtLnk>
                      </ElmtLnksOut>
                    </Elmt>
                    <Elmt>
                      <ElmtProps>
                        <CPT>2</CPT>
                      </ElmtProps>
                      <TtlCtg>
                        <TtlCtgProps>
                          <R>1</R>
                        </TtlCtgProps>
                      </TtlCtg>
                    </Elmt>
                    <Elmt>
                      <ElmtProps>
                        <CPT>0</CPT>
                        <TOT>False</TOT>
                        <EGN>2</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8,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Inventory]]></VOFFF>
                              </ClmnBlkPtProps>
                            </ClmnBlkPt>
                          </ClmnBlkPts>
                        </ClmnBlk>
                        <ClmnBlk>
                          <ClmnBlkProps>
                            <FCPT>0</FCPT>
                            <FCN>10</FCN>
                            <LCPT>0</LCPT>
                            <LCN>10</LCN>
                          </ClmnBlkProps>
                          <ClmnBlkPts>
                            <ClmnBlkPt>
                              <ClmnBlkPtProps>
                                <CBPT>0</CBPT>
                                <ST>11</ST>
                                <SON>6</SON>
                                <VOFFF><![CDATA[0]]></VOFFF>
                                <UDAV><![CDATA[0]]></UDAV>
                              </ClmnBlkPtProps>
                              <Vdtn>
                                <VdtnProps>
                                  <CBPLI>1,1,8,2,1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1,1,8,1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1,1,8</ELI>
                            <ELN>1</ELN>
                            <ELGN>3</ELGN>
                            <MLG>39BFC107-4A0B-457A-BD82-6451A83B1403</MLG>
                            <ICBI>1,2</ICBI>
                            <ILBN>1,2</ILBN>
                            <LIBN>0</LIBN>
                          </ElmtLnkProps>
                        </ElmtLnk>
                      </ElmtLnksOut>
                    </Elmt>
                    <Elmt>
                      <ElmtProps>
                        <CPT>2</CPT>
                      </ElmtProps>
                      <TtlCtg>
                        <TtlCtgProps>
                          <R>1</R>
                        </TtlCtgProps>
                      </TtlCtg>
                    </Elmt>
                    <Elmt>
                      <ElmtProps>
                        <CPT>0</CPT>
                        <TOT>False</TOT>
                        <EGN>3</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10,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Other Current Assets]]></VOFFF>
                              </ClmnBlkPtProps>
                            </ClmnBlkPt>
                          </ClmnBlkPts>
                        </ClmnBlk>
                        <ClmnBlk>
                          <ClmnBlkProps>
                            <FCPT>0</FCPT>
                            <FCN>10</FCN>
                            <LCPT>0</LCPT>
                            <LCN>10</LCN>
                          </ClmnBlkProps>
                          <ClmnBlkPts>
                            <ClmnBlkPt>
                              <ClmnBlkPtProps>
                                <CBPT>0</CBPT>
                                <ST>11</ST>
                                <SON>6</SON>
                                <VOFFF><![CDATA[0]]></VOFFF>
                                <UDAV><![CDATA[0]]></UDAV>
                              </ClmnBlkPtProps>
                              <Vdtn>
                                <VdtnProps>
                                  <CBPLI>1,1,10,2,1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1,1,10,1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1,1,10</ELI>
                            <ELN>1</ELN>
                            <ELGN>4</ELGN>
                            <MLG>29E71C33-2409-4D6A-9321-4BD815C55068</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Current Assets]]></VOFFF>
                              </ClmnBlkPtProps>
                            </ClmnBlkPt>
                          </ClmnBlkPts>
                        </ClmnBlk>
                        <ClmnBlk>
                          <ClmnBlkProps>
                            <FCPT>0</FCPT>
                            <FCN>10</FCN>
                            <LCPT>0</LCPT>
                            <LCN>10</LCN>
                          </ClmnBlkProps>
                          <ClmnBlkPts>
                            <ClmnBlkPt>
                              <ClmnBlkPtProps>
                                <CBPT>5</CBPT>
                                <ST>18</ST>
                                <SON>8</SON>
                                <VOFFF><![CDATA[=§A¿0,1,0,1,4,2,1,-1,0,0,FALSE,FALSE§Z¿+§A¿0,1,0,1,6,2,6,-1,0,0,FALSE,FALSE§Z¿+§A¿0,1,0,1,8,2,6,-1,0,0,FALSE,FALSE§Z¿+§A¿0,1,0,1,10,2,6,-1,0,0,FALSE,FALSE§Z¿]]></VOFFF>
                              </ClmnBlkPtProps>
                            </ClmnBlkPt>
                          </ClmnBlkPts>
                        </ClmnBlk>
                      </ClmnBlks>
                      <TtlCtg>
                        <TtlCtgProps>
                          <R>2</R>
                        </TtlCtgProps>
                      </TtlCtg>
                      <ElmtLnksOut>
                        <ElmtLnk>
                          <ElmtLnkProps>
                            <ELI>1,1,12</ELI>
                            <ELN>1</ELN>
                            <ELGN>1</ELGN>
                            <MLG>294EC658-EC81-4E52-BABE-3FBC3F26E24C</MLG>
                            <ICBI>1,2</ICBI>
                            <ILBN>1,2</ILBN>
                            <LIBN>0</LIBN>
                          </ElmtLnkProps>
                        </ElmtLnk>
                      </ElmtLnksOut>
                    </Elmt>
                    <Elmt>
                      <ElmtProps>
                        <CPT>2</CPT>
                      </ElmtProps>
                      <TtlCtg>
                        <TtlCtgProps>
                          <R>1</R>
                        </TtlCtgProps>
                      </TtlCtg>
                    </Elmt>
                    <Elmt>
                      <ElmtProps>
                        <CPT>0</CPT>
                        <TOT>False</TOT>
                        <EGN>4</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14,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Fixed Assets]]></VOFFF>
                              </ClmnBlkPtProps>
                            </ClmnBlkPt>
                          </ClmnBlkPts>
                        </ClmnBlk>
                        <ClmnBlk>
                          <ClmnBlkProps>
                            <FCPT>0</FCPT>
                            <FCN>10</FCN>
                            <LCPT>0</LCPT>
                            <LCN>10</LCN>
                          </ClmnBlkProps>
                          <ClmnBlkPts>
                            <ClmnBlkPt>
                              <ClmnBlkPtProps>
                                <CBPT>0</CBPT>
                                <ST>11</ST>
                                <SON>6</SON>
                                <VOFFF><![CDATA[0]]></VOFFF>
                                <UDAV><![CDATA[0]]></UDAV>
                              </ClmnBlkPtProps>
                              <Vdtn>
                                <VdtnProps>
                                  <CBPLI>1,1,14,2,1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1,1,14,1</STLI>
                              <R>2</R>
                            </SubTtlHdgRowProps>
                          </SubTtlHdgRow>
                          <TtlSpcrRow>
                            <TtlSpcrRowProps>
                              <RSN>1</RSN>
                            </TtlSpcrRowProps>
                          </TtlSpcrRow>
                          <CatSpan>
                            <CatSpanProps>
                              <CC>2</CC>
                              <R>2</R>
                            </CatSpanProps>
                          </CatSpan>
                        </SubTtl>
                      </SubTtls>
                      <TtlCtg>
                        <TtlCtgProps>
                          <R>2</R>
                        </TtlCtgProps>
                        <TtlSpcrRow>
                          <TtlSpcrRowProps>
                            <RSN>1</RSN>
                          </TtlSpcrRowProps>
                        </TtlSpcrRow>
                      </TtlCtg>
                      <ElmtLnksOut>
                        <ElmtLnk>
                          <ElmtLnkProps>
                            <ELI>1,1,14</ELI>
                            <ELN>1</ELN>
                            <ELGN>5</ELGN>
                            <MLG>904ABC12-7734-434D-9EA5-8EBDF1C665B5</MLG>
                            <ICBI>1,2</ICBI>
                            <ILBN>1,2</ILBN>
                            <LIBN>0</LIBN>
                          </ElmtLnkProps>
                        </ElmtLnk>
                      </ElmtLnksOut>
                    </Elmt>
                    <Elmt>
                      <ElmtProps>
                        <CPT>2</CPT>
                      </ElmtProps>
                      <TtlCtg>
                        <TtlCtgProps>
                          <R>1</R>
                        </TtlCtgProps>
                      </TtlCtg>
                    </Elmt>
                    <Elmt>
                      <ElmtProps>
                        <CPT>0</CPT>
                        <TOT>False</TOT>
                        <EGN>5</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16,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Other Non-Current Assets]]></VOFFF>
                              </ClmnBlkPtProps>
                            </ClmnBlkPt>
                          </ClmnBlkPts>
                        </ClmnBlk>
                        <ClmnBlk>
                          <ClmnBlkProps>
                            <FCPT>0</FCPT>
                            <FCN>10</FCN>
                            <LCPT>0</LCPT>
                            <LCN>10</LCN>
                          </ClmnBlkProps>
                          <ClmnBlkPts>
                            <ClmnBlkPt>
                              <ClmnBlkPtProps>
                                <CBPT>0</CBPT>
                                <ST>11</ST>
                                <SON>6</SON>
                                <VOFFF><![CDATA[0]]></VOFFF>
                                <UDAV><![CDATA[0]]></UDAV>
                              </ClmnBlkPtProps>
                              <Vdtn>
                                <VdtnProps>
                                  <CBPLI>1,1,16,2,1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1,1,16,1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1,1,16</ELI>
                            <ELN>1</ELN>
                            <ELGN>6</ELGN>
                            <MLG>F3412EFC-B309-419C-AE5B-850DCF4CEEC5</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Non-Current Assets]]></VOFFF>
                              </ClmnBlkPtProps>
                            </ClmnBlkPt>
                          </ClmnBlkPts>
                        </ClmnBlk>
                        <ClmnBlk>
                          <ClmnBlkProps>
                            <FCPT>0</FCPT>
                            <FCN>10</FCN>
                            <LCPT>0</LCPT>
                            <LCN>10</LCN>
                          </ClmnBlkProps>
                          <ClmnBlkPts>
                            <ClmnBlkPt>
                              <ClmnBlkPtProps>
                                <CBPT>5</CBPT>
                                <ST>18</ST>
                                <SON>8</SON>
                                <VOFFF><![CDATA[=§A¿0,1,0,1,14,2,6,-1,0,0,FALSE,FALSE§Z¿+§A¿0,1,0,1,16,2,6,-1,0,0,FALSE,FALSE§Z¿]]></VOFFF>
                              </ClmnBlkPtProps>
                            </ClmnBlkPt>
                          </ClmnBlkPts>
                        </ClmnBlk>
                      </ClmnBlks>
                      <TtlCtg>
                        <TtlCtgProps>
                          <R>2</R>
                        </TtlCtgProps>
                      </TtlCtg>
                      <ElmtLnksOut>
                        <ElmtLnk>
                          <ElmtLnkProps>
                            <ELI>1,1,18</ELI>
                            <ELN>1</ELN>
                            <ELGN>1</ELGN>
                            <MLG>0DD4FAB5-9D4E-4590-9A30-C4E3AB877C2D</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Assets]]></VOFFF>
                              </ClmnBlkPtProps>
                            </ClmnBlkPt>
                          </ClmnBlkPts>
                        </ClmnBlk>
                        <ClmnBlk>
                          <ClmnBlkProps>
                            <FCPT>0</FCPT>
                            <FCN>10</FCN>
                            <LCPT>0</LCPT>
                            <LCN>10</LCN>
                          </ClmnBlkProps>
                          <ClmnBlkPts>
                            <ClmnBlkPt>
                              <ClmnBlkPtProps>
                                <CBPT>5</CBPT>
                                <ST>18</ST>
                                <SON>9</SON>
                                <VOFFF><![CDATA[=§A¿0,1,0,1,12,2,1,-1,0,0,FALSE,FALSE§Z¿+§A¿0,1,0,1,18,2,1,-1,0,0,FALSE,FALSE§Z¿]]></VOFFF>
                              </ClmnBlkPtProps>
                            </ClmnBlkPt>
                          </ClmnBlkPts>
                        </ClmnBlk>
                      </ClmnBlks>
                      <TtlCtg>
                        <TtlCtgProps>
                          <R>2</R>
                        </TtlCtgProps>
                      </TtlCtg>
                      <ElmtLnksOut>
                        <ElmtLnk>
                          <ElmtLnkProps>
                            <ELI>1,1,20</ELI>
                            <ELN>1</ELN>
                            <ELGN>1</ELGN>
                            <MLG>7272E8F2-D148-4CE0-BD95-8D2EA45ABABC</MLG>
                            <ICBI>1,2</ICBI>
                            <ILBN>1,2</ILBN>
                            <LIBN>0</LIBN>
                          </ElmtLnkProps>
                        </ElmtLnk>
                      </ElmtLnksOut>
                    </Elmt>
                    <Elmt>
                      <ElmtProps>
                        <CPT>2</CPT>
                      </ElmtProps>
                      <TtlCtg>
                        <TtlCtgProps>
                          <R>1</R>
                        </TtlCtgProps>
                      </TtlCtg>
                    </Elmt>
                    <Elmt>
                      <ElmtProps>
                        <CPT>0</CPT>
                        <TOT>False</TOT>
                        <EGN>6</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22,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Creditors]]></VOFFF>
                              </ClmnBlkPtProps>
                            </ClmnBlkPt>
                          </ClmnBlkPts>
                        </ClmnBlk>
                        <ClmnBlk>
                          <ClmnBlkProps>
                            <FCPT>0</FCPT>
                            <FCN>10</FCN>
                            <LCPT>0</LCPT>
                            <LCN>10</LCN>
                          </ClmnBlkProps>
                          <ClmnBlkPts>
                            <ClmnBlkPt>
                              <ClmnBlkPtProps>
                                <CBPT>0</CBPT>
                                <ST>11</ST>
                                <SON>6</SON>
                                <VOFFF><![CDATA[0]]></VOFFF>
                                <UDAV><![CDATA[0]]></UDAV>
                              </ClmnBlkPtProps>
                              <Vdtn>
                                <VdtnProps>
                                  <CBPLI>1,1,22,2,1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1,1,22,1</STLI>
                              <R>2</R>
                            </SubTtlHdgRowProps>
                          </SubTtlHdgRow>
                          <TtlSpcrRow>
                            <TtlSpcrRowProps>
                              <RSN>1</RSN>
                            </TtlSpcrRowProps>
                          </TtlSpcrRow>
                          <CatSpan>
                            <CatSpanProps>
                              <CC>2</CC>
                              <R>2</R>
                            </CatSpanProps>
                          </CatSpan>
                        </SubTtl>
                      </SubTtls>
                      <TtlCtg>
                        <TtlCtgProps>
                          <R>2</R>
                        </TtlCtgProps>
                        <TtlSpcrRow>
                          <TtlSpcrRowProps>
                            <RSN>1</RSN>
                          </TtlSpcrRowProps>
                        </TtlSpcrRow>
                      </TtlCtg>
                      <ElmtLnksOut>
                        <ElmtLnk>
                          <ElmtLnkProps>
                            <ELI>1,1,22</ELI>
                            <ELN>1</ELN>
                            <ELGN>7</ELGN>
                            <MLG>460D6454-E75E-4D80-A722-B086D521D2BE</MLG>
                            <ICBI>1,2</ICBI>
                            <ILBN>1,2</ILBN>
                            <LIBN>0</LIBN>
                          </ElmtLnkProps>
                        </ElmtLnk>
                      </ElmtLnksOut>
                    </Elmt>
                    <Elmt>
                      <ElmtProps>
                        <CPT>2</CPT>
                      </ElmtProps>
                      <TtlCtg>
                        <TtlCtgProps>
                          <R>1</R>
                        </TtlCtgProps>
                      </TtlCtg>
                    </Elmt>
                    <Elmt>
                      <ElmtProps>
                        <CPT>0</CPT>
                        <TOT>False</TOT>
                        <EGN>7</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24,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Inventory Payables]]></VOFFF>
                              </ClmnBlkPtProps>
                            </ClmnBlkPt>
                          </ClmnBlkPts>
                        </ClmnBlk>
                        <ClmnBlk>
                          <ClmnBlkProps>
                            <FCPT>0</FCPT>
                            <FCN>10</FCN>
                            <LCPT>0</LCPT>
                            <LCN>10</LCN>
                          </ClmnBlkProps>
                          <ClmnBlkPts>
                            <ClmnBlkPt>
                              <ClmnBlkPtProps>
                                <CBPT>0</CBPT>
                                <ST>11</ST>
                                <SON>6</SON>
                                <VOFFF><![CDATA[0]]></VOFFF>
                                <UDAV><![CDATA[0]]></UDAV>
                              </ClmnBlkPtProps>
                              <Vdtn>
                                <VdtnProps>
                                  <CBPLI>1,1,24,2,1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1,1,24,1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1,1,24</ELI>
                            <ELN>1</ELN>
                            <ELGN>8</ELGN>
                            <MLG>8052917C-A4D7-4DBF-96F3-BAD9F44274EB</MLG>
                            <ICBI>1,2</ICBI>
                            <ILBN>1,2</ILBN>
                            <LIBN>0</LIBN>
                          </ElmtLnkProps>
                        </ElmtLnk>
                      </ElmtLnksOut>
                    </Elmt>
                    <Elmt>
                      <ElmtProps>
                        <CPT>2</CPT>
                      </ElmtProps>
                      <ClmnBlks>
                        <ClmnBlk>
                          <ClmnBlkProps>
                            <FCPT>0</FCPT>
                            <FCN>10</FCN>
                            <LCPT>0</LCPT>
                            <LCN>10</LCN>
                          </ClmnBlkProps>
                          <ClmnBlkPts>
                            <ClmnBlkPt>
                              <ClmnBlkPtProps>
                                <CBPT>5</CBPT>
                                <ST>-1</ST>
                                <SON>1</SON>
                                <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Accounts Payable]]></VOFFF>
                              </ClmnBlkPtProps>
                            </ClmnBlkPt>
                          </ClmnBlkPts>
                        </ClmnBlk>
                        <ClmnBlk>
                          <ClmnBlkProps>
                            <FCPT>0</FCPT>
                            <FCN>10</FCN>
                            <LCPT>0</LCPT>
                            <LCN>10</LCN>
                          </ClmnBlkProps>
                          <ClmnBlkPts>
                            <ClmnBlkPt>
                              <ClmnBlkPtProps>
                                <CBPT>5</CBPT>
                                <ST>18</ST>
                                <SON>7</SON>
                                <VOFFF><![CDATA[=§A¿0,1,0,1,22,2,6,-1,0,0,FALSE,FALSE§Z¿+§A¿0,1,0,1,24,2,6,-1,0,0,FALSE,FALSE§Z¿]]></VOFFF>
                              </ClmnBlkPtProps>
                            </ClmnBlkPt>
                          </ClmnBlkPts>
                        </ClmnBlk>
                      </ClmnBlks>
                      <TtlCtg>
                        <TtlCtgProps>
                          <R>2</R>
                        </TtlCtgProps>
                      </TtlCtg>
                      <ElmtLnksOut>
                        <ElmtLnk>
                          <ElmtLnkProps>
                            <ELI>1,1,26</ELI>
                            <ELN>1</ELN>
                            <ELGN>1</ELGN>
                            <MLG>6B34C5F7-1776-4483-9B03-BC01138E72F7</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6</ST>
                                <VOFFF><![CDATA[VAT Payable]]></VOFFF>
                              </ClmnBlkPtProps>
                            </ClmnBlkPt>
                          </ClmnBlkPts>
                        </ClmnBlk>
                        <ClmnBlk>
                          <ClmnBlkProps>
                            <FCPT>0</FCPT>
                            <FCN>10</FCN>
                            <LCPT>0</LCPT>
                            <LCN>10</LCN>
                          </ClmnBlkProps>
                          <ClmnBlkPts>
                            <ClmnBlkPt>
                              <ClmnBlkPtProps>
                                <CBPT>5</CBPT>
                                <ST>11</ST>
                                <SON>7</SON>
                                <VOFFF><![CDATA[0]]></VOFFF>
                                <UDAV><![CDATA[0]]></UDAV>
                              </ClmnBlkPtProps>
                              <Vdtn>
                                <VdtnProps>
                                  <CBPLI>1,1,28,2,1</CBPLI>
                                  <ADVT>0</ADVT>
                                  <VT>7</VT>
                                </VdtnProps>
                              </Vdtn>
                            </ClmnBlkPt>
                          </ClmnBlkPts>
                        </ClmnBlk>
                      </ClmnBlks>
                      <TtlCtg>
                        <TtlCtgProps>
                          <R>2</R>
                        </TtlCtgProps>
                      </TtlCtg>
                      <ElmtLnksOut>
                        <ElmtLnk>
                          <ElmtLnkProps>
                            <ELI>1,1,28</ELI>
                            <ELN>1</ELN>
                            <ELGN>1</ELGN>
                            <MLG>BF1CA322-F5AD-404D-B0D7-360CCC270E03</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6</ST>
                                <VOFFF><![CDATA[Corporate Tax Payable]]></VOFFF>
                              </ClmnBlkPtProps>
                            </ClmnBlkPt>
                          </ClmnBlkPts>
                        </ClmnBlk>
                        <ClmnBlk>
                          <ClmnBlkProps>
                            <FCPT>0</FCPT>
                            <FCN>10</FCN>
                            <LCPT>0</LCPT>
                            <LCN>10</LCN>
                          </ClmnBlkProps>
                          <ClmnBlkPts>
                            <ClmnBlkPt>
                              <ClmnBlkPtProps>
                                <CBPT>5</CBPT>
                                <ST>11</ST>
                                <SON>7</SON>
                                <VOFFF><![CDATA[0]]></VOFFF>
                                <UDAV><![CDATA[0]]></UDAV>
                              </ClmnBlkPtProps>
                              <Vdtn>
                                <VdtnProps>
                                  <CBPLI>1,1,30,2,1</CBPLI>
                                  <ADVT>0</ADVT>
                                  <VT>7</VT>
                                </VdtnProps>
                              </Vdtn>
                            </ClmnBlkPt>
                          </ClmnBlkPts>
                        </ClmnBlk>
                      </ClmnBlks>
                      <TtlCtg>
                        <TtlCtgProps>
                          <R>2</R>
                        </TtlCtgProps>
                      </TtlCtg>
                      <ElmtLnksOut>
                        <ElmtLnk>
                          <ElmtLnkProps>
                            <ELI>1,1,30</ELI>
                            <ELN>1</ELN>
                            <ELGN>1</ELGN>
                            <MLG>4119175B-9391-46A8-A835-A0E019165643</MLG>
                            <ICBI>1,2</ICBI>
                            <ILBN>1,2</ILBN>
                            <LIBN>0</LIBN>
                          </ElmtLnkProps>
                        </ElmtLnk>
                      </ElmtLnksOut>
                    </Elmt>
                    <Elmt>
                      <ElmtProps>
                        <CPT>2</CPT>
                      </ElmtProps>
                      <TtlCtg>
                        <TtlCtgProps>
                          <R>1</R>
                        </TtlCtgProps>
                      </TtlCtg>
                    </Elmt>
                    <Elmt>
                      <ElmtProps>
                        <CPT>0</CPT>
                        <TOT>False</TOT>
                        <EGN>12</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32,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MC>True</MC>
                                <VOFFF/>
                              </ClmnBlkPtProps>
                            </ClmnBlkPt>
                            <ClmnBlkPt>
                              <ClmnBlkPtProps>
                                <CBPT>4</CBPT>
                                <ST>-1</ST>
                                <MC>True</MC>
                                <VOFFF/>
                              </ClmnBlkPtProps>
                            </ClmnBlkPt>
                            <ClmnBlkPt>
                              <ClmnBlkPtProps>
                                <CBPT>5</CBPT>
                                <ST>6</ST>
                                <MC>True</MC>
                                <VOFFF><![CDATA[Interest Payable]]></VOFFF>
                              </ClmnBlkPtProps>
                            </ClmnBlkPt>
                          </ClmnBlkPts>
                        </ClmnBlk>
                        <ClmnBlk>
                          <ClmnBlkProps>
                            <FCPT>0</FCPT>
                            <FCN>10</FCN>
                            <LCPT>0</LCPT>
                            <LCN>10</LCN>
                          </ClmnBlkProps>
                          <ClmnBlkPts>
                            <ClmnBlkPt>
                              <ClmnBlkPtProps>
                                <CBPT>0</CBPT>
                                <ST>11</ST>
                                <SON>6</SON>
                                <VOFFF><![CDATA[0]]></VOFFF>
                                <UDAV><![CDATA[0]]></UDAV>
                              </ClmnBlkPtProps>
                              <Vdtn>
                                <VdtnProps>
                                  <CBPLI>1,1,32,2,1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1,1,32,1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1,1,32</ELI>
                            <ELN>1</ELN>
                            <ELGN>9</ELGN>
                            <MLG>B7615F79-3F66-4F82-94A3-93E34C798C2C</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6</ST>
                                <VOFFF><![CDATA[Dividends Payable]]></VOFFF>
                              </ClmnBlkPtProps>
                            </ClmnBlkPt>
                          </ClmnBlkPts>
                        </ClmnBlk>
                        <ClmnBlk>
                          <ClmnBlkProps>
                            <FCPT>0</FCPT>
                            <FCN>10</FCN>
                            <LCPT>0</LCPT>
                            <LCN>10</LCN>
                          </ClmnBlkProps>
                          <ClmnBlkPts>
                            <ClmnBlkPt>
                              <ClmnBlkPtProps>
                                <CBPT>5</CBPT>
                                <ST>11</ST>
                                <SON>7</SON>
                                <VOFFF><![CDATA[0]]></VOFFF>
                                <UDAV><![CDATA[0]]></UDAV>
                              </ClmnBlkPtProps>
                              <Vdtn>
                                <VdtnProps>
                                  <CBPLI>1,1,34,2,1</CBPLI>
                                  <ADVT>0</ADVT>
                                  <VT>7</VT>
                                </VdtnProps>
                              </Vdtn>
                            </ClmnBlkPt>
                          </ClmnBlkPts>
                        </ClmnBlk>
                      </ClmnBlks>
                      <TtlCtg>
                        <TtlCtgProps>
                          <R>2</R>
                        </TtlCtgProps>
                      </TtlCtg>
                      <ElmtLnksOut>
                        <ElmtLnk>
                          <ElmtLnkProps>
                            <ELI>1,1,34</ELI>
                            <ELN>1</ELN>
                            <ELGN>1</ELGN>
                            <MLG>135DAEDE-DD4A-4E44-BDD3-3B48B53B9FA4</MLG>
                            <ICBI>1,2</ICBI>
                            <ILBN>1,2</ILBN>
                            <LIBN>0</LIBN>
                          </ElmtLnkProps>
                        </ElmtLnk>
                      </ElmtLnksOut>
                    </Elmt>
                    <Elmt>
                      <ElmtProps>
                        <CPT>2</CPT>
                      </ElmtProps>
                      <TtlCtg>
                        <TtlCtgProps>
                          <R>1</R>
                        </TtlCtgProps>
                      </TtlCtg>
                    </Elmt>
                    <Elmt>
                      <ElmtProps>
                        <CPT>0</CPT>
                        <TOT>False</TOT>
                        <EGN>9</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36,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Other Current Liabilities]]></VOFFF>
                              </ClmnBlkPtProps>
                            </ClmnBlkPt>
                          </ClmnBlkPts>
                        </ClmnBlk>
                        <ClmnBlk>
                          <ClmnBlkProps>
                            <FCPT>0</FCPT>
                            <FCN>10</FCN>
                            <LCPT>0</LCPT>
                            <LCN>10</LCN>
                          </ClmnBlkProps>
                          <ClmnBlkPts>
                            <ClmnBlkPt>
                              <ClmnBlkPtProps>
                                <CBPT>0</CBPT>
                                <ST>11</ST>
                                <SON>6</SON>
                                <VOFFF><![CDATA[0]]></VOFFF>
                                <UDAV><![CDATA[0]]></UDAV>
                              </ClmnBlkPtProps>
                              <Vdtn>
                                <VdtnProps>
                                  <CBPLI>1,1,36,2,1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1,1,36,1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1,1,36</ELI>
                            <ELN>1</ELN>
                            <ELGN>10</ELGN>
                            <MLG>1DB04605-77E1-4130-B0C6-68535234C21A</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Current Liabilities]]></VOFFF>
                              </ClmnBlkPtProps>
                            </ClmnBlkPt>
                          </ClmnBlkPts>
                        </ClmnBlk>
                        <ClmnBlk>
                          <ClmnBlkProps>
                            <FCPT>0</FCPT>
                            <FCN>10</FCN>
                            <LCPT>0</LCPT>
                            <LCN>10</LCN>
                          </ClmnBlkProps>
                          <ClmnBlkPts>
                            <ClmnBlkPt>
                              <ClmnBlkPtProps>
                                <CBPT>5</CBPT>
                                <ST>18</ST>
                                <SON>8</SON>
                                <VOFFF><![CDATA[=§A¿0,1,0,1,26,2,1,-1,0,0,FALSE,FALSE§Z¿+§A¿0,1,0,1,28,2,1,-1,0,0,FALSE,FALSE§Z¿+§A¿0,1,0,1,30,2,1,-1,0,0,FALSE,FALSE§Z¿+§A¿0,1,0,1,32,2,6,-1,0,0,FALSE,FALSE§Z¿+§A¿0,1,0,1,34,2,1,-1,0,0,FALSE,FALSE§Z¿+§A¿0,1,0,1,36,2,6,-1,0,0,FALSE,FALSE§Z¿]]></VOFFF>
                              </ClmnBlkPtProps>
                            </ClmnBlkPt>
                          </ClmnBlkPts>
                        </ClmnBlk>
                      </ClmnBlks>
                      <TtlCtg>
                        <TtlCtgProps>
                          <R>2</R>
                        </TtlCtgProps>
                      </TtlCtg>
                      <ElmtLnksOut>
                        <ElmtLnk>
                          <ElmtLnkProps>
                            <ELI>1,1,38</ELI>
                            <ELN>1</ELN>
                            <ELGN>1</ELGN>
                            <MLG>073237C9-7B88-4A13-BAB3-DFE239CFCB91</MLG>
                            <ICBI>1,2</ICBI>
                            <ILBN>1,2</ILBN>
                            <LIBN>0</LIBN>
                          </ElmtLnkProps>
                        </ElmtLnk>
                      </ElmtLnksOut>
                    </Elmt>
                    <Elmt>
                      <ElmtProps>
                        <CPT>2</CPT>
                      </ElmtProps>
                      <TtlCtg>
                        <TtlCtgProps>
                          <R>1</R>
                        </TtlCtgProps>
                      </TtlCtg>
                    </Elmt>
                    <Elmt>
                      <ElmtProps>
                        <CPT>0</CPT>
                        <TOT>False</TOT>
                        <EGN>8</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40,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Debt]]></VOFFF>
                              </ClmnBlkPtProps>
                            </ClmnBlkPt>
                          </ClmnBlkPts>
                        </ClmnBlk>
                        <ClmnBlk>
                          <ClmnBlkProps>
                            <FCPT>0</FCPT>
                            <FCN>10</FCN>
                            <LCPT>0</LCPT>
                            <LCN>10</LCN>
                          </ClmnBlkProps>
                          <ClmnBlkPts>
                            <ClmnBlkPt>
                              <ClmnBlkPtProps>
                                <CBPT>0</CBPT>
                                <ST>11</ST>
                                <SON>6</SON>
                                <VOFFF><![CDATA[0]]></VOFFF>
                                <UDAV><![CDATA[0]]></UDAV>
                              </ClmnBlkPtProps>
                              <Vdtn>
                                <VdtnProps>
                                  <CBPLI>1,1,40,2,1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1,1,40,1</STLI>
                              <R>2</R>
                            </SubTtlHdgRowProps>
                          </SubTtlHdgRow>
                          <TtlSpcrRow>
                            <TtlSpcrRowProps>
                              <RSN>1</RSN>
                            </TtlSpcrRowProps>
                          </TtlSpcrRow>
                          <CatSpan>
                            <CatSpanProps>
                              <CC>2</CC>
                              <R>2</R>
                            </CatSpanProps>
                          </CatSpan>
                        </SubTtl>
                      </SubTtls>
                      <TtlCtg>
                        <TtlCtgProps>
                          <R>2</R>
                        </TtlCtgProps>
                        <TtlSpcrRow>
                          <TtlSpcrRowProps>
                            <RSN>1</RSN>
                          </TtlSpcrRowProps>
                        </TtlSpcrRow>
                      </TtlCtg>
                      <ElmtLnksOut>
                        <ElmtLnk>
                          <ElmtLnkProps>
                            <ELI>1,1,40</ELI>
                            <ELN>1</ELN>
                            <ELGN>11</ELGN>
                            <MLG>E9ABB77D-32EE-4CFD-BADD-AF64AF3B6FE7</MLG>
                            <ICBI>1,2</ICBI>
                            <ILBN>1,2</ILBN>
                            <LIBN>0</LIBN>
                          </ElmtLnkProps>
                        </ElmtLnk>
                      </ElmtLnksOut>
                    </Elmt>
                    <Elmt>
                      <ElmtProps>
                        <CPT>2</CPT>
                      </ElmtProps>
                      <TtlCtg>
                        <TtlCtgProps>
                          <R>1</R>
                        </TtlCtgProps>
                      </TtlCtg>
                    </Elmt>
                    <Elmt>
                      <ElmtProps>
                        <CPT>0</CPT>
                        <TOT>False</TOT>
                        <EGN>10</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42,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Other Non-Current Liabilities]]></VOFFF>
                              </ClmnBlkPtProps>
                            </ClmnBlkPt>
                          </ClmnBlkPts>
                        </ClmnBlk>
                        <ClmnBlk>
                          <ClmnBlkProps>
                            <FCPT>0</FCPT>
                            <FCN>10</FCN>
                            <LCPT>0</LCPT>
                            <LCN>10</LCN>
                          </ClmnBlkProps>
                          <ClmnBlkPts>
                            <ClmnBlkPt>
                              <ClmnBlkPtProps>
                                <CBPT>0</CBPT>
                                <ST>11</ST>
                                <SON>6</SON>
                                <VOFFF><![CDATA[0]]></VOFFF>
                                <UDAV><![CDATA[0]]></UDAV>
                              </ClmnBlkPtProps>
                              <Vdtn>
                                <VdtnProps>
                                  <CBPLI>1,1,42,2,1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1,1,42,1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1,1,42</ELI>
                            <ELN>1</ELN>
                            <ELGN>12</ELGN>
                            <MLG>F720186F-1210-4A8B-ABB7-F0A590C1DFFA</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Non-Current Liabilities]]></VOFFF>
                              </ClmnBlkPtProps>
                            </ClmnBlkPt>
                          </ClmnBlkPts>
                        </ClmnBlk>
                        <ClmnBlk>
                          <ClmnBlkProps>
                            <FCPT>0</FCPT>
                            <FCN>10</FCN>
                            <LCPT>0</LCPT>
                            <LCN>10</LCN>
                          </ClmnBlkProps>
                          <ClmnBlkPts>
                            <ClmnBlkPt>
                              <ClmnBlkPtProps>
                                <CBPT>5</CBPT>
                                <ST>18</ST>
                                <SON>8</SON>
                                <VOFFF><![CDATA[=§A¿0,1,0,1,40,2,6,-1,0,0,FALSE,FALSE§Z¿+§A¿0,1,0,1,42,2,6,-1,0,0,FALSE,FALSE§Z¿]]></VOFFF>
                              </ClmnBlkPtProps>
                            </ClmnBlkPt>
                          </ClmnBlkPts>
                        </ClmnBlk>
                      </ClmnBlks>
                      <TtlCtg>
                        <TtlCtgProps>
                          <R>2</R>
                        </TtlCtgProps>
                      </TtlCtg>
                      <ElmtLnksOut>
                        <ElmtLnk>
                          <ElmtLnkProps>
                            <ELI>1,1,44</ELI>
                            <ELN>1</ELN>
                            <ELGN>1</ELGN>
                            <MLG>C6BC71FA-E4B1-4910-9130-5F5B6356E9D0</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Liabilities]]></VOFFF>
                              </ClmnBlkPtProps>
                            </ClmnBlkPt>
                          </ClmnBlkPts>
                        </ClmnBlk>
                        <ClmnBlk>
                          <ClmnBlkProps>
                            <FCPT>0</FCPT>
                            <FCN>10</FCN>
                            <LCPT>0</LCPT>
                            <LCN>10</LCN>
                          </ClmnBlkProps>
                          <ClmnBlkPts>
                            <ClmnBlkPt>
                              <ClmnBlkPtProps>
                                <CBPT>5</CBPT>
                                <ST>18</ST>
                                <SON>9</SON>
                                <VOFFF><![CDATA[=§A¿0,1,0,1,38,2,1,-1,0,0,FALSE,FALSE§Z¿+§A¿0,1,0,1,44,2,1,-1,0,0,FALSE,FALSE§Z¿]]></VOFFF>
                              </ClmnBlkPtProps>
                            </ClmnBlkPt>
                          </ClmnBlkPts>
                        </ClmnBlk>
                      </ClmnBlks>
                      <TtlCtg>
                        <TtlCtgProps>
                          <R>2</R>
                        </TtlCtgProps>
                      </TtlCtg>
                      <ElmtLnksOut>
                        <ElmtLnk>
                          <ElmtLnkProps>
                            <ELI>1,1,46</ELI>
                            <ELN>1</ELN>
                            <ELGN>1</ELGN>
                            <MLG>3DE76F44-27A0-4558-8F93-9D816913FB47</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Net Assets]]></VOFFF>
                              </ClmnBlkPtProps>
                            </ClmnBlkPt>
                          </ClmnBlkPts>
                        </ClmnBlk>
                        <ClmnBlk>
                          <ClmnBlkProps>
                            <FCPT>0</FCPT>
                            <FCN>10</FCN>
                            <LCPT>0</LCPT>
                            <LCN>10</LCN>
                          </ClmnBlkProps>
                          <ClmnBlkPts>
                            <ClmnBlkPt>
                              <ClmnBlkPtProps>
                                <CBPT>5</CBPT>
                                <ST>18</ST>
                                <SON>10</SON>
                                <VOFFF><![CDATA[=§A¿0,1,0,1,20,2,1,-1,0,0,FALSE,FALSE§Z¿-§A¿0,1,0,1,46,2,1,-1,0,0,FALSE,FALSE§Z¿]]></VOFFF>
                              </ClmnBlkPtProps>
                            </ClmnBlkPt>
                          </ClmnBlkPts>
                        </ClmnBlk>
                      </ClmnBlks>
                      <TtlCtg>
                        <TtlCtgProps>
                          <R>2</R>
                        </TtlCtgProps>
                      </TtlCtg>
                      <ElmtLnksOut>
                        <ElmtLnk>
                          <ElmtLnkProps>
                            <ELI>1,1,48</ELI>
                            <ELN>1</ELN>
                            <ELGN>1</ELGN>
                            <MLG>0ECDF92E-B052-413B-8CF2-4610F0649D93</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6</ST>
                                <VOFFF><![CDATA[Ordinary Equity]]></VOFFF>
                              </ClmnBlkPtProps>
                            </ClmnBlkPt>
                          </ClmnBlkPts>
                        </ClmnBlk>
                        <ClmnBlk>
                          <ClmnBlkProps>
                            <FCPT>0</FCPT>
                            <FCN>10</FCN>
                            <LCPT>0</LCPT>
                            <LCN>10</LCN>
                          </ClmnBlkProps>
                          <ClmnBlkPts>
                            <ClmnBlkPt>
                              <ClmnBlkPtProps>
                                <CBPT>5</CBPT>
                                <ST>11</ST>
                                <SON>7</SON>
                                <VOFFF><![CDATA[0]]></VOFFF>
                                <UDAV><![CDATA[0]]></UDAV>
                              </ClmnBlkPtProps>
                              <Vdtn>
                                <VdtnProps>
                                  <CBPLI>1,1,50,2,1</CBPLI>
                                  <ADVT>0</ADVT>
                                  <VT>7</VT>
                                </VdtnProps>
                              </Vdtn>
                            </ClmnBlkPt>
                          </ClmnBlkPts>
                        </ClmnBlk>
                      </ClmnBlks>
                      <TtlCtg>
                        <TtlCtgProps>
                          <R>2</R>
                        </TtlCtgProps>
                      </TtlCtg>
                      <ElmtLnksOut>
                        <ElmtLnk>
                          <ElmtLnkProps>
                            <ELI>1,1,50</ELI>
                            <ELN>1</ELN>
                            <ELGN>1</ELGN>
                            <MLG>2FF2F09F-7212-4B5C-9043-4BFA6FC5E97C</MLG>
                            <ICBI>1,2</ICBI>
                            <ILBN>1,2</ILBN>
                            <LIBN>0</LIBN>
                          </ElmtLnkProps>
                        </ElmtLnk>
                      </ElmtLnksOut>
                    </Elmt>
                    <Elmt>
                      <ElmtProps>
                        <CPT>2</CPT>
                      </ElmtProps>
                      <TtlCtg>
                        <TtlCtgProps>
                          <R>1</R>
                        </TtlCtgProps>
                      </TtlCtg>
                    </Elmt>
                    <Elmt>
                      <ElmtProps>
                        <CPT>0</CPT>
                        <TOT>False</TOT>
                        <EGN>11</EGN>
                      </ElmtProps>
                      <ClmnBlks>
                        <ClmnBlk>
                          <ClmnBlkProps>
                            <FCPT>0</FCPT>
                            <FCN>2</FCN>
                            <LCPT>0</LCPT>
                            <LCN>7</LCN>
                          </ClmnBlkProps>
                          <ClmnBlkPts>
                            <ClmnBlkPt>
                              <ClmnBlkPtProps>
                                <CBPT>0</CBPT>
                                <ST>8</ST>
                                <MC>True</MC>
                                <VOFFF><![CDATA[<CategoriesGroupName> Category <CategoryNumber>]]></VOFFF>
                                <UDAV><![CDATA[<CategoriesGroupName> Category <CategoryNumber>]]></UDAV>
                              </ClmnBlkPtProps>
                            </ClmnBlkPt>
                            <ClmnBlkPt>
                              <ClmnBlkPtProps>
                                <CBPT>1</CBPT>
                                <ST>6</ST>
                                <MC>True</MC>
                                <VOFFF><![CDATA[="Total "&§A¿0,1,0,1,52,1,3,0,0,0,FALSE,FALSE§Z¿]]></VOFFF>
                                <UDAV><![CDATA[<CategoriesGroupName> Sub-Total <SubTotalNumber>]]></UDAV>
                              </ClmnBlkPtProps>
                            </ClmnBlkPt>
                            <ClmnBlkPt>
                              <ClmnBlkPtProps>
                                <CBPT>2</CBPT>
                                <ST>7</ST>
                                <SON>4</SON>
                                <MC>True</MC>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MC>True</MC>
                                <VOFFF><![CDATA[Other Equity]]></VOFFF>
                              </ClmnBlkPtProps>
                            </ClmnBlkPt>
                          </ClmnBlkPts>
                        </ClmnBlk>
                        <ClmnBlk>
                          <ClmnBlkProps>
                            <FCPT>0</FCPT>
                            <FCN>10</FCN>
                            <LCPT>0</LCPT>
                            <LCN>10</LCN>
                          </ClmnBlkProps>
                          <ClmnBlkPts>
                            <ClmnBlkPt>
                              <ClmnBlkPtProps>
                                <CBPT>0</CBPT>
                                <ST>11</ST>
                                <SON>6</SON>
                                <VOFFF><![CDATA[0]]></VOFFF>
                                <UDAV><![CDATA[0]]></UDAV>
                              </ClmnBlkPtProps>
                              <Vdtn>
                                <VdtnProps>
                                  <CBPLI>1,1,52,2,1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SON>7</SON>
                                <VOFFF><![CDATA[=§A¿3§Z¿]]></VOFFF>
                              </ClmnBlkPtProps>
                            </ClmnBlkPt>
                          </ClmnBlkPts>
                        </ClmnBlk>
                      </ClmnBlks>
                      <SubTtls>
                        <SubTtl>
                          <SubTtlProps>
                            <R>2</R>
                          </SubTtlProps>
                          <SubTtlHdgRow>
                            <SubTtlHdgRowProps>
                              <STLI>1,1,52,1</STLI>
                              <R>2</R>
                            </SubTtlHdgRowProps>
                          </SubTtlHdgRow>
                          <TtlSpcrRow>
                            <TtlSpcrRowProps>
                              <RSN>1</RSN>
                            </TtlSpcrRowProps>
                          </TtlSpcrRow>
                          <Ctgs>
                            <Ctg>
                              <CtgProps>
                                <R>2</R>
                              </CtgProps>
                            </Ctg>
                          </Ctgs>
                        </SubTtl>
                      </SubTtls>
                      <TtlCtg>
                        <TtlCtgProps>
                          <R>2</R>
                        </TtlCtgProps>
                        <TtlSpcrRow>
                          <TtlSpcrRowProps>
                            <RSN>1</RSN>
                          </TtlSpcrRowProps>
                        </TtlSpcrRow>
                      </TtlCtg>
                      <ElmtLnksOut>
                        <ElmtLnk>
                          <ElmtLnkProps>
                            <ELI>1,1,52</ELI>
                            <ELN>1</ELN>
                            <ELGN>13</ELGN>
                            <MLG>6BDA6F42-6B1E-4CA6-AE16-33A0087F3B74</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6</ST>
                                <VOFFF><![CDATA[Retained Profits]]></VOFFF>
                              </ClmnBlkPtProps>
                            </ClmnBlkPt>
                          </ClmnBlkPts>
                        </ClmnBlk>
                        <ClmnBlk>
                          <ClmnBlkProps>
                            <FCPT>0</FCPT>
                            <FCN>10</FCN>
                            <LCPT>0</LCPT>
                            <LCN>10</LCN>
                          </ClmnBlkProps>
                          <ClmnBlkPts>
                            <ClmnBlkPt>
                              <ClmnBlkPtProps>
                                <CBPT>5</CBPT>
                                <ST>18</ST>
                                <SON>7</SON>
                                <VOFFF><![CDATA[=§A¿0,1,0,1,48,2,1,-1,0,0,FALSE,FALSE§Z¿-§A¿0,1,0,1,50,2,1,-1,0,0,FALSE,FALSE§Z¿-§A¿0,1,0,1,52,2,6,-1,0,0,FALSE,FALSE§Z¿]]></VOFFF>
                              </ClmnBlkPtProps>
                            </ClmnBlkPt>
                          </ClmnBlkPts>
                        </ClmnBlk>
                      </ClmnBlks>
                      <TtlCtg>
                        <TtlCtgProps>
                          <R>2</R>
                        </TtlCtgProps>
                      </TtlCtg>
                      <ElmtLnksOut>
                        <ElmtLnk>
                          <ElmtLnkProps>
                            <ELI>1,1,54</ELI>
                            <ELN>1</ELN>
                            <ELGN>1</ELGN>
                            <MLG>44A13FAF-FDE0-44D5-B4C9-2A465898DA1C</MLG>
                            <ICBI>1,2</ICBI>
                            <ILBN>1,2</ILBN>
                            <LIBN>0</LIBN>
                          </ElmtLnkProps>
                        </ElmtLnk>
                      </ElmtLnksOut>
                    </Elmt>
                    <Elmt>
                      <ElmtProps>
                        <CPT>2</CPT>
                      </ElmtProps>
                      <TtlCtg>
                        <TtlCtgProps>
                          <R>1</R>
                        </TtlCtgProps>
                      </TtlCtg>
                    </Elmt>
                    <Elmt>
                      <ElmtProps>
                        <CPT>2</CPT>
                      </ElmtProps>
                      <ClmnBlks>
                        <ClmnBlk>
                          <ClmnBlkProps>
                            <FCPT>0</FCPT>
                            <FCN>2</FCN>
                            <LCPT>0</LCPT>
                            <LCN>2</LCN>
                          </ClmnBlkProps>
                          <ClmnBlkPts>
                            <ClmnBlkPt>
                              <ClmnBlkPtProps>
                                <CBPT>5</CBPT>
                                <ST>5</ST>
                                <VOFFF><![CDATA[Total Equity]]></VOFFF>
                              </ClmnBlkPtProps>
                            </ClmnBlkPt>
                          </ClmnBlkPts>
                        </ClmnBlk>
                        <ClmnBlk>
                          <ClmnBlkProps>
                            <FCPT>0</FCPT>
                            <FCN>10</FCN>
                            <LCPT>0</LCPT>
                            <LCN>10</LCN>
                          </ClmnBlkProps>
                          <ClmnBlkPts>
                            <ClmnBlkPt>
                              <ClmnBlkPtProps>
                                <CBPT>5</CBPT>
                                <ST>18</ST>
                                <SON>10</SON>
                                <VOFFF><![CDATA[=§A¿0,1,0,1,50,2,1,-1,0,0,FALSE,FALSE§Z¿+§A¿0,1,0,1,52,2,6,-1,0,0,FALSE,FALSE§Z¿+§A¿0,1,0,1,54,2,1,-1,0,0,FALSE,FALSE§Z¿]]></VOFFF>
                              </ClmnBlkPtProps>
                            </ClmnBlkPt>
                          </ClmnBlkPts>
                        </ClmnBlk>
                      </ClmnBlks>
                      <TtlCtg>
                        <TtlCtgProps>
                          <R>2</R>
                        </TtlCtgProps>
                      </TtlCtg>
                      <ElmtLnksOut>
                        <ElmtLnk>
                          <ElmtLnkProps>
                            <ELI>1,1,56</ELI>
                            <ELN>1</ELN>
                            <ELGN>1</ELGN>
                            <MLG>3E828245-47AF-4389-8DFD-EC1AB744E794</MLG>
                            <ICBI>1,2</ICBI>
                            <ILBN>1,2</ILBN>
                            <LIBN>0</LIBN>
                          </ElmtLnkProps>
                        </ElmtLnk>
                      </ElmtLnksOut>
                    </Elmt>
                    <Elmt>
                      <ElmtProps>
                        <CPT>2</CPT>
                      </ElmtProps>
                      <TtlCtg>
                        <TtlCtgProps>
                          <R>2</R>
                        </TtlCtgProps>
                      </TtlCtg>
                    </Elmt>
                    <Elmt>
                      <ElmtProps>
                        <CPT>2</CPT>
                      </ElmtProps>
                      <ClmnBlks>
                        <ClmnBlk>
                          <ClmnBlkProps>
                            <FCPT>0</FCPT>
                            <FCN>3</FCN>
                            <LCPT>0</LCPT>
                            <LCN>3</LCN>
                          </ClmnBlkProps>
                          <ClmnBlkPts>
                            <ClmnBlkPt>
                              <ClmnBlkPtProps>
                                <CBPT>5</CBPT>
                                <ST>6</ST>
                                <VOFFF><![CDATA[Error Values]]></VOFFF>
                              </ClmnBlkPtProps>
                            </ClmnBlkPt>
                          </ClmnBlkPts>
                        </ClmnBlk>
                        <ClmnBlk>
                          <ClmnBlkProps>
                            <FCPT>0</FCPT>
                            <FCN>10</FCN>
                            <LCPT>0</LCPT>
                            <LCN>10</LCN>
                          </ClmnBlkProps>
                          <ClmnBlkPts>
                            <ClmnBlkPt>
                              <ClmnBlkPtProps>
                                <CBPT>5</CBPT>
                                <ST>18</ST>
                                <SON>2</SON>
                                <VOFFF><![CDATA[=IF(ISERROR(§A¿0,1,0,1,48,2,1,-1,0,0,FALSE,FALSE§Z¿-§A¿0,1,0,1,56,2,1,-1,0,0,FALSE,FALSE§Z¿),1,0)]]></VOFFF>
                              </ClmnBlkPtProps>
                              <FmtCnds>
                                <FmtCnd>
                                  <FmtCndProps>
                                    <CBPLI>1,1,58,2,1</CBPLI>
                                    <FCN>1</FCN>
                                    <FCT>1</FCT>
                                    <FCO>4</FCO>
                                    <F1FFF><![CDATA[=0]]></F1FFF>
                                    <F2FFF/>
                                    <SIT>False</SIT>
                                    <BSV>True</BSV>
                                    <BCT>0</BCT>
                                    <CNBCN>0</CNBCN>
                                    <BTAS>0</BTAS>
                                    <IST>1</IST>
                                    <RO>False</RO>
                                    <SIO>False</SIO>
                                    <TO>0</TO>
                                    <TS/>
                                    <DO>1</DO>
                                    <TB>1</TB>
                                    <R>10</R>
                                    <P>False</P>
                                    <AB>0</AB>
                                    <NSD>1</NSD>
                                    <DU>1</DU>
                                    <INF>False</INF>
                                    <NT>0</NT>
                                    <DP>0</DP>
                                    <CNF/>
                                  </FmtCndProps>
                                  <FntOvly>
                                    <FntOvlyProps>
                                      <PT>2</PT>
                                      <SON>0</SON>
                                      <CBPLI>1,1,58,2,1</CBPLI>
                                      <FCN>1</FCN>
                                      <CN>0</CN>
                                      <IB>True</IB>
                                      <IC>True</IC>
                                      <B>True</B>
                                      <CT>2</CT>
                                      <CNU>3</CNU>
                                      <CPR>0</CPR>
                                      <TAS>0</TAS>
                                    </FntOvlyProps>
                                  </FntOvly>
                                </FmtCnd>
                              </FmtCnds>
                            </ClmnBlkPt>
                          </ClmnBlkPts>
                        </ClmnBlk>
                      </ClmnBlks>
                      <TtlCtg>
                        <TtlCtgProps>
                          <R>3</R>
                        </TtlCtgProps>
                      </TtlCtg>
                    </Elmt>
                    <Elmt>
                      <ElmtProps>
                        <CPT>2</CPT>
                      </ElmtProps>
                      <ClmnBlks>
                        <ClmnBlk>
                          <ClmnBlkProps>
                            <FCPT>0</FCPT>
                            <FCN>3</FCN>
                            <LCPT>0</LCPT>
                            <LCN>3</LCN>
                          </ClmnBlkProps>
                          <ClmnBlkPts>
                            <ClmnBlkPt>
                              <ClmnBlkPtProps>
                                <CBPT>5</CBPT>
                                <ST>6</ST>
                                <VOFFF><![CDATA[Balance Check]]></VOFFF>
                              </ClmnBlkPtProps>
                            </ClmnBlkPt>
                          </ClmnBlkPts>
                        </ClmnBlk>
                        <ClmnBlk>
                          <ClmnBlkProps>
                            <FCPT>0</FCPT>
                            <FCN>10</FCN>
                            <LCPT>0</LCPT>
                            <LCN>10</LCN>
                          </ClmnBlkProps>
                          <ClmnBlkPts>
                            <ClmnBlkPt>
                              <ClmnBlkPtProps>
                                <CBPT>5</CBPT>
                                <ST>18</ST>
                                <SON>3</SON>
                                <VOFFF><![CDATA[=IF(§A¿0,1,0,1,58,2,1,-1,0,0,FALSE,FALSE§Z¿<>0,0,IF(ROUND(§A¿0,1,0,1,48,2,1,-1,0,0,FALSE,FALSE§Z¿-§A¿0,1,0,1,56,2,1,-1,0,0,FALSE,FALSE§Z¿,5)<>0,1,0))]]></VOFFF>
                              </ClmnBlkPtProps>
                              <FmtCnds>
                                <FmtCnd>
                                  <FmtCndProps>
                                    <CBPLI>1,1,59,2,1</CBPLI>
                                    <FCN>1</FCN>
                                    <FCT>1</FCT>
                                    <FCO>4</FCO>
                                    <F1FFF><![CDATA[=0]]></F1FFF>
                                    <F2FFF/>
                                    <SIT>False</SIT>
                                    <BSV>True</BSV>
                                    <BCT>0</BCT>
                                    <CNBCN>0</CNBCN>
                                    <BTAS>0</BTAS>
                                    <IST>1</IST>
                                    <RO>False</RO>
                                    <SIO>False</SIO>
                                    <TO>0</TO>
                                    <TS/>
                                    <DO>1</DO>
                                    <TB>1</TB>
                                    <R>10</R>
                                    <P>False</P>
                                    <AB>0</AB>
                                    <NSD>1</NSD>
                                    <DU>1</DU>
                                    <INF>False</INF>
                                    <NT>0</NT>
                                    <DP>0</DP>
                                    <CNF/>
                                  </FmtCndProps>
                                  <FntOvly>
                                    <FntOvlyProps>
                                      <PT>2</PT>
                                      <SON>0</SON>
                                      <CBPLI>1,1,59,2,1</CBPLI>
                                      <FCN>1</FCN>
                                      <CN>0</CN>
                                      <IB>True</IB>
                                      <IC>True</IC>
                                      <B>True</B>
                                      <CT>2</CT>
                                      <CNU>3</CNU>
                                      <CPR>0</CPR>
                                      <TAS>0</TAS>
                                    </FntOvlyProps>
                                  </FntOvly>
                                </FmtCnd>
                              </FmtCnds>
                            </ClmnBlkPt>
                          </ClmnBlkPts>
                        </ClmnBlk>
                      </ClmnBlks>
                      <TtlCtg>
                        <TtlCtgProps>
                          <R>3</R>
                        </TtlCtgProps>
                      </TtlCtg>
                    </Elmt>
                    <Elmt>
                      <ElmtProps>
                        <CPT>2</CPT>
                      </ElmtProps>
                      <ClmnBlks>
                        <ClmnBlk>
                          <ClmnBlkProps>
                            <FCPT>0</FCPT>
                            <FCN>2</FCN>
                            <LCPT>0</LCPT>
                            <LCN>2</LCN>
                          </ClmnBlkProps>
                          <ClmnBlkPts>
                            <ClmnBlkPt>
                              <ClmnBlkPtProps>
                                <CBPT>5</CBPT>
                                <ST>6</ST>
                                <VOFFF><![CDATA[Error Check]]></VOFFF>
                              </ClmnBlkPtProps>
                            </ClmnBlkPt>
                          </ClmnBlkPts>
                        </ClmnBlk>
                        <ClmnBlk>
                          <ClmnBlkProps>
                            <FCPT>0</FCPT>
                            <FCN>10</FCN>
                            <LCPT>0</LCPT>
                            <LCN>10</LCN>
                          </ClmnBlkProps>
                          <ClmnBlkPts>
                            <ClmnBlkPt>
                              <ClmnBlkPtProps>
                                <CBPT>5</CBPT>
                                <ST>18</ST>
                                <SON>2</SON>
                                <VOFFF><![CDATA[=IF(ISERROR(SUM(§A¿0,1,1,1,58,2,1,-1,0,0,FALSE,FALSE,1,59,2,1,-1,0,0,FALSE,FALSE§Z¿)),1,MIN(SUM(§A¿0,1,1,1,58,2,1,-1,0,0,FALSE,FALSE,1,59,2,1,-1,0,0,FALSE,FALSE§Z¿),1))]]></VOFFF>
                              </ClmnBlkPtProps>
                              <Chk>
                                <ChkProps>
                                  <CBPLI>1,1,60,2,1</CBPLI>
                                  <CT>0</CT>
                                  <CN>14</CN>
                                  <HST>1</HST>
                                  <CHT/>
                                  <HCBPLI>1,1,2,1,1</HCBPLI>
                                </ChkProps>
                              </Chk>
                              <Cmts>
                                <Cmt>
                                  <CmtProps>
                                    <CBPLI>1,1,60,2,1</CBPLI>
                                    <WRN>1</WRN>
                                    <ERT>5</ERT>
                                    <COSTN>0</COSTN>
                                    <OC>0</OC>
                                    <HT><![CDATA[Error Check]]></HT>
                                    <HFS>0</HFS>
                                    <BT><![CDATA[Flags the existence of errors.]]></BT>
                                    <BFS>0</BFS>
                                    <H>74</H>
                                    <W>128</W>
                                  </CmtProps>
                                </Cmt>
                                <Cmt>
                                  <CmtProps>
                                    <CBPLI>1,1,60,2,1</CBPLI>
                                    <WRN>2</WRN>
                                    <ERT>5</ERT>
                                    <COSTN>0</COSTN>
                                    <OC>0</OC>
                                    <HT><![CDATA[Error Check]]></HT>
                                    <HFS>0</HFS>
                                    <BT><![CDATA[Flags the existence of errors.]]></BT>
                                    <BFS>0</BFS>
                                    <H>74</H>
                                    <W>128</W>
                                  </CmtProps>
                                </Cmt>
                              </Cmts>
                              <FmtCnds>
                                <FmtCnd>
                                  <FmtCndProps>
                                    <CBPLI>1,1,60,2,1</CBPLI>
                                    <FCN>1</FCN>
                                    <FCT>1</FCT>
                                    <FCO>4</FCO>
                                    <F1FFF><![CDATA[=0]]></F1FFF>
                                    <F2FFF/>
                                    <SIT>False</SIT>
                                    <BSV>True</BSV>
                                    <BCT>0</BCT>
                                    <CNBCN>0</CNBCN>
                                    <BTAS>0</BTAS>
                                    <IST>1</IST>
                                    <RO>False</RO>
                                    <SIO>False</SIO>
                                    <TO>0</TO>
                                    <TS/>
                                    <DO>1</DO>
                                    <TB>1</TB>
                                    <R>10</R>
                                    <P>False</P>
                                    <AB>0</AB>
                                    <NSD>1</NSD>
                                    <DU>1</DU>
                                    <INF>False</INF>
                                    <NT>0</NT>
                                    <DP>0</DP>
                                    <CNF/>
                                  </FmtCndProps>
                                  <FntOvly>
                                    <FntOvlyProps>
                                      <PT>2</PT>
                                      <SON>0</SON>
                                      <CBPLI>1,1,60,2,1</CBPLI>
                                      <FCN>1</FCN>
                                      <CN>0</CN>
                                      <IB>True</IB>
                                      <IC>True</IC>
                                      <B>True</B>
                                      <CT>2</CT>
                                      <CNU>3</CNU>
                                      <CPR>0</CPR>
                                      <TAS>0</TAS>
                                    </FntOvlyProps>
                                  </FntOvly>
                                </FmtCnd>
                              </FmtCnds>
                            </ClmnBlkPt>
                          </ClmnBlkPts>
                        </ClmnBlk>
                      </ClmnBlks>
                      <TtlCtg>
                        <TtlCtgProps>
                          <R>2</R>
                        </TtlCtgProps>
                      </TtlCtg>
                    </Elmt>
                    <Elmt>
                      <ElmtProps>
                        <CPT>2</CPT>
                      </ElmtProps>
                      <TtlCtg>
                        <TtlCtgProps>
                          <R>4</R>
                        </TtlCtgProps>
                      </TtlCtg>
                    </Elmt>
                    <Elmt>
                      <ElmtProps>
                        <CPT>2</CPT>
                      </ElmtProps>
                      <ClmnBlks>
                        <ClmnBlk>
                          <ClmnBlkProps>
                            <FCPT>0</FCPT>
                            <FCN>2</FCN>
                            <LCPT>0</LCPT>
                            <LCN>2</LCN>
                          </ClmnBlkProps>
                          <ClmnBlkPts>
                            <ClmnBlkPt>
                              <ClmnBlkPtProps>
                                <CBPT>5</CBPT>
                                <ST>6</ST>
                                <VOFFF><![CDATA[Alert Check (Negative Cash)]]></VOFFF>
                              </ClmnBlkPtProps>
                            </ClmnBlkPt>
                          </ClmnBlkPts>
                        </ClmnBlk>
                        <ClmnBlk>
                          <ClmnBlkProps>
                            <FCPT>0</FCPT>
                            <FCN>10</FCN>
                            <LCPT>0</LCPT>
                            <LCN>10</LCN>
                          </ClmnBlkProps>
                          <ClmnBlkPts>
                            <ClmnBlkPt>
                              <ClmnBlkPtProps>
                                <CBPT>5</CBPT>
                                <ST>18</ST>
                                <SON>2</SON>
                                <VOFFF><![CDATA[=IF(ISERROR(§A¿0,1,0,1,4,2,1,-1,0,0,FALSE,FALSE§Z¿),0,IF(§A¿0,1,0,1,4,2,1,-1,0,0,FALSE,FALSE§Z¿<0,1,0))]]></VOFFF>
                              </ClmnBlkPtProps>
                              <Chk>
                                <ChkProps>
                                  <CBPLI>1,1,62,2,1</CBPLI>
                                  <CT>2</CT>
                                  <CN>10</CN>
                                  <HST>1</HST>
                                  <CHT/>
                                  <HCBPLI>1,1,2,1,1</HCBPLI>
                                </ChkProps>
                              </Chk>
                              <Cmts>
                                <Cmt>
                                  <CmtProps>
                                    <CBPLI>1,1,62,2,1</CBPLI>
                                    <WRN>1</WRN>
                                    <ERT>5</ERT>
                                    <COSTN>0</COSTN>
                                    <OC>0</OC>
                                    <HT><![CDATA[Alert Check]]></HT>
                                    <HFS>0</HFS>
                                    <BT><![CDATA[Flags the occurrence of designated events.]]></BT>
                                    <BFS>0</BFS>
                                    <H>74</H>
                                    <W>128</W>
                                  </CmtProps>
                                </Cmt>
                                <Cmt>
                                  <CmtProps>
                                    <CBPLI>1,1,62,2,1</CBPLI>
                                    <WRN>2</WRN>
                                    <ERT>5</ERT>
                                    <COSTN>0</COSTN>
                                    <OC>0</OC>
                                    <HT><![CDATA[Alert Check]]></HT>
                                    <HFS>0</HFS>
                                    <BT><![CDATA[Flags the occurrence of designated events.]]></BT>
                                    <BFS>0</BFS>
                                    <H>74</H>
                                    <W>128</W>
                                  </CmtProps>
                                </Cmt>
                              </Cmts>
                              <FmtCnds>
                                <FmtCnd>
                                  <FmtCndProps>
                                    <CBPLI>1,1,62,2,1</CBPLI>
                                    <FCN>1</FCN>
                                    <FCT>1</FCT>
                                    <FCO>4</FCO>
                                    <F1FFF><![CDATA[=0]]></F1FFF>
                                    <F2FFF/>
                                    <SIT>False</SIT>
                                    <BSV>True</BSV>
                                    <BCT>0</BCT>
                                    <CNBCN>0</CNBCN>
                                    <BTAS>0</BTAS>
                                    <IST>1</IST>
                                    <RO>False</RO>
                                    <SIO>False</SIO>
                                    <TO>0</TO>
                                    <TS/>
                                    <DO>1</DO>
                                    <TB>1</TB>
                                    <R>10</R>
                                    <P>False</P>
                                    <AB>0</AB>
                                    <NSD>1</NSD>
                                    <DU>1</DU>
                                    <INF>False</INF>
                                    <NT>0</NT>
                                    <DP>0</DP>
                                    <CNF/>
                                  </FmtCndProps>
                                  <FntOvly>
                                    <FntOvlyProps>
                                      <PT>2</PT>
                                      <SON>0</SON>
                                      <CBPLI>1,1,62,2,1</CBPLI>
                                      <FCN>1</FCN>
                                      <CN>0</CN>
                                      <IB>True</IB>
                                      <IC>True</IC>
                                      <B>True</B>
                                      <CT>2</CT>
                                      <CNU>3</CNU>
                                      <CPR>0</CPR>
                                      <TAS>0</TAS>
                                    </FntOvlyProps>
                                  </FntOvly>
                                </FmtCnd>
                              </FmtCnds>
                            </ClmnBlkPt>
                          </ClmnBlkPts>
                        </ClmnBlk>
                      </ClmnBlks>
                      <TtlCtg>
                        <TtlCtgProps>
                          <R>2</R>
                        </TtlCtgProps>
                      </TtlCtg>
                    </Elmt>
                  </Elmts>
                </Sect>
              </Sects>
            </ModComp>
          </ModComps>
        </Mod>
        <Mod>
          <ModProps>
            <MVS>14.0.5.0</MVS>
            <RAV/>
            <RXV>0</RXV>
            <FV>3</FV>
            <MT>0</MT>
            <SCT>-1</SCT>
            <P><![CDATA[IS]]></P>
            <OI>200</OI>
            <MN>0</MN>
            <MAG>A2CD815D-CA75-43CF-B069-ED711E1EF923</MAG>
            <BN><![CDATA[Income Statement]]></BN>
            <N><![CDATA[Income Statement]]></N>
            <TS><![CDATA[Monthly]]></TS>
            <D><![CDATA[Provides a summary of the revenues and expenses of a business over a number of time series periods in order to determine its net profit after tax (NPAT).]]></D>
            <FS><![CDATA[Allows for all revenue and expense items included within the Modano generic financial model Chart of Accounts 2.]]></FS>
            <R><![CDATA[United Kingdom]]></R>
            <GE><![CDATA[Income Statement]]></GE>
            <CA><![CDATA[Chart of Accounts 2]]></CA>
            <VA><![CDATA[Single Component]]></VA>
            <GST><![CDATA[None]]></GST>
            <DE><![CDATA[Modano]]></DE>
            <E><![CDATA[info@modano.com]]></E>
            <C><![CDATA[Modano]]></C>
            <W><![CDATA[www.modano.com]]></W>
            <K/>
            <CO/>
            <V>11.0.4.1.</V>
            <AX>2</AX>
            <SX/>
            <PMLO>False</PMLO>
            <IPMLO>False</IPMLO>
            <MACA>0</MACA>
            <HP>False</HP>
            <DR>False</DR>
            <RTSM>True</RTSM>
            <CC>True</CC>
            <X>False</X>
            <G>0E4469E7-DE31-43E5-BE54-F154EA5FCB73</G>
          </ModProps>
          <RowStgs>
            <RowStg>
              <RowStgProps>
                <RSN>1</RSN>
                <RHST>0</RHST>
                <HS>0</HS>
                <OL>3</OL>
                <RH>False</RH>
              </RowStgProps>
            </RowStg>
            <RowStg>
              <RowStgProps>
                <RSN>2</RSN>
                <RHST>1</RHST>
                <HS>50</HS>
                <OL>3</OL>
                <RH>False</RH>
              </RowStgProps>
            </RowStg>
            <RowStg>
              <RowStgProps>
                <RSN>3</RSN>
                <RHST>0</RHST>
                <HS>0</HS>
                <OL>2</OL>
                <RH>False</RH>
              </RowStgProps>
            </RowStg>
            <RowStg>
              <RowStgProps>
                <RSN>4</RSN>
                <RHST>1</RHST>
                <HS>50</HS>
                <OL>2</OL>
                <RH>False</RH>
              </RowStgProps>
            </RowStg>
            <RowStg>
              <RowStgProps>
                <RSN>5</RSN>
                <RHST>0</RHST>
                <HS>0</HS>
                <OL>3</OL>
                <RH>True</RH>
              </RowStgProps>
            </RowStg>
          </RowStgs>
          <StlOvlys>
            <StlOvly>
              <StlOvlyProps>
                <SON>1</SON>
              </StlOvlyProps>
              <BdrOvlys>
                <BdrOvly>
                  <BdrOvlyProps>
                    <PT>1</PT>
                    <SON>1</SON>
                    <CBPLI/>
                    <FCN>0</FCN>
                    <I>True</I>
                    <BI>9</BI>
                    <LS>1</LS>
                    <W>2</W>
                  </BdrOvlyProps>
                </BdrOvly>
              </BdrOvlys>
            </StlOvly>
            <StlOvly>
              <StlOvlyProps>
                <SON>2</SON>
              </StlOvlyProps>
              <FntOvly>
                <FntOvlyProps>
                  <PT>1</PT>
                  <SON>2</SON>
                  <CBPLI>0,0,0,0,0</CBPLI>
                  <FCN>0</FCN>
                  <CN>0</CN>
                  <IB>True</IB>
                  <B>True</B>
                </FntOvlyProps>
              </FntOvly>
              <BdrOvlys>
                <BdrOvly>
                  <BdrOvlyProps>
                    <PT>1</PT>
                    <SON>2</SON>
                    <CBPLI/>
                    <FCN>0</FCN>
                    <I>True</I>
                    <BI>8</BI>
                    <LS>1</LS>
                    <W>2</W>
                  </BdrOvlyProps>
                </BdrOvly>
                <BdrOvly>
                  <BdrOvlyProps>
                    <PT>1</PT>
                    <SON>2</SON>
                    <CBPLI/>
                    <FCN>0</FCN>
                    <I>True</I>
                    <BI>9</BI>
                    <LS>-4119</LS>
                    <W>4</W>
                  </BdrOvlyProps>
                </BdrOvly>
              </BdrOvlys>
            </StlOvly>
            <StlOvly>
              <StlOvlyProps>
                <SON>3</SON>
                <INF>True</INF>
                <NT>0</NT>
                <DP>0</DP>
                <CNF><![CDATA[_(#,##0_);(#,##0);_-"-"_-]]></CNF>
              </StlOvlyProps>
            </StlOvly>
            <StlOvly>
              <StlOvlyProps>
                <SON>4</SON>
                <INF>True</INF>
                <NT>0</NT>
                <DP>0</DP>
                <CNF><![CDATA[_(#,##0.0_);(#,##0.0);_-"-"_-]]></CNF>
              </StlOvlyProps>
              <FntOvly>
                <FntOvlyProps>
                  <PT>1</PT>
                  <SON>4</SON>
                  <CBPLI>0,0,0,0,0</CBPLI>
                  <FCN>0</FCN>
                  <CN>0</CN>
                  <IB>True</IB>
                  <B>True</B>
                </FntOvlyProps>
              </FntOvly>
              <BdrOvlys>
                <BdrOvly>
                  <BdrOvlyProps>
                    <PT>1</PT>
                    <SON>4</SON>
                    <CBPLI/>
                    <FCN>0</FCN>
                    <I>True</I>
                    <BI>10</BI>
                    <LS>1</LS>
                    <W>2</W>
                  </BdrOvlyProps>
                </BdrOvly>
              </BdrOvlys>
            </StlOvly>
            <StlOvly>
              <StlOvlyProps>
                <SON>5</SON>
              </StlOvlyProps>
              <BdrOvlys>
                <BdrOvly>
                  <BdrOvlyProps>
                    <PT>1</PT>
                    <SON>5</SON>
                    <CBPLI/>
                    <FCN>0</FCN>
                    <I>True</I>
                    <BI>9</BI>
                    <LS>-4115</LS>
                    <W>2</W>
                  </BdrOvlyProps>
                </BdrOvly>
              </BdrOvlys>
            </StlOvly>
            <StlOvly>
              <StlOvlyProps>
                <SON>6</SON>
              </StlOvlyProps>
              <FntOvly>
                <FntOvlyProps>
                  <PT>1</PT>
                  <SON>6</SON>
                  <CBPLI>0,0,0,0,0</CBPLI>
                  <FCN>0</FCN>
                  <CN>0</CN>
                  <IB>True</IB>
                  <B>True</B>
                </FntOvlyProps>
              </FntOvly>
              <BdrOvlys>
                <BdrOvly>
                  <BdrOvlyProps>
                    <PT>1</PT>
                    <SON>6</SON>
                    <CBPLI/>
                    <FCN>0</FCN>
                    <I>True</I>
                    <BI>8</BI>
                    <LS>1</LS>
                    <W>2</W>
                  </BdrOvlyProps>
                </BdrOvly>
              </BdrOvlys>
            </StlOvly>
            <StlOvly>
              <StlOvlyProps>
                <SON>7</SON>
              </StlOvlyProps>
              <FntOvly>
                <FntOvlyProps>
                  <PT>1</PT>
                  <SON>7</SON>
                  <CBPLI>0,0,0,0,0</CBPLI>
                  <FCN>0</FCN>
                  <CN>0</CN>
                  <IB>True</IB>
                  <B>False</B>
                </FntOvlyProps>
              </FntOvly>
            </StlOvly>
          </StlOvlys>
          <ElmtsGrps>
            <ElmtsGrp>
              <ElmtsGrpProps>
                <NU>1</NU>
                <NA><![CDATA[Revenue]]></NA>
                <EGT>0</EGT>
                <DCC>6</DCC>
                <AST>True</AST>
                <ISTH>True</ISTH>
                <PTMCN>0</PTMCN>
                <PTBN>0</PTBN>
                <PTBI>0</PTBI>
                <GLN/>
                <CLOT>0</CLOT>
                <CLIT>0</CLIT>
                <PMLO>0</PMLO>
                <IPMLO>0</IPMLO>
              </ElmtsGrpProps>
            </ElmtsGrp>
            <ElmtsGrp>
              <ElmtsGrpProps>
                <NU>2</NU>
                <NA><![CDATA[Cost of Goods Sold]]></NA>
                <EGT>0</EGT>
                <DCC>6</DCC>
                <AST>True</AST>
                <ISTH>True</ISTH>
                <PTMCN>0</PTMCN>
                <PTBN>0</PTBN>
                <PTBI>0</PTBI>
                <GLN/>
                <CLOT>0</CLOT>
                <CLIT>0</CLIT>
                <PMLO>0</PMLO>
                <IPMLO>0</IPMLO>
              </ElmtsGrpProps>
            </ElmtsGrp>
            <ElmtsGrp>
              <ElmtsGrpProps>
                <NU>3</NU>
                <NA><![CDATA[Operating Expenditure]]></NA>
                <EGT>0</EGT>
                <DCC>6</DCC>
                <AST>True</AST>
                <ISTH>True</ISTH>
                <PTMCN>0</PTMCN>
                <PTBN>0</PTBN>
                <PTBI>0</PTBI>
                <GLN/>
                <CLOT>0</CLOT>
                <CLIT>0</CLIT>
                <PMLO>0</PMLO>
                <IPMLO>0</IPMLO>
              </ElmtsGrpProps>
            </ElmtsGrp>
            <ElmtsGrp>
              <ElmtsGrpProps>
                <NU>4</NU>
                <NA><![CDATA[Depreciation]]></NA>
                <EGT>0</EGT>
                <DCC>3</DCC>
                <AST>True</AST>
                <ISTH>True</ISTH>
                <PTMCN>0</PTMCN>
                <PTBN>0</PTBN>
                <PTBI>0</PTBI>
                <GLN/>
                <CLOT>0</CLOT>
                <CLIT>0</CLIT>
                <PMLO>0</PMLO>
                <IPMLO>0</IPMLO>
              </ElmtsGrpProps>
            </ElmtsGrp>
            <ElmtsGrp>
              <ElmtsGrpProps>
                <NU>5</NU>
                <NA><![CDATA[Debt Interest Expense]]></NA>
                <EGT>0</EGT>
                <DCC>3</DCC>
                <AST>True</AST>
                <ISTH>True</ISTH>
                <PTMCN>0</PTMCN>
                <PTBN>0</PTBN>
                <PTBI>0</PTBI>
                <GLN/>
                <CLOT>0</CLOT>
                <CLIT>0</CLIT>
                <PMLO>0</PMLO>
                <IPMLO>0</IPMLO>
              </ElmtsGrpProps>
            </ElmtsGrp>
            <ElmtsGrp>
              <ElmtsGrpProps>
                <NU>6</NU>
                <NA><![CDATA[Other Revenue]]></NA>
                <EGT>0</EGT>
                <DCC>3</DCC>
                <AST>True</AST>
                <ISTH>True</ISTH>
                <PTMCN>0</PTMCN>
                <PTBN>0</PTBN>
                <PTBI>0</PTBI>
                <GLN/>
                <CLOT>0</CLOT>
                <CLIT>0</CLIT>
                <PMLO>0</PMLO>
                <IPMLO>0</IPMLO>
              </ElmtsGrpProps>
            </ElmtsGrp>
            <ElmtsGrp>
              <ElmtsGrpProps>
                <NU>7</NU>
                <NA><![CDATA[Other Expenses]]></NA>
                <EGT>0</EGT>
                <DCC>3</DCC>
                <AST>True</AST>
                <ISTH>True</ISTH>
                <PTMCN>0</PTMCN>
                <PTBN>0</PTBN>
                <PTBI>0</PTBI>
                <GLN/>
                <CLOT>0</CLOT>
                <CLIT>0</CLIT>
                <PMLO>0</PMLO>
                <IPMLO>0</IPMLO>
              </ElmtsGrpProps>
            </ElmtsGrp>
          </ElmtsGrps>
          <ModComps>
            <ModComp>
              <ModCompProps>
                <MN>4</MN>
                <MCN>1</MCN>
                <MCTK>OP</MCTK>
                <RT><![CDATA[<ModuleName>]]></RT>
                <ERN>MODMC13</ERN>
                <MCST>1</MCST>
                <IPMC>False</IPMC>
                <SN>16</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16</CTHN>
                                <ST>3</ST>
                                <VOFFF><![CDATA[<ModuleComponentTitle>]]></VOFFF>
                              </ClmnBlkPtProp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Revenue]]></VOFFF>
                              </ClmnBlkPtProps>
                            </ClmnBlkPt>
                          </ClmnBlkPts>
                        </ClmnBlk>
                      </ClmnBlk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1,1,5,1,1</CBPLI>
                                    <ELN>1</ELN>
                                    <FFF><![CDATA[=§A¿10,FALSE,0,1,0,FALSE§Z¿]]></FFF>
                                  </LnkInFormProps>
                                </LnkInForm>
                              </LnkInForms>
                            </ClmnBlkPt>
                            <ClmnBlkPt>
                              <ClmnBlkPtProps>
                                <CBPT>1</CBPT>
                                <ST>6</ST>
                                <VOFFF><![CDATA[="Total "&§A¿0,1,0,1,5,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A¿0,1,0,1,4,1,1,-1,0,0,FALSE,FALSE§Z¿]]></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1,1,5,1</STLI>
                              <R>1</R>
                            </SubTtlHdgRowProps>
                          </SubTtlHdgRow>
                          <TtlSpcrRow>
                            <TtlSpcrRowProps>
                              <RSN>2</RSN>
                            </TtlSpcrRowProps>
                          </TtlSpcrRow>
                          <CatSpan>
                            <CatSpanProps>
                              <CC>5</CC>
                              <R>5</R>
                            </CatSpanProps>
                            <LnkIn>
                              <LnkInProps>
                                <MN>4</MN>
                                <CLI>1,1,5,False,1</CLI>
                                <ELN>1</ELN>
                                <LOOT>0</LOOT>
                                <LOMN>9</LOMN>
                                <LOMCN>4</LOMCN>
                                <LOSN>1</LOSN>
                                <LOEN>4</LOEN>
                                <LOCN>1</LOCN>
                              </LnkInProps>
                            </LnkIn>
                          </CatSpan>
                        </SubTtl>
                      </SubTtls>
                      <TtlCtg>
                        <TtlCtgProps>
                          <R>3</R>
                        </TtlCtgProps>
                        <TtlSpcrRow>
                          <TtlSpcrRowProps>
                            <RSN>2</RSN>
                          </TtlSpcrRowProps>
                        </TtlSpcrRow>
                      </TtlCtg>
                      <ElmtLnksOut>
                        <ElmtLnk>
                          <ElmtLnkProps>
                            <ELI>1,1,5</ELI>
                            <ELN>1</ELN>
                            <ELGN>1</ELGN>
                            <MLG>11F00A27-4776-45B0-B483-5FE1F109AE07</MLG>
                            <ICBI>1,2</ICBI>
                            <ILBN>1,2</ILBN>
                            <LIBN>0</LIBN>
                          </ElmtLnkProps>
                        </ElmtLnk>
                      </ElmtLnksOut>
                      <ElmtLnksIn>
                        <ElmtLnk>
                          <ElmtLnkProps>
                            <ELI>1,1,5</ELI>
                            <ELN>1</ELN>
                            <ELGN>1</ELGN>
                            <MLG>5BC5876E-4C28-4493-A230-4320A45C1EFE</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ost of Goods Sold]]></VOFFF>
                              </ClmnBlkPtProps>
                            </ClmnBlkPt>
                          </ClmnBlkPts>
                        </ClmnBlk>
                      </ClmnBlks>
                      <TtlCtg>
                        <TtlCtgProps>
                          <R>1</R>
                        </TtlCtgProps>
                      </TtlCtg>
                    </Elmt>
                    <Elmt>
                      <ElmtProps>
                        <CPT>0</CPT>
                        <TOT>False</TOT>
                        <EGN>2</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1,1,8,1,1</CBPLI>
                                    <ELN>1</ELN>
                                    <FFF><![CDATA[=§A¿10,FALSE,0,1,0,FALSE§Z¿]]></FFF>
                                  </LnkInFormProps>
                                </LnkInForm>
                              </LnkInForms>
                            </ClmnBlkPt>
                            <ClmnBlkPt>
                              <ClmnBlkPtProps>
                                <CBPT>1</CBPT>
                                <ST>6</ST>
                                <VOFFF><![CDATA[="Total "&§A¿0,1,0,1,8,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A¿0,1,0,1,7,1,1,-1,0,0,FALSE,FALSE§Z¿]]></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1,1,8,1</STLI>
                              <R>1</R>
                            </SubTtlHdgRowProps>
                          </SubTtlHdgRow>
                          <TtlSpcrRow>
                            <TtlSpcrRowProps>
                              <RSN>2</RSN>
                            </TtlSpcrRowProps>
                          </TtlSpcrRow>
                          <CatSpan>
                            <CatSpanProps>
                              <CC>3</CC>
                              <R>5</R>
                            </CatSpanProps>
                            <LnkIn>
                              <LnkInProps>
                                <MN>4</MN>
                                <CLI>1,1,8,False,1</CLI>
                                <ELN>1</ELN>
                                <LOOT>0</LOOT>
                                <LOMN>15</LOMN>
                                <LOMCN>4</LOMCN>
                                <LOSN>1</LOSN>
                                <LOEN>4</LOEN>
                                <LOCN>1</LOCN>
                              </LnkInProps>
                            </LnkIn>
                          </CatSpan>
                        </SubTtl>
                      </SubTtls>
                      <TtlCtg>
                        <TtlCtgProps>
                          <R>3</R>
                        </TtlCtgProps>
                        <TtlSpcrRow>
                          <TtlSpcrRowProps>
                            <RSN>2</RSN>
                          </TtlSpcrRowProps>
                        </TtlSpcrRow>
                      </TtlCtg>
                      <ElmtLnksOut>
                        <ElmtLnk>
                          <ElmtLnkProps>
                            <ELI>1,1,8</ELI>
                            <ELN>1</ELN>
                            <ELGN>2</ELGN>
                            <MLG>C934D542-549E-4227-AA8E-9BAFC21C1DD6</MLG>
                            <ICBI>1,2</ICBI>
                            <ILBN>1,2</ILBN>
                            <LIBN>0</LIBN>
                          </ElmtLnkProps>
                        </ElmtLnk>
                      </ElmtLnksOut>
                      <ElmtLnksIn>
                        <ElmtLnk>
                          <ElmtLnkProps>
                            <ELI>1,1,8</ELI>
                            <ELN>1</ELN>
                            <ELGN>2</ELGN>
                            <MLG>5C860D93-DDC3-4B7A-BA2B-039792DD83BD</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Gross Margi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5,2,6,-1,0,0,FALSE,FALSE§Z¿+§A¿0,1,0,1,8,2,6,-1,0,0,FALSE,FALSE§Z¿]]></VOFFF>
                              </ClmnBlkPtProps>
                            </ClmnBlkPt>
                          </ClmnBlkPts>
                        </ClmnBlk>
                      </ClmnBlks>
                      <TtlCtg>
                        <TtlCtgProps>
                          <R>3</R>
                        </TtlCtgProps>
                      </TtlCtg>
                      <ElmtLnksOut>
                        <ElmtLnk>
                          <ElmtLnkProps>
                            <ELI>1,1,10</ELI>
                            <ELN>1</ELN>
                            <ELGN>3</ELGN>
                            <MLG>EA714C3B-A474-452C-8B94-4BB70DBF4657</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Operating Expenses]]></VOFFF>
                              </ClmnBlkPtProps>
                            </ClmnBlkPt>
                          </ClmnBlkPts>
                        </ClmnBlk>
                      </ClmnBlks>
                      <TtlCtg>
                        <TtlCtgProps>
                          <R>1</R>
                        </TtlCtgProps>
                      </TtlCtg>
                    </Elmt>
                    <Elmt>
                      <ElmtProps>
                        <CPT>0</CPT>
                        <TOT>False</TOT>
                        <EGN>6</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1,1,13,1,1</CBPLI>
                                    <ELN>1</ELN>
                                    <FFF><![CDATA[=§A¿10,FALSE,0,1,0,FALSE§Z¿]]></FFF>
                                  </LnkInFormProps>
                                </LnkInForm>
                              </LnkInForms>
                            </ClmnBlkPt>
                            <ClmnBlkPt>
                              <ClmnBlkPtProps>
                                <CBPT>1</CBPT>
                                <ST>6</ST>
                                <VOFFF><![CDATA[="Total "&§A¿0,1,0,1,13,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1,1,13,2,1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1,1,13,1</STLI>
                              <R>1</R>
                            </SubTtlHdgRowProps>
                          </SubTtlHdgRow>
                          <TtlSpcrRow>
                            <TtlSpcrRowProps>
                              <RSN>2</RSN>
                            </TtlSpcrRowProps>
                          </TtlSpcrRow>
                          <CatSpan>
                            <CatSpanProps>
                              <CC>2</CC>
                              <R>1</R>
                            </CatSpanProps>
                            <LnkIn>
                              <LnkInProps>
                                <MN>4</MN>
                                <CLI>1,1,13,False,1</CLI>
                                <ELN>1</ELN>
                                <LOOT>0</LOOT>
                                <LOMN>28</LOMN>
                                <LOMCN>4</LOMCN>
                                <LOSN>1</LOSN>
                                <LOEN>4</LOEN>
                                <LOCN>1</LOCN>
                              </LnkInProps>
                            </LnkIn>
                          </CatSpan>
                        </SubTtl>
                      </SubTtls>
                      <TtlCtg>
                        <TtlCtgProps>
                          <R>1</R>
                        </TtlCtgProps>
                        <TtlSpcrRow>
                          <TtlSpcrRowProps>
                            <RSN>2</RSN>
                          </TtlSpcrRowProps>
                        </TtlSpcrRow>
                      </TtlCtg>
                      <ElmtLnksOut>
                        <ElmtLnk>
                          <ElmtLnkProps>
                            <ELI>1,1,13</ELI>
                            <ELN>1</ELN>
                            <ELGN>4</ELGN>
                            <MLG>4F7930F8-DFE0-46CE-B508-5A8BDE17D69C</MLG>
                            <ICBI>1,2</ICBI>
                            <ILBN>1,2</ILBN>
                            <LIBN>0</LIBN>
                          </ElmtLnkProps>
                        </ElmtLnk>
                      </ElmtLnksOut>
                      <ElmtLnksIn>
                        <ElmtLnk>
                          <ElmtLnkProps>
                            <ELI>1,1,13</ELI>
                            <ELN>1</ELN>
                            <ELGN>3</ELGN>
                            <MLG>11B73427-89C3-496A-AAC9-239536099189</MLG>
                            <ICBI>1,2</ICBI>
                            <ILBN/>
                            <LIBN>0</LIBN>
                          </ElmtLnkProps>
                        </ElmtLnk>
                      </ElmtLnksIn>
                    </Elmt>
                    <Elmt>
                      <ElmtProps>
                        <CPT>2</CPT>
                      </ElmtProps>
                      <TtlCtg>
                        <TtlCtgProps>
                          <R>2</R>
                        </TtlCtgProps>
                      </TtlCtg>
                    </Elmt>
                    <Elmt>
                      <ElmtProps>
                        <CPT>0</CPT>
                        <TOT>False</TOT>
                        <EGN>3</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1,1,15,1,1</CBPLI>
                                    <ELN>1</ELN>
                                    <FFF><![CDATA[=§A¿10,FALSE,0,1,0,FALSE§Z¿]]></FFF>
                                  </LnkInFormProps>
                                </LnkInForm>
                              </LnkInForms>
                            </ClmnBlkPt>
                            <ClmnBlkPt>
                              <ClmnBlkPtProps>
                                <CBPT>1</CBPT>
                                <ST>6</ST>
                                <VOFFF><![CDATA[="Total "&§A¿0,1,0,1,15,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1,1,15,2,1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1,1,15,1</STLI>
                              <R>1</R>
                            </SubTtlHdgRowProps>
                          </SubTtlHdgRow>
                          <TtlSpcrRow>
                            <TtlSpcrRowProps>
                              <RSN>2</RSN>
                            </TtlSpcrRowProps>
                          </TtlSpcrRow>
                          <Ctgs>
                            <Ctg>
                              <CtgProps>
                                <R>5</R>
                              </CtgProps>
                              <LnkIn>
                                <LnkInProps>
                                  <MN>4</MN>
                                  <CLI>1,1,15,False,1</CLI>
                                  <ELN>1</ELN>
                                  <LOOT>0</LOOT>
                                  <LOMN>19</LOMN>
                                  <LOMCN>4</LOMCN>
                                  <LOSN>1</LOSN>
                                  <LOEN>4</LOEN>
                                  <LOCN>1</LOCN>
                                </LnkInProps>
                              </LnkIn>
                            </Ctg>
                            <Ctg>
                              <CtgProps>
                                <R>1</R>
                              </CtgProps>
                              <LnkIn>
                                <LnkInProps>
                                  <MN>4</MN>
                                  <CLI>1,1,15,False,2</CLI>
                                  <ELN>1</ELN>
                                  <LOOT>0</LOOT>
                                  <LOMN>19</LOMN>
                                  <LOMCN>4</LOMCN>
                                  <LOSN>1</LOSN>
                                  <LOEN>4</LOEN>
                                  <LOCN>2</LOCN>
                                </LnkInProps>
                              </LnkIn>
                            </Ctg>
                            <Ctg>
                              <CtgProps>
                                <R>1</R>
                              </CtgProps>
                              <LnkIn>
                                <LnkInProps>
                                  <MN>4</MN>
                                  <CLI>1,1,15,False,3</CLI>
                                  <ELN>1</ELN>
                                  <LOOT>0</LOOT>
                                  <LOMN>19</LOMN>
                                  <LOMCN>4</LOMCN>
                                  <LOSN>1</LOSN>
                                  <LOEN>4</LOEN>
                                  <LOCN>3</LOCN>
                                </LnkInProps>
                              </LnkIn>
                            </Ctg>
                            <Ctg>
                              <CtgProps>
                                <R>5</R>
                              </CtgProps>
                              <LnkIn>
                                <LnkInProps>
                                  <MN>4</MN>
                                  <CLI>1,1,15,False,4</CLI>
                                  <ELN>1</ELN>
                                  <LOOT>0</LOOT>
                                  <LOMN>19</LOMN>
                                  <LOMCN>4</LOMCN>
                                  <LOSN>1</LOSN>
                                  <LOEN>4</LOEN>
                                  <LOCN>4</LOCN>
                                </LnkInProps>
                              </LnkIn>
                            </Ctg>
                            <Ctg>
                              <CtgProps>
                                <R>5</R>
                              </CtgProps>
                              <LnkIn>
                                <LnkInProps>
                                  <MN>4</MN>
                                  <CLI>1,1,15,False,5</CLI>
                                  <ELN>1</ELN>
                                  <LOOT>0</LOOT>
                                  <LOMN>19</LOMN>
                                  <LOMCN>4</LOMCN>
                                  <LOSN>1</LOSN>
                                  <LOEN>4</LOEN>
                                  <LOCN>5</LOCN>
                                </LnkInProps>
                              </LnkIn>
                            </Ctg>
                            <Ctg>
                              <CtgProps>
                                <R>5</R>
                              </CtgProps>
                              <LnkIn>
                                <LnkInProps>
                                  <MN>4</MN>
                                  <CLI>1,1,15,False,6</CLI>
                                  <ELN>1</ELN>
                                  <LOOT>0</LOOT>
                                  <LOMN>19</LOMN>
                                  <LOMCN>4</LOMCN>
                                  <LOSN>1</LOSN>
                                  <LOEN>4</LOEN>
                                  <LOCN>6</LOCN>
                                </LnkInProps>
                              </LnkIn>
                            </Ctg>
                            <Ctg>
                              <CtgProps>
                                <R>5</R>
                              </CtgProps>
                              <LnkIn>
                                <LnkInProps>
                                  <MN>4</MN>
                                  <CLI>1,1,15,False,7</CLI>
                                  <ELN>1</ELN>
                                  <LOOT>0</LOOT>
                                  <LOMN>19</LOMN>
                                  <LOMCN>4</LOMCN>
                                  <LOSN>1</LOSN>
                                  <LOEN>4</LOEN>
                                  <LOCN>7</LOCN>
                                </LnkInProps>
                              </LnkIn>
                            </Ctg>
                            <Ctg>
                              <CtgProps>
                                <R>5</R>
                              </CtgProps>
                              <LnkIn>
                                <LnkInProps>
                                  <MN>4</MN>
                                  <CLI>1,1,15,False,8</CLI>
                                  <ELN>1</ELN>
                                  <LOOT>0</LOOT>
                                  <LOMN>19</LOMN>
                                  <LOMCN>4</LOMCN>
                                  <LOSN>1</LOSN>
                                  <LOEN>4</LOEN>
                                  <LOCN>8</LOCN>
                                </LnkInProps>
                              </LnkIn>
                            </Ctg>
                          </Ctgs>
                        </SubTtl>
                      </SubTtls>
                      <TtlCtg>
                        <TtlCtgProps>
                          <R>1</R>
                        </TtlCtgProps>
                        <TtlSpcrRow>
                          <TtlSpcrRowProps>
                            <RSN>2</RSN>
                          </TtlSpcrRowProps>
                        </TtlSpcrRow>
                      </TtlCtg>
                      <ElmtLnksOut>
                        <ElmtLnk>
                          <ElmtLnkProps>
                            <ELI>1,1,15</ELI>
                            <ELN>1</ELN>
                            <ELGN>5</ELGN>
                            <MLG>0E2679AB-FCFD-43E8-8B03-C71A223C73AF</MLG>
                            <ICBI>1,2</ICBI>
                            <ILBN>1,2</ILBN>
                            <LIBN>0</LIBN>
                          </ElmtLnkProps>
                        </ElmtLnk>
                      </ElmtLnksOut>
                      <ElmtLnksIn>
                        <ElmtLnk>
                          <ElmtLnkProps>
                            <ELI>1,1,15</ELI>
                            <ELN>1</ELN>
                            <ELGN>4</ELGN>
                            <MLG>38F3F5CD-EA4A-45A0-BA33-D4A1343DCA30</MLG>
                            <ICBI>1,2</ICBI>
                            <ILBN/>
                            <LIBN>0</LIBN>
                          </ElmtLnkProps>
                        </ElmtLnk>
                      </ElmtLnksIn>
                    </Elmt>
                    <Elmt>
                      <ElmtProps>
                        <CPT>2</CPT>
                      </ElmtProps>
                      <TtlCtg>
                        <TtlCtgProps>
                          <R>2</R>
                        </TtlCtgProps>
                      </TtlCtg>
                    </Elmt>
                    <Elmt>
                      <ElmtProps>
                        <CPT>0</CPT>
                        <TOT>False</TOT>
                        <EGN>7</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1,1,17,1,1</CBPLI>
                                    <ELN>1</ELN>
                                    <FFF><![CDATA[=§A¿10,FALSE,0,1,0,FALSE§Z¿]]></FFF>
                                  </LnkInFormProps>
                                </LnkInForm>
                              </LnkInForms>
                            </ClmnBlkPt>
                            <ClmnBlkPt>
                              <ClmnBlkPtProps>
                                <CBPT>1</CBPT>
                                <ST>6</ST>
                                <VOFFF><![CDATA[="Total "&§A¿0,1,0,1,17,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Other Expense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1,1,17,2,1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1,1,17,1</STLI>
                              <R>1</R>
                            </SubTtlHdgRowProps>
                          </SubTtlHdgRow>
                          <TtlSpcrRow>
                            <TtlSpcrRowProps>
                              <RSN>2</RSN>
                            </TtlSpcrRowProps>
                          </TtlSpcrRow>
                          <Ctgs>
                            <Ctg>
                              <CtgProps>
                                <R>5</R>
                              </CtgProps>
                              <LnkIn>
                                <LnkInProps>
                                  <MN>4</MN>
                                  <CLI>1,1,17,False,1</CLI>
                                  <ELN>1</ELN>
                                  <LOOT>0</LOOT>
                                  <LOMN>31</LOMN>
                                  <LOMCN>3</LOMCN>
                                  <LOSN>1</LOSN>
                                  <LOEN>4</LOEN>
                                  <LOCN>1</LOCN>
                                </LnkInProps>
                              </LnkIn>
                            </Ctg>
                          </Ctgs>
                        </SubTtl>
                      </SubTtls>
                      <TtlCtg>
                        <TtlCtgProps>
                          <R>1</R>
                        </TtlCtgProps>
                        <TtlSpcrRow>
                          <TtlSpcrRowProps>
                            <RSN>2</RSN>
                          </TtlSpcrRowProps>
                        </TtlSpcrRow>
                      </TtlCtg>
                      <ElmtLnksOut>
                        <ElmtLnk>
                          <ElmtLnkProps>
                            <ELI>1,1,17</ELI>
                            <ELN>1</ELN>
                            <ELGN>6</ELGN>
                            <MLG>24CC5B87-623C-4382-A622-0E015384CD1B</MLG>
                            <ICBI>1,2</ICBI>
                            <ILBN>1,2</ILBN>
                            <LIBN>0</LIBN>
                          </ElmtLnkProps>
                        </ElmtLnk>
                      </ElmtLnksOut>
                      <ElmtLnksIn>
                        <ElmtLnk>
                          <ElmtLnkProps>
                            <ELI>1,1,17</ELI>
                            <ELN>1</ELN>
                            <ELGN>5</ELGN>
                            <MLG>070A3ADD-0FB1-4CC9-BDBB-B89F34486725</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2,6,-1,0,0,FALSE,FALSE§Z¿+§A¿0,1,0,1,15,2,6,-1,0,0,FALSE,FALSE§Z¿+§A¿0,1,0,1,17,2,6,-1,0,0,FALSE,FALSE§Z¿]]></VOFFF>
                              </ClmnBlkPtProps>
                            </ClmnBlkPt>
                          </ClmnBlkPts>
                        </ClmnBlk>
                      </ClmnBlks>
                      <TtlCtg>
                        <TtlCtgProps>
                          <R>3</R>
                        </TtlCtgProps>
                      </TtlCtg>
                      <ElmtLnksOut>
                        <ElmtLnk>
                          <ElmtLnkProps>
                            <ELI>1,1,19</ELI>
                            <ELN>1</ELN>
                            <ELGN>3</ELGN>
                            <MLG>F4E23BA8-1749-48B1-B62F-4B203402E9B5</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EBITDA]]></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10,2,1,-1,0,0,FALSE,FALSE§Z¿+§A¿0,1,0,1,19,2,1,-1,0,0,FALSE,FALSE§Z¿]]></VOFFF>
                              </ClmnBlkPtProps>
                            </ClmnBlkPt>
                          </ClmnBlkPts>
                        </ClmnBlk>
                      </ClmnBlks>
                      <TtlCtg>
                        <TtlCtgProps>
                          <R>3</R>
                        </TtlCtgProps>
                      </TtlCtg>
                      <ElmtLnksOut>
                        <ElmtLnk>
                          <ElmtLnkProps>
                            <ELI>1,1,21</ELI>
                            <ELN>1</ELN>
                            <ELGN>3</ELGN>
                            <MLG>B5476248-CCD4-421F-9F2A-D75AECC0D2C6</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Depreciation & Amortisation]]></VOFFF>
                              </ClmnBlkPtProps>
                            </ClmnBlkPt>
                          </ClmnBlkPts>
                        </ClmnBlk>
                      </ClmnBlks>
                      <TtlCtg>
                        <TtlCtgProps>
                          <R>1</R>
                        </TtlCtgProps>
                      </TtlCtg>
                    </Elmt>
                    <Elmt>
                      <ElmtProps>
                        <CPT>0</CPT>
                        <TOT>False</TOT>
                        <EGN>4</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1,1,24,1,1</CBPLI>
                                    <ELN>1</ELN>
                                    <FFF><![CDATA[=§A¿10,FALSE,0,1,0,FALSE§Z¿]]></FFF>
                                  </LnkInFormProps>
                                </LnkInForm>
                              </LnkInForms>
                            </ClmnBlkPt>
                            <ClmnBlkPt>
                              <ClmnBlkPtProps>
                                <CBPT>1</CBPT>
                                <ST>6</ST>
                                <VOFFF><![CDATA[="Total "&§A¿0,1,0,1,24,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Depreciation]]></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1,1,24,2,1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1,1,24,1</STLI>
                              <R>1</R>
                            </SubTtlHdgRowProps>
                          </SubTtlHdgRow>
                          <TtlSpcrRow>
                            <TtlSpcrRowProps>
                              <RSN>2</RSN>
                            </TtlSpcrRowProps>
                          </TtlSpcrRow>
                          <CatSpan>
                            <CatSpanProps>
                              <CC>2</CC>
                              <R>5</R>
                            </CatSpanProps>
                            <LnkIn>
                              <LnkInProps>
                                <MN>4</MN>
                                <CLI>1,1,24,False,1</CLI>
                                <ELN>1</ELN>
                                <LOOT>0</LOOT>
                                <LOMN>40</LOMN>
                                <LOMCN>1</LOMCN>
                                <LOSN>3</LOSN>
                                <LOEN>8</LOEN>
                                <LOCN>1</LOCN>
                              </LnkInProps>
                            </LnkIn>
                          </CatSpan>
                        </SubTtl>
                      </SubTtls>
                      <TtlCtg>
                        <TtlCtgProps>
                          <R>1</R>
                        </TtlCtgProps>
                        <TtlSpcrRow>
                          <TtlSpcrRowProps>
                            <RSN>2</RSN>
                          </TtlSpcrRowProps>
                        </TtlSpcrRow>
                      </TtlCtg>
                      <ElmtLnksOut>
                        <ElmtLnk>
                          <ElmtLnkProps>
                            <ELI>1,1,24</ELI>
                            <ELN>1</ELN>
                            <ELGN>7</ELGN>
                            <MLG>C1896DD2-E71F-43E1-AE90-1D4305B5ADC8</MLG>
                            <ICBI>1,2</ICBI>
                            <ILBN>1,2</ILBN>
                            <LIBN>0</LIBN>
                          </ElmtLnkProps>
                        </ElmtLnk>
                      </ElmtLnksOut>
                      <ElmtLnksIn>
                        <ElmtLnk>
                          <ElmtLnkProps>
                            <ELI>1,1,24</ELI>
                            <ELN>1</ELN>
                            <ELGN>6</ELGN>
                            <MLG>97860D50-973B-4E71-BCEE-D80727560486</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0,1,0,1,2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4,2,6,-1,0,0,FALSE,FALSE§Z¿]]></VOFFF>
                              </ClmnBlkPtProps>
                            </ClmnBlkPt>
                          </ClmnBlkPts>
                        </ClmnBlk>
                      </ClmnBlks>
                      <TtlCtg>
                        <TtlCtgProps>
                          <R>3</R>
                        </TtlCtgProps>
                      </TtlCtg>
                      <ElmtLnksOut>
                        <ElmtLnk>
                          <ElmtLnkProps>
                            <ELI>1,1,26</ELI>
                            <ELN>1</ELN>
                            <ELGN>3</ELGN>
                            <MLG>3CDE2022-386E-486D-89BB-32DDA443CC7B</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EBIT]]></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21,2,1,-1,0,0,FALSE,FALSE§Z¿+§A¿0,1,0,1,26,2,1,-1,0,0,FALSE,FALSE§Z¿]]></VOFFF>
                              </ClmnBlkPtProps>
                            </ClmnBlkPt>
                          </ClmnBlkPts>
                        </ClmnBlk>
                      </ClmnBlks>
                      <TtlCtg>
                        <TtlCtgProps>
                          <R>3</R>
                        </TtlCtgProps>
                      </TtlCtg>
                      <ElmtLnksOut>
                        <ElmtLnk>
                          <ElmtLnkProps>
                            <ELI>1,1,28</ELI>
                            <ELN>1</ELN>
                            <ELGN>3</ELGN>
                            <MLG>53660E88-B21A-42CF-88A4-661E4FE145E2</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on Cash]]></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1,1,30,2,1</CBPLI>
                                    <ELN>1</ELN>
                                    <FFF><![CDATA[=§A¿10,FALSE,0,2,0,FALSE§Z¿]]></FFF>
                                  </LnkInFormProps>
                                </LnkInForm>
                              </LnkInForms>
                            </ClmnBlkPt>
                          </ClmnBlkPts>
                        </ClmnBlk>
                      </ClmnBlks>
                      <TtlCtg>
                        <TtlCtgProps>
                          <R>1</R>
                        </TtlCtgProps>
                        <LnkIn>
                          <LnkInProps>
                            <MN>4</MN>
                            <CLI>1,1,30,True,0</CLI>
                            <ELN>1</ELN>
                            <LOOT>2</LOOT>
                            <LOMN>47</LOMN>
                            <LOMCN>1</LOMCN>
                            <LOSN>1</LOSN>
                            <LOEN>16</LOEN>
                            <LOCN>0</LOCN>
                          </LnkInProps>
                        </LnkIn>
                      </TtlCtg>
                      <ElmtLnksOut>
                        <ElmtLnk>
                          <ElmtLnkProps>
                            <ELI>1,1,30</ELI>
                            <ELN>1</ELN>
                            <ELGN>3</ELGN>
                            <MLG>EC3DF63F-0FE4-4A0A-A11F-291EAB02860C</MLG>
                            <ICBI>1,2</ICBI>
                            <ILBN>1,2</ILBN>
                            <LIBN>0</LIBN>
                          </ElmtLnkProps>
                        </ElmtLnk>
                      </ElmtLnksOut>
                      <ElmtLnksIn>
                        <ElmtLnk>
                          <ElmtLnkProps>
                            <ELI>1,1,30</ELI>
                            <ELN>1</ELN>
                            <ELGN>7</ELGN>
                            <MLG>EDC5F79F-3412-403A-A703-B2BAA74D91AB</MLG>
                            <ICBI>2</ICBI>
                            <ILBN/>
                            <LIBN>0</LIBN>
                          </ElmtLnkProps>
                        </ElmtLnk>
                      </ElmtLnksIn>
                    </Elmt>
                    <Elmt>
                      <ElmtProps>
                        <CPT>2</CPT>
                      </ElmtProps>
                      <TtlCtg>
                        <TtlCtgProps>
                          <R>2</R>
                        </TtlCtgProps>
                      </TtlCtg>
                    </Elmt>
                    <Elmt>
                      <ElmtProps>
                        <CPT>0</CPT>
                        <TOT>False</TOT>
                        <EGN>5</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1,1,32,1,1</CBPLI>
                                    <ELN>1</ELN>
                                    <FFF><![CDATA[=§A¿10,FALSE,0,1,0,FALSE§Z¿]]></FFF>
                                  </LnkInFormProps>
                                </LnkInForm>
                              </LnkInForms>
                            </ClmnBlkPt>
                            <ClmnBlkPt>
                              <ClmnBlkPtProps>
                                <CBPT>1</CBPT>
                                <ST>6</ST>
                                <VOFFF><![CDATA[="Total "&§A¿0,1,0,1,32,1,3,0,0,0,FALSE,FALSE§Z¿]]></VOFFF>
                                <UDAV><![CDATA[<CategoriesGroupName> Sub-Total <SubTotalNumber>]]></UDAV>
                              </ClmnBlkPtProps>
                            </ClmnBlkPt>
                            <ClmnBlkPt>
                              <ClmnBlkPtProps>
                                <CBPT>2</CBPT>
                                <ST>7</ST>
                                <SON>7</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5</SON>
                                <VOFFF><![CDATA[0]]></VOFFF>
                              </ClmnBlkPtProps>
                              <LnkInForms>
                                <LnkInForm>
                                  <LnkInFormProps>
                                    <CBPLI>1,1,32,2,1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1</R>
                          </SubTtlProps>
                          <SubTtlHdgRow>
                            <SubTtlHdgRowProps>
                              <STLI>1,1,32,1</STLI>
                              <R>1</R>
                            </SubTtlHdgRowProps>
                          </SubTtlHdgRow>
                          <TtlSpcrRow>
                            <TtlSpcrRowProps>
                              <RSN>2</RSN>
                            </TtlSpcrRowProps>
                          </TtlSpcrRow>
                          <Ctgs>
                            <Ctg>
                              <CtgProps>
                                <R>5</R>
                              </CtgProps>
                              <LnkIn>
                                <LnkInProps>
                                  <MN>4</MN>
                                  <CLI>1,1,32,False,1</CLI>
                                  <ELN>1</ELN>
                                  <LOOT>2</LOOT>
                                  <LOMN>42</LOMN>
                                  <LOMCN>1</LOMCN>
                                  <LOSN>1</LOSN>
                                  <LOEN>15</LOEN>
                                  <LOCN>0</LOCN>
                                </LnkInProps>
                              </LnkIn>
                            </Ctg>
                            <Ctg>
                              <CtgProps>
                                <R>5</R>
                              </CtgProps>
                              <LnkIn>
                                <LnkInProps>
                                  <MN>4</MN>
                                  <CLI>1,1,32,False,2</CLI>
                                  <ELN>1</ELN>
                                  <LOOT>2</LOOT>
                                  <LOMN>43</LOMN>
                                  <LOMCN>1</LOMCN>
                                  <LOSN>1</LOSN>
                                  <LOEN>15</LOEN>
                                  <LOCN>0</LOCN>
                                </LnkInProps>
                              </LnkIn>
                            </Ctg>
                          </Ctgs>
                        </SubTtl>
                      </SubTtls>
                      <TtlCtg>
                        <TtlCtgProps>
                          <R>1</R>
                        </TtlCtgProps>
                        <TtlSpcrRow>
                          <TtlSpcrRowProps>
                            <RSN>2</RSN>
                          </TtlSpcrRowProps>
                        </TtlSpcrRow>
                      </TtlCtg>
                      <ElmtLnksOut>
                        <ElmtLnk>
                          <ElmtLnkProps>
                            <ELI>1,1,32</ELI>
                            <ELN>1</ELN>
                            <ELGN>8</ELGN>
                            <MLG>B71732B2-07D5-4A97-9C2B-549AEF162A25</MLG>
                            <ICBI>1,2</ICBI>
                            <ILBN>1,2</ILBN>
                            <LIBN>0</LIBN>
                          </ElmtLnkProps>
                        </ElmtLnk>
                      </ElmtLnksOut>
                      <ElmtLnksIn>
                        <ElmtLnk>
                          <ElmtLnkProps>
                            <ELI>1,1,32</ELI>
                            <ELN>1</ELN>
                            <ELGN>8</ELGN>
                            <MLG>36FA5469-50EF-4767-99F9-918D69AA57FD</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Interest Expens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30,2,1,-1,0,0,FALSE,FALSE§Z¿+§A¿0,1,0,1,32,2,6,-1,0,0,FALSE,FALSE§Z¿]]></VOFFF>
                              </ClmnBlkPtProps>
                            </ClmnBlkPt>
                          </ClmnBlkPts>
                        </ClmnBlk>
                      </ClmnBlks>
                      <TtlCtg>
                        <TtlCtgProps>
                          <R>3</R>
                        </TtlCtgProps>
                      </TtlCtg>
                      <ElmtLnksOut>
                        <ElmtLnk>
                          <ElmtLnkProps>
                            <ELI>1,1,34</ELI>
                            <ELN>1</ELN>
                            <ELGN>3</ELGN>
                            <MLG>DB46FB3D-E1B3-4799-85D6-B2E088636C8A</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Profit Before Tax]]></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28,2,1,-1,0,0,FALSE,FALSE§Z¿+§A¿0,1,0,1,34,2,1,-1,0,0,FALSE,FALSE§Z¿]]></VOFFF>
                              </ClmnBlkPtProps>
                            </ClmnBlkPt>
                          </ClmnBlkPts>
                        </ClmnBlk>
                      </ClmnBlks>
                      <TtlCtg>
                        <TtlCtgProps>
                          <R>3</R>
                        </TtlCtgProps>
                      </TtlCtg>
                      <ElmtLnksOut>
                        <ElmtLnk>
                          <ElmtLnkProps>
                            <ELI>1,1,36</ELI>
                            <ELN>1</ELN>
                            <ELGN>3</ELGN>
                            <MLG>DEC71E85-1B1D-4AEA-BA19-C84D9918A4F3</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Expens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1,1,38,2,1</CBPLI>
                                    <ELN>1</ELN>
                                    <FFF><![CDATA[=-§A¿10,FALSE,0,2,0,FALSE§Z¿]]></FFF>
                                  </LnkInFormProps>
                                </LnkInForm>
                              </LnkInForms>
                            </ClmnBlkPt>
                          </ClmnBlkPts>
                        </ClmnBlk>
                      </ClmnBlks>
                      <TtlCtg>
                        <TtlCtgProps>
                          <R>3</R>
                        </TtlCtgProps>
                        <LnkIn>
                          <LnkInProps>
                            <MN>4</MN>
                            <CLI>1,1,38,True,0</CLI>
                            <ELN>1</ELN>
                            <LOOT>2</LOOT>
                            <LOMN>46</LOMN>
                            <LOMCN>1</LOMCN>
                            <LOSN>1</LOSN>
                            <LOEN>139</LOEN>
                            <LOCN>0</LOCN>
                          </LnkInProps>
                        </LnkIn>
                      </TtlCtg>
                      <ElmtLnksOut>
                        <ElmtLnk>
                          <ElmtLnkProps>
                            <ELI>1,1,38</ELI>
                            <ELN>1</ELN>
                            <ELGN>3</ELGN>
                            <MLG>DCFF2135-C05D-4362-983A-FBD5D24C6213</MLG>
                            <ICBI>1,2</ICBI>
                            <ILBN>1,2</ILBN>
                            <LIBN>0</LIBN>
                          </ElmtLnkProps>
                        </ElmtLnk>
                      </ElmtLnksOut>
                      <ElmtLnksIn>
                        <ElmtLnk>
                          <ElmtLnkProps>
                            <ELI>1,1,38</ELI>
                            <ELN>1</ELN>
                            <ELGN>7</ELGN>
                            <MLG>77A6ED45-36AA-4638-A7B6-EB0762A68C7E</MLG>
                            <ICBI>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Profit After Tax]]></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36,2,1,-1,0,0,FALSE,FALSE§Z¿+§A¿0,1,0,1,38,2,1,-1,0,0,FALSE,FALSE§Z¿]]></VOFFF>
                              </ClmnBlkPtProps>
                            </ClmnBlkPt>
                          </ClmnBlkPts>
                        </ClmnBlk>
                      </ClmnBlks>
                      <TtlCtg>
                        <TtlCtgProps>
                          <R>3</R>
                        </TtlCtgProps>
                      </TtlCtg>
                      <ElmtLnksOut>
                        <ElmtLnk>
                          <ElmtLnkProps>
                            <ELI>1,1,40</ELI>
                            <ELN>1</ELN>
                            <ELGN>3</ELGN>
                            <MLG>1C7940B5-C830-4EC2-92DF-CBA013375747</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rror Check]]></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4</SON>
                                <VOFFF><![CDATA[=IF(ISERROR(SUM(§A¿0,1,1,1,42,3,1,0,0,0,FALSE,FALSE,1,42,3,1,0,1,0,FALSE,FALSE§Z¿)),1,MIN(SUM(§A¿0,1,1,1,42,3,1,0,0,0,FALSE,FALSE,1,42,3,1,0,1,0,FALSE,FALSE§Z¿),1))]]></VOFFF>
                              </ClmnBlkPtProps>
                              <Chk>
                                <ChkProps>
                                  <CBPLI>1,1,42,2,1</CBPLI>
                                  <CT>0</CT>
                                  <CN>10</CN>
                                  <HST>1</HST>
                                  <CHT/>
                                  <HCBPLI>1,1,2,1,1</HCBPLI>
                                </ChkProps>
                              </Chk>
                              <Cmts>
                                <Cmt>
                                  <CmtProps>
                                    <CBPLI>1,1,42,2,1</CBPLI>
                                    <WRN>1</WRN>
                                    <ERT>5</ERT>
                                    <COSTN>0</COSTN>
                                    <OC>0</OC>
                                    <HT><![CDATA[Error Check]]></HT>
                                    <HFS>0</HFS>
                                    <BT><![CDATA[Flags the existence of errors.]]></BT>
                                    <BFS>0</BFS>
                                    <H>68</H>
                                    <W>128</W>
                                  </CmtProps>
                                </Cmt>
                              </Cmts>
                              <FmtCnds>
                                <FmtCnd>
                                  <FmtCndProps>
                                    <CBPLI>1,1,42,2,1</CBPLI>
                                    <FCN>1</FCN>
                                    <FCT>1</FCT>
                                    <FCO>4</FCO>
                                    <F1FFF><![CDATA[=0]]></F1FFF>
                                    <F2FFF/>
                                    <SIT>False</SIT>
                                    <BSV>True</BSV>
                                    <BCT>0</BCT>
                                    <CNBCN>0</CNBCN>
                                    <BTAS>0</BTAS>
                                    <IST>1</IST>
                                    <RO>False</RO>
                                    <SIO>False</SIO>
                                    <TO>0</TO>
                                    <TS/>
                                    <DO>1</DO>
                                    <TB>1</TB>
                                    <R>10</R>
                                    <P>False</P>
                                    <AB>0</AB>
                                    <NSD>1</NSD>
                                    <DU>1</DU>
                                    <INF>False</INF>
                                    <NT>0</NT>
                                    <DP>0</DP>
                                    <CNF/>
                                  </FmtCndProps>
                                  <FntOvly>
                                    <FntOvlyProps>
                                      <PT>2</PT>
                                      <SON>0</SON>
                                      <CBPLI>1,1,42,2,1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1,0,1,40,2,1,-1,0,0,FALSE,FALSE§Z¿),1,0)]]></VOFFF>
                              </ClmnBlkPtProps>
                              <FmtCnds>
                                <FmtCnd>
                                  <FmtCndProps>
                                    <CBPLI>1,1,42,3,1</CBPLI>
                                    <FCN>1</FCN>
                                    <FCT>1</FCT>
                                    <FCO>4</FCO>
                                    <F1FFF><![CDATA[=0]]></F1FFF>
                                    <F2FFF/>
                                    <SIT>False</SIT>
                                    <BSV>True</BSV>
                                    <BCT>0</BCT>
                                    <CNBCN>0</CNBCN>
                                    <BTAS>0</BTAS>
                                    <IST>1</IST>
                                    <RO>False</RO>
                                    <SIO>False</SIO>
                                    <TO>0</TO>
                                    <TS/>
                                    <DO>1</DO>
                                    <TB>1</TB>
                                    <R>10</R>
                                    <P>False</P>
                                    <AB>0</AB>
                                    <NSD>1</NSD>
                                    <DU>1</DU>
                                    <INF>False</INF>
                                    <NT>0</NT>
                                    <DP>0</DP>
                                    <CNF/>
                                  </FmtCndProps>
                                  <FntOvly>
                                    <FntOvlyProps>
                                      <PT>2</PT>
                                      <SON>0</SON>
                                      <CBPLI>1,1,42,3,1</CBPLI>
                                      <FCN>1</FCN>
                                      <CN>0</CN>
                                      <IB>True</IB>
                                      <IC>True</IC>
                                      <B>True</B>
                                      <CT>2</CT>
                                      <CNU>3</CNU>
                                      <CPR>0</CPR>
                                      <TAS>0</TAS>
                                    </FntOvlyProps>
                                  </FntOvly>
                                </FmtCnd>
                              </FmtCnds>
                            </ClmnBlkPt>
                          </ClmnBlkPts>
                        </ClmnBlk>
                      </ClmnBlks>
                      <TtlCtg>
                        <TtlCtgProps>
                          <R>3</R>
                        </TtlCtgProps>
                      </TtlCtg>
                    </Elmt>
                  </Elmts>
                </Sect>
              </Sects>
            </ModComp>
          </ModComps>
        </Mod>
        <Mod>
          <ModProps>
            <MVS>14.0.5.0</MVS>
            <RAV/>
            <RXV>0</RXV>
            <FV>3</FV>
            <MT>0</MT>
            <SCT>-1</SCT>
            <P><![CDATA[BS]]></P>
            <OI>300</OI>
            <MN>0</MN>
            <MAG>A2CD815D-CA75-43CF-B069-ED711E1EF923</MAG>
            <BN><![CDATA[Balance Sheet]]></BN>
            <N><![CDATA[Balance Sheet]]></N>
            <TS><![CDATA[Monthly]]></TS>
            <D><![CDATA[Provides a summary of the assets, liabilities and equity of a business at the end of each time series period.]]></D>
            <FS><![CDATA[Allows for all asset, liability and equity items included within the Modano generic financial model Chart of Accounts 2, including VAT.]]></FS>
            <R><![CDATA[United Kingdom]]></R>
            <GE><![CDATA[Balance Sheet]]></GE>
            <CA><![CDATA[Chart of Accounts 2]]></CA>
            <VA><![CDATA[Single Component]]></VA>
            <GST><![CDATA[VAT]]></GST>
            <DE><![CDATA[Modano]]></DE>
            <E><![CDATA[info@modano.com]]></E>
            <C><![CDATA[Modano]]></C>
            <W><![CDATA[www.modano.com]]></W>
            <K/>
            <CO/>
            <V>10.10.4.0.</V>
            <AX>2</AX>
            <SX/>
            <PMLO>False</PMLO>
            <IPMLO>False</IPMLO>
            <MACA>0</MACA>
            <HP>False</HP>
            <DR>False</DR>
            <RTSM>True</RTSM>
            <CC>True</CC>
            <X>False</X>
            <G>E1B58146-AE4F-4E1E-9103-B5D0E433BDB5</G>
          </ModProps>
          <RowStgs>
            <RowStg>
              <RowStgProps>
                <RSN>1</RSN>
                <RHST>1</RHST>
                <HS>50</HS>
                <OL>3</OL>
                <RH>False</RH>
              </RowStgProps>
            </RowStg>
            <RowStg>
              <RowStgProps>
                <RSN>2</RSN>
                <RHST>0</RHST>
                <HS>0</HS>
                <OL>3</OL>
                <RH>False</RH>
              </RowStgProps>
            </RowStg>
            <RowStg>
              <RowStgProps>
                <RSN>3</RSN>
                <RHST>0</RHST>
                <HS>0</HS>
                <OL>2</OL>
                <RH>False</RH>
              </RowStgProps>
            </RowStg>
            <RowStg>
              <RowStgProps>
                <RSN>4</RSN>
                <RHST>1</RHST>
                <HS>50</HS>
                <OL>2</OL>
                <RH>False</RH>
              </RowStgProps>
            </RowStg>
            <RowStg>
              <RowStgProps>
                <RSN>5</RSN>
                <RHST>0</RHST>
                <HS>0</HS>
                <OL>3</OL>
                <RH>True</RH>
              </RowStgProps>
            </RowStg>
          </RowStgs>
          <StlOvlys>
            <StlOvly>
              <StlOvlyProps>
                <SON>1</SON>
                <INF>True</INF>
                <NT>0</NT>
                <DP>0</DP>
                <CNF/>
              </StlOvlyProp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StlOvlyProps>
              <BdrOvlys>
                <BdrOvly>
                  <BdrOvlyProps>
                    <PT>1</PT>
                    <SON>3</SON>
                    <CBPLI/>
                    <FCN>0</FCN>
                    <I>True</I>
                    <BI>9</BI>
                    <LS>-4115</LS>
                    <W>2</W>
                  </BdrOvlyProps>
                </BdrOvly>
              </BdrOvlys>
            </StlOvly>
            <StlOvly>
              <StlOvlyProps>
                <SON>4</SON>
                <INF>True</INF>
                <NT>0</NT>
                <DP>0</DP>
                <CNF/>
              </StlOvlyProps>
              <BdrOvlys>
                <BdrOvly>
                  <BdrOvlyProps>
                    <PT>1</PT>
                    <SON>4</SON>
                    <CBPLI/>
                    <FCN>0</FCN>
                    <I>True</I>
                    <BI>9</BI>
                    <LS>-4115</LS>
                    <W>2</W>
                  </BdrOvlyProps>
                </BdrOvly>
              </BdrOvlys>
            </StlOvly>
            <StlOvly>
              <StlOvlyProps>
                <SON>5</SON>
              </StlOvlyProps>
              <FntOvly>
                <FntOvlyProps>
                  <PT>1</PT>
                  <SON>5</SON>
                  <CBPLI>0,0,0,0,0</CBPLI>
                  <FCN>0</FCN>
                  <CN>0</CN>
                  <IB>True</IB>
                  <B>True</B>
                </FntOvlyProps>
              </FntOvly>
              <BdrOvlys>
                <BdrOvly>
                  <BdrOvlyProps>
                    <PT>1</PT>
                    <SON>5</SON>
                    <CBPLI/>
                    <FCN>0</FCN>
                    <I>True</I>
                    <BI>8</BI>
                    <LS>1</LS>
                    <W>2</W>
                  </BdrOvlyProps>
                </BdrOvly>
                <BdrOvly>
                  <BdrOvlyProps>
                    <PT>1</PT>
                    <SON>5</SON>
                    <CBPLI/>
                    <FCN>0</FCN>
                    <I>True</I>
                    <BI>9</BI>
                    <LS>-4119</LS>
                    <W>4</W>
                  </BdrOvlyProps>
                </BdrOvly>
              </BdrOvlys>
            </StlOvly>
            <StlOvly>
              <StlOvlyProps>
                <SON>6</SON>
              </StlOvlyProps>
              <FntOvly>
                <FntOvlyProps>
                  <PT>1</PT>
                  <SON>6</SON>
                  <CBPLI>0,0,0,0,0</CBPLI>
                  <FCN>0</FCN>
                  <CN>0</CN>
                  <IB>True</IB>
                  <B>True</B>
                </FntOvlyProps>
              </FntOvly>
              <BdrOvlys>
                <BdrOvly>
                  <BdrOvlyProps>
                    <PT>1</PT>
                    <SON>6</SON>
                    <CBPLI/>
                    <FCN>0</FCN>
                    <I>True</I>
                    <BI>8</BI>
                    <LS>1</LS>
                    <W>2</W>
                  </BdrOvlyProps>
                </BdrOvly>
              </BdrOvlys>
            </StlOvly>
            <StlOvly>
              <StlOvlyProps>
                <SON>7</SON>
              </StlOvlyProps>
              <FntOvly>
                <FntOvlyProps>
                  <PT>1</PT>
                  <SON>7</SON>
                  <CBPLI>0,0,0,0,0</CBPLI>
                  <FCN>0</FCN>
                  <CN>0</CN>
                  <IB>True</IB>
                  <B>True</B>
                </FntOvlyProps>
              </FntOvly>
              <BdrOvlys>
                <BdrOvly>
                  <BdrOvlyProps>
                    <PT>1</PT>
                    <SON>7</SON>
                    <CBPLI/>
                    <FCN>0</FCN>
                    <I>True</I>
                    <BI>8</BI>
                    <LS>1</LS>
                    <W>2</W>
                  </BdrOvlyProps>
                </BdrOvly>
                <BdrOvly>
                  <BdrOvlyProps>
                    <PT>1</PT>
                    <SON>7</SON>
                    <CBPLI/>
                    <FCN>0</FCN>
                    <I>True</I>
                    <BI>9</BI>
                    <LS>1</LS>
                    <W>2</W>
                  </BdrOvlyProps>
                </BdrOvly>
              </BdrOvlys>
            </StlOvly>
            <StlOvly>
              <StlOvlyProps>
                <SON>8</SON>
              </StlOvlyProps>
              <BdrOvlys>
                <BdrOvly>
                  <BdrOvlyProps>
                    <PT>1</PT>
                    <SON>8</SON>
                    <CBPLI/>
                    <FCN>0</FCN>
                    <I>True</I>
                    <BI>9</BI>
                    <LS>1</LS>
                    <W>2</W>
                  </BdrOvlyProps>
                </BdrOvly>
              </BdrOvlys>
            </StlOvly>
            <StlOvly>
              <StlOvlyProps>
                <SON>9</SON>
              </StlOvlyProps>
              <FntOvly>
                <FntOvlyProps>
                  <PT>1</PT>
                  <SON>9</SON>
                  <CBPLI>0,0,0,0,0</CBPLI>
                  <FCN>0</FCN>
                  <CN>0</CN>
                  <IB>True</IB>
                  <B>False</B>
                </FntOvlyProps>
              </FntOvly>
            </StlOvly>
          </StlOvlys>
          <ElmtsGrps>
            <ElmtsGrp>
              <ElmtsGrpProps>
                <NU>1</NU>
                <NA><![CDATA[Debtors]]></NA>
                <EGT>0</EGT>
                <DCC>3</DCC>
                <AST>True</AST>
                <ISTH>True</ISTH>
                <PTMCN>0</PTMCN>
                <PTBN>0</PTBN>
                <PTBI>0</PTBI>
                <GLN/>
                <CLOT>0</CLOT>
                <CLIT>0</CLIT>
                <PMLO>0</PMLO>
                <IPMLO>0</IPMLO>
              </ElmtsGrpProps>
            </ElmtsGrp>
            <ElmtsGrp>
              <ElmtsGrpProps>
                <NU>2</NU>
                <NA><![CDATA[Inventory]]></NA>
                <EGT>0</EGT>
                <DCC>3</DCC>
                <AST>True</AST>
                <ISTH>True</ISTH>
                <PTMCN>0</PTMCN>
                <PTBN>0</PTBN>
                <PTBI>0</PTBI>
                <GLN/>
                <CLOT>0</CLOT>
                <CLIT>0</CLIT>
                <PMLO>0</PMLO>
                <IPMLO>0</IPMLO>
              </ElmtsGrpProps>
            </ElmtsGrp>
            <ElmtsGrp>
              <ElmtsGrpProps>
                <NU>3</NU>
                <NA><![CDATA[Other Current Assets]]></NA>
                <EGT>0</EGT>
                <DCC>3</DCC>
                <AST>True</AST>
                <ISTH>True</ISTH>
                <PTMCN>0</PTMCN>
                <PTBN>0</PTBN>
                <PTBI>0</PTBI>
                <GLN/>
                <CLOT>0</CLOT>
                <CLIT>0</CLIT>
                <PMLO>0</PMLO>
                <IPMLO>0</IPMLO>
              </ElmtsGrpProps>
            </ElmtsGrp>
            <ElmtsGrp>
              <ElmtsGrpProps>
                <NU>4</NU>
                <NA><![CDATA[Fixed Assets]]></NA>
                <EGT>0</EGT>
                <DCC>3</DCC>
                <AST>True</AST>
                <ISTH>True</ISTH>
                <PTMCN>0</PTMCN>
                <PTBN>0</PTBN>
                <PTBI>0</PTBI>
                <GLN/>
                <CLOT>0</CLOT>
                <CLIT>0</CLIT>
                <PMLO>0</PMLO>
                <IPMLO>0</IPMLO>
              </ElmtsGrpProps>
            </ElmtsGrp>
            <ElmtsGrp>
              <ElmtsGrpProps>
                <NU>5</NU>
                <NA><![CDATA[Other Current Liabilities]]></NA>
                <EGT>0</EGT>
                <DCC>3</DCC>
                <AST>True</AST>
                <ISTH>True</ISTH>
                <PTMCN>0</PTMCN>
                <PTBN>0</PTBN>
                <PTBI>0</PTBI>
                <GLN/>
                <CLOT>0</CLOT>
                <CLIT>0</CLIT>
                <PMLO>0</PMLO>
                <IPMLO>0</IPMLO>
              </ElmtsGrpProps>
            </ElmtsGrp>
            <ElmtsGrp>
              <ElmtsGrpProps>
                <NU>6</NU>
                <NA><![CDATA[Debt]]></NA>
                <EGT>0</EGT>
                <DCC>3</DCC>
                <AST>True</AST>
                <ISTH>True</ISTH>
                <PTMCN>0</PTMCN>
                <PTBN>0</PTBN>
                <PTBI>0</PTBI>
                <GLN/>
                <CLOT>0</CLOT>
                <CLIT>0</CLIT>
                <PMLO>0</PMLO>
                <IPMLO>0</IPMLO>
              </ElmtsGrpProps>
            </ElmtsGrp>
            <ElmtsGrp>
              <ElmtsGrpProps>
                <NU>7</NU>
                <NA><![CDATA[Other Non-Current Liabilities]]></NA>
                <EGT>0</EGT>
                <DCC>3</DCC>
                <AST>True</AST>
                <ISTH>True</ISTH>
                <PTMCN>0</PTMCN>
                <PTBN>0</PTBN>
                <PTBI>0</PTBI>
                <GLN/>
                <CLOT>0</CLOT>
                <CLIT>0</CLIT>
                <PMLO>0</PMLO>
                <IPMLO>0</IPMLO>
              </ElmtsGrpProps>
            </ElmtsGrp>
            <ElmtsGrp>
              <ElmtsGrpProps>
                <NU>8</NU>
                <NA><![CDATA[Other Equity]]></NA>
                <EGT>0</EGT>
                <DCC>3</DCC>
                <AST>True</AST>
                <ISTH>True</ISTH>
                <PTMCN>0</PTMCN>
                <PTBN>0</PTBN>
                <PTBI>0</PTBI>
                <GLN/>
                <CLOT>0</CLOT>
                <CLIT>0</CLIT>
                <PMLO>0</PMLO>
                <IPMLO>0</IPMLO>
              </ElmtsGrpProps>
            </ElmtsGrp>
            <ElmtsGrp>
              <ElmtsGrpProps>
                <NU>9</NU>
                <NA><![CDATA[Other Non-Current Assets]]></NA>
                <EGT>0</EGT>
                <DCC>3</DCC>
                <AST>True</AST>
                <ISTH>True</ISTH>
                <PTMCN>0</PTMCN>
                <PTBN>0</PTBN>
                <PTBI>0</PTBI>
                <GLN/>
                <CLOT>0</CLOT>
                <CLIT>0</CLIT>
                <PMLO>0</PMLO>
                <IPMLO>0</IPMLO>
              </ElmtsGrpProps>
            </ElmtsGrp>
            <ElmtsGrp>
              <ElmtsGrpProps>
                <NU>10</NU>
                <NA><![CDATA[Creditors]]></NA>
                <EGT>0</EGT>
                <DCC>3</DCC>
                <AST>True</AST>
                <ISTH>True</ISTH>
                <PTMCN>0</PTMCN>
                <PTBN>0</PTBN>
                <PTBI>0</PTBI>
                <GLN/>
                <CLOT>0</CLOT>
                <CLIT>0</CLIT>
                <PMLO>0</PMLO>
                <IPMLO>0</IPMLO>
              </ElmtsGrpProps>
            </ElmtsGrp>
            <ElmtsGrp>
              <ElmtsGrpProps>
                <NU>11</NU>
                <NA><![CDATA[Inventory Payables]]></NA>
                <EGT>0</EGT>
                <DCC>3</DCC>
                <AST>True</AST>
                <ISTH>True</ISTH>
                <PTMCN>0</PTMCN>
                <PTBN>0</PTBN>
                <PTBI>0</PTBI>
                <GLN/>
                <CLOT>0</CLOT>
                <CLIT>0</CLIT>
                <PMLO>0</PMLO>
                <IPMLO>0</IPMLO>
              </ElmtsGrpProps>
            </ElmtsGrp>
            <ElmtsGrp>
              <ElmtsGrpProps>
                <NU>12</NU>
                <NA><![CDATA[Opening Interest Payable]]></NA>
                <EGT>0</EGT>
                <DCC>3</DCC>
                <AST>True</AST>
                <ISTH>True</ISTH>
                <PTMCN>0</PTMCN>
                <PTBN>0</PTBN>
                <PTBI>0</PTBI>
                <GLN/>
                <CLOT>0</CLOT>
                <CLIT>0</CLIT>
                <PMLO>0</PMLO>
                <IPMLO>0</IPMLO>
              </ElmtsGrpProps>
            </ElmtsGrp>
            <ElmtsGrp>
              <ElmtsGrpProps>
                <NU>13</NU>
                <NA><![CDATA[Forecast Interest Payable]]></NA>
                <EGT>0</EGT>
                <DCC>3</DCC>
                <AST>True</AST>
                <ISTH>True</ISTH>
                <PTMCN>0</PTMCN>
                <PTBN>0</PTBN>
                <PTBI>0</PTBI>
                <GLN/>
                <CLOT>0</CLOT>
                <CLIT>0</CLIT>
                <PMLO>0</PMLO>
                <IPMLO>0</IPMLO>
              </ElmtsGrpProps>
            </ElmtsGrp>
          </ElmtsGrps>
          <ModComps>
            <ModComp>
              <ModCompProps>
                <MN>5</MN>
                <MCN>1</MCN>
                <MCTK>OP</MCTK>
                <RT><![CDATA[<ModuleName>]]></RT>
                <ERN>MODMC26</ERN>
                <MCST>1</MCST>
                <IPMC>False</IPMC>
                <SN>16</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5</CTHN>
                                <ST>3</ST>
                                <VOFFF><![CDATA[<ModuleComponentTitle>]]></VOFFF>
                              </ClmnBlkPtProp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pening Cash]]></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6,2,1,-1,0,0,FALSE,FALSE§Z¿)]]></VOFFF>
                              </ClmnBlkPtProps>
                              <LnkInForms>
                                <LnkInForm>
                                  <LnkInFormProps>
                                    <CBPLI>1,1,4,2,1</CBPLI>
                                    <ELN>1</ELN>
                                    <FFF><![CDATA[=IF(§A¿9,4,1,0,1,6,3,1,-1,0,0,TRUE,FALSE§Z¿=1,§A¿10,FALSE,0,2,0,FALSE§Z¿,§A¿0,1,0,1,6,2,1,-1,0,0,FALSE,FALSE§Z¿)]]></FFF>
                                  </LnkInFormProps>
                                </LnkInForm>
                              </LnkInForms>
                            </ClmnBlkPt>
                          </ClmnBlkPts>
                        </ClmnBlk>
                      </ClmnBlks>
                      <TtlCtg>
                        <TtlCtgProps>
                          <R>2</R>
                        </TtlCtgProps>
                        <LnkIn>
                          <LnkInProps>
                            <MN>5</MN>
                            <CLI>1,1,4,True,0</CLI>
                            <ELN>1</ELN>
                            <LOOT>2</LOOT>
                            <LOMN>3</LOMN>
                            <LOMCN>1</LOMCN>
                            <LOSN>1</LOSN>
                            <LOEN>4</LOEN>
                            <LOCN>0</LOCN>
                          </LnkInProps>
                        </LnkIn>
                      </TtlCtg>
                      <ElmtLnksOut>
                        <ElmtLnk>
                          <ElmtLnkProps>
                            <ELI>1,1,4</ELI>
                            <ELN>1</ELN>
                            <ELGN>1</ELGN>
                            <MLG>4EE07D0D-2C38-4396-B6D0-8C0884450090</MLG>
                            <ICBI>1,2</ICBI>
                            <ILBN>1,2</ILBN>
                            <LIBN>0</LIBN>
                          </ElmtLnkProps>
                        </ElmtLnk>
                      </ElmtLnksOut>
                      <ElmtLnksIn>
                        <ElmtLnk>
                          <ElmtLnkProps>
                            <ELI>1,1,4</ELI>
                            <ELN>1</ELN>
                            <ELGN>1</ELGN>
                            <MLG>9E42884D-B19F-41D0-B295-95A4FF9EA104</MLG>
                            <ICBI>2</ICBI>
                            <ILBN/>
                            <LIBN>0</LIBN>
                          </ElmtLnkProps>
                        </ElmtLnk>
                      </ElmtLnksIn>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hange in Cash]]></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0]]></VOFFF>
                              </ClmnBlkPtProps>
                              <LnkInForms>
                                <LnkInForm>
                                  <LnkInFormProps>
                                    <CBPLI>1,1,5,2,1</CBPLI>
                                    <ELN>1</ELN>
                                    <FFF><![CDATA[=§A¿10,FALSE,0,2,0,FALSE§Z¿]]></FFF>
                                  </LnkInFormProps>
                                </LnkInForm>
                              </LnkInForms>
                            </ClmnBlkPt>
                          </ClmnBlkPts>
                        </ClmnBlk>
                      </ClmnBlks>
                      <TtlCtg>
                        <TtlCtgProps>
                          <R>2</R>
                        </TtlCtgProps>
                        <LnkIn>
                          <LnkInProps>
                            <MN>5</MN>
                            <CLI>1,1,5,True,0</CLI>
                            <ELN>1</ELN>
                            <LOOT>2</LOOT>
                            <LOMN>6</LOMN>
                            <LOMCN>1</LOMCN>
                            <LOSN>1</LOSN>
                            <LOEN>66</LOEN>
                            <LOCN>0</LOCN>
                          </LnkInProps>
                        </LnkIn>
                      </TtlCtg>
                      <ElmtLnksOut>
                        <ElmtLnk>
                          <ElmtLnkProps>
                            <ELI>1,1,5</ELI>
                            <ELN>1</ELN>
                            <ELGN>1</ELGN>
                            <MLG>B7F5077A-7452-4D2D-8907-67E540A678BD</MLG>
                            <ICBI>1,2</ICBI>
                            <ILBN>1,2</ILBN>
                            <LIBN>0</LIBN>
                          </ElmtLnkProps>
                        </ElmtLnk>
                      </ElmtLnksOut>
                      <ElmtLnksIn>
                        <ElmtLnk>
                          <ElmtLnkProps>
                            <ELI>1,1,5</ELI>
                            <ELN>1</ELN>
                            <ELGN>1</ELGN>
                            <MLG>938BE67B-8FA9-442F-804A-3418909D0EB0</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4,2,1,-1,0,0,FALSE,FALSE,1,5,2,1,-1,0,0,FALSE,FALSE§Z¿)]]></VOFFF>
                              </ClmnBlkPtProps>
                            </ClmnBlkPt>
                          </ClmnBlkPts>
                        </ClmnBlk>
                      </ClmnBlks>
                      <TtlCtg>
                        <TtlCtgProps>
                          <R>3</R>
                        </TtlCtgProps>
                      </TtlCtg>
                      <ElmtLnksOut>
                        <ElmtLnk>
                          <ElmtLnkProps>
                            <ELI>1,1,6</ELI>
                            <ELN>1</ELN>
                            <ELGN>1</ELGN>
                            <MLG>94F7C237-741F-486A-887E-D225C751D340</MLG>
                            <ICBI>1,3</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1,1,8,1,1</CBPLI>
                                    <ELN>1</ELN>
                                    <FFF><![CDATA[=§A¿10,FALSE,0,1,0,FALSE§Z¿]]></FFF>
                                  </LnkInFormProps>
                                </LnkInForm>
                              </LnkInForms>
                            </ClmnBlkPt>
                            <ClmnBlkPt>
                              <ClmnBlkPtProps>
                                <CBPT>1</CBPT>
                                <ST>6</ST>
                                <VOFFF><![CDATA[="Total "&§A¿0,1,0,1,8,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btor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1,1,8,1</STLI>
                              <R>2</R>
                            </SubTtlHdgRowProps>
                          </SubTtlHdgRow>
                          <TtlSpcrRow>
                            <TtlSpcrRowProps>
                              <RSN>1</RSN>
                            </TtlSpcrRowProps>
                          </TtlSpcrRow>
                          <Ctgs>
                            <Ctg>
                              <CtgProps>
                                <R>5</R>
                              </CtgProps>
                              <LnkIn>
                                <LnkInProps>
                                  <MN>5</MN>
                                  <CLI>1,1,8,False,1</CLI>
                                  <ELN>1</ELN>
                                  <LOOT>0</LOOT>
                                  <LOMN>33</LOMN>
                                  <LOMCN>1</LOMCN>
                                  <LOSN>3</LOSN>
                                  <LOEN>12</LOEN>
                                  <LOCN>1</LOCN>
                                </LnkInProps>
                              </LnkIn>
                            </Ctg>
                          </Ctgs>
                        </SubTtl>
                      </SubTtls>
                      <TtlCtg>
                        <TtlCtgProps>
                          <R>3</R>
                        </TtlCtgProps>
                        <TtlSpcrRow>
                          <TtlSpcrRowProps>
                            <RSN>1</RSN>
                          </TtlSpcrRowProps>
                        </TtlSpcrRow>
                      </TtlCtg>
                      <ElmtLnksOut>
                        <ElmtLnk>
                          <ElmtLnkProps>
                            <ELI>1,1,8</ELI>
                            <ELN>1</ELN>
                            <ELGN>2</ELGN>
                            <MLG>EA227218-F29D-459B-AFFF-2D5E7E13C382</MLG>
                            <ICBI>1,2</ICBI>
                            <ILBN>1,2</ILBN>
                            <LIBN>0</LIBN>
                          </ElmtLnkProps>
                        </ElmtLnk>
                      </ElmtLnksOut>
                      <ElmtLnksIn>
                        <ElmtLnk>
                          <ElmtLnkProps>
                            <ELI>1,1,8</ELI>
                            <ELN>1</ELN>
                            <ELGN>2</ELGN>
                            <MLG>3F839E2D-D053-4E65-97A4-56D9AFC1AAD9</MLG>
                            <ICBI>1,2</ICBI>
                            <ILBN/>
                            <LIBN>0</LIBN>
                          </ElmtLnkProps>
                        </ElmtLnk>
                      </ElmtLnksIn>
                    </Elmt>
                    <Elmt>
                      <ElmtProps>
                        <CPT>2</CPT>
                      </ElmtProps>
                      <TtlCtg>
                        <TtlCtgProps>
                          <R>1</R>
                        </TtlCtgProps>
                      </TtlCtg>
                    </Elmt>
                    <Elmt>
                      <ElmtProps>
                        <CPT>0</CPT>
                        <TOT>False</TOT>
                        <EGN>2</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1,1,10,1,1</CBPLI>
                                    <ELN>1</ELN>
                                    <FFF><![CDATA[=§A¿10,FALSE,0,1,0,FALSE§Z¿]]></FFF>
                                  </LnkInFormProps>
                                </LnkInForm>
                              </LnkInForms>
                            </ClmnBlkPt>
                            <ClmnBlkPt>
                              <ClmnBlkPtProps>
                                <CBPT>1</CBPT>
                                <ST>6</ST>
                                <VOFFF><![CDATA[="Total "&§A¿0,1,0,1,10,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Inventory]]></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1,1,10,2,1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1,1,10,1</STLI>
                              <R>2</R>
                            </SubTtlHdgRowProps>
                          </SubTtlHdgRow>
                          <TtlSpcrRow>
                            <TtlSpcrRowProps>
                              <RSN>1</RSN>
                            </TtlSpcrRowProps>
                          </TtlSpcrRow>
                          <Ctgs>
                            <Ctg>
                              <CtgProps>
                                <R>5</R>
                              </CtgProps>
                              <LnkIn>
                                <LnkInProps>
                                  <MN>5</MN>
                                  <CLI>1,1,10,False,1</CLI>
                                  <ELN>1</ELN>
                                  <LOOT>0</LOOT>
                                  <LOMN>34</LOMN>
                                  <LOMCN>1</LOMCN>
                                  <LOSN>3</LOSN>
                                  <LOEN>12</LOEN>
                                  <LOCN>1</LOCN>
                                </LnkInProps>
                              </LnkIn>
                            </Ctg>
                          </Ctgs>
                        </SubTtl>
                      </SubTtls>
                      <TtlCtg>
                        <TtlCtgProps>
                          <R>3</R>
                        </TtlCtgProps>
                        <TtlSpcrRow>
                          <TtlSpcrRowProps>
                            <RSN>1</RSN>
                          </TtlSpcrRowProps>
                        </TtlSpcrRow>
                      </TtlCtg>
                      <ElmtLnksOut>
                        <ElmtLnk>
                          <ElmtLnkProps>
                            <ELI>1,1,10</ELI>
                            <ELN>1</ELN>
                            <ELGN>3</ELGN>
                            <MLG>8105F9CC-76A6-40A9-BB4A-ECB994E3CC52</MLG>
                            <ICBI>1,2</ICBI>
                            <ILBN>1,2</ILBN>
                            <LIBN>0</LIBN>
                          </ElmtLnkProps>
                        </ElmtLnk>
                      </ElmtLnksOut>
                      <ElmtLnksIn>
                        <ElmtLnk>
                          <ElmtLnkProps>
                            <ELI>1,1,10</ELI>
                            <ELN>1</ELN>
                            <ELGN>3</ELGN>
                            <MLG>CDFD7453-535A-4D43-9D09-4562C804C3F6</MLG>
                            <ICBI>1,2</ICBI>
                            <ILBN/>
                            <LIBN>0</LIBN>
                          </ElmtLnkProps>
                        </ElmtLnk>
                      </ElmtLnksIn>
                    </Elmt>
                    <Elmt>
                      <ElmtProps>
                        <CPT>2</CPT>
                      </ElmtProps>
                      <TtlCtg>
                        <TtlCtgProps>
                          <R>1</R>
                        </TtlCtgProps>
                      </TtlCtg>
                    </Elmt>
                    <Elmt>
                      <ElmtProps>
                        <CPT>0</CPT>
                        <TOT>False</TOT>
                        <EGN>3</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1,1,12,1,1</CBPLI>
                                    <ELN>1</ELN>
                                    <FFF><![CDATA[=§A¿10,FALSE,0,1,0,FALSE§Z¿]]></FFF>
                                  </LnkInFormProps>
                                </LnkInForm>
                              </LnkInForms>
                            </ClmnBlkPt>
                            <ClmnBlkPt>
                              <ClmnBlkPtProps>
                                <CBPT>1</CBPT>
                                <ST>6</ST>
                                <VOFFF><![CDATA[="Total "&§A¿0,1,0,1,12,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Current Asse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1,1,12,2,1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1,1,12,1</STLI>
                              <R>2</R>
                            </SubTtlHdgRowProps>
                          </SubTtlHdgRow>
                          <TtlSpcrRow>
                            <TtlSpcrRowProps>
                              <RSN>1</RSN>
                            </TtlSpcrRowProps>
                          </TtlSpcrRow>
                          <Ctgs>
                            <Ctg>
                              <CtgProps>
                                <R>5</R>
                              </CtgProps>
                              <LnkIn>
                                <LnkInProps>
                                  <MN>5</MN>
                                  <CLI>1,1,12,False,1</CLI>
                                  <ELN>1</ELN>
                                  <LOOT>0</LOOT>
                                  <LOMN>48</LOMN>
                                  <LOMCN>3</LOMCN>
                                  <LOSN>1</LOSN>
                                  <LOEN>9</LOEN>
                                  <LOCN>1</LOCN>
                                </LnkInProps>
                              </LnkIn>
                            </Ctg>
                          </Ctgs>
                        </SubTtl>
                      </SubTtls>
                      <TtlCtg>
                        <TtlCtgProps>
                          <R>3</R>
                        </TtlCtgProps>
                        <TtlSpcrRow>
                          <TtlSpcrRowProps>
                            <RSN>1</RSN>
                          </TtlSpcrRowProps>
                        </TtlSpcrRow>
                      </TtlCtg>
                      <ElmtLnksOut>
                        <ElmtLnk>
                          <ElmtLnkProps>
                            <ELI>1,1,12</ELI>
                            <ELN>1</ELN>
                            <ELGN>4</ELGN>
                            <MLG>E00946F3-EF68-41E1-9CBB-F8B531073DAA</MLG>
                            <ICBI>1,2</ICBI>
                            <ILBN>1,2</ILBN>
                            <LIBN>0</LIBN>
                          </ElmtLnkProps>
                        </ElmtLnk>
                      </ElmtLnksOut>
                      <ElmtLnksIn>
                        <ElmtLnk>
                          <ElmtLnkProps>
                            <ELI>1,1,12</ELI>
                            <ELN>1</ELN>
                            <ELGN>4</ELGN>
                            <MLG>A5C54348-39F7-4598-8526-34D2640EA490</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Current Asse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6,3,1,-1,0,0,FALSE,FALSE§Z¿+§A¿0,1,0,1,8,2,6,-1,0,0,FALSE,FALSE§Z¿+§A¿0,1,0,1,10,2,6,-1,0,0,FALSE,FALSE§Z¿+§A¿0,1,0,1,12,2,6,-1,0,0,FALSE,FALSE§Z¿]]></VOFFF>
                              </ClmnBlkPtProps>
                            </ClmnBlkPt>
                          </ClmnBlkPts>
                        </ClmnBlk>
                      </ClmnBlks>
                      <TtlCtg>
                        <TtlCtgProps>
                          <R>3</R>
                        </TtlCtgProps>
                      </TtlCtg>
                      <ElmtLnksOut>
                        <ElmtLnk>
                          <ElmtLnkProps>
                            <ELI>1,1,14</ELI>
                            <ELN>1</ELN>
                            <ELGN>1</ELGN>
                            <MLG>05669348-3946-4025-8A8C-5E6839DA7E46</MLG>
                            <ICBI>1,2</ICBI>
                            <ILBN>1,2</ILBN>
                            <LIBN>0</LIBN>
                          </ElmtLnkProps>
                        </ElmtLnk>
                      </ElmtLnksOut>
                    </Elmt>
                    <Elmt>
                      <ElmtProps>
                        <CPT>2</CPT>
                      </ElmtProps>
                      <TtlCtg>
                        <TtlCtgProps>
                          <R>4</R>
                        </TtlCtgProps>
                      </TtlCtg>
                    </Elmt>
                    <Elmt>
                      <ElmtProps>
                        <CPT>0</CPT>
                        <TOT>False</TOT>
                        <EGN>4</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1,1,16,1,1</CBPLI>
                                    <ELN>1</ELN>
                                    <FFF><![CDATA[=§A¿10,FALSE,0,1,0,FALSE§Z¿]]></FFF>
                                  </LnkInFormProps>
                                </LnkInForm>
                              </LnkInForms>
                            </ClmnBlkPt>
                            <ClmnBlkPt>
                              <ClmnBlkPtProps>
                                <CBPT>1</CBPT>
                                <ST>6</ST>
                                <VOFFF><![CDATA[="Total "&§A¿0,1,0,1,16,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Fixed Asse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1,1,16,1</STLI>
                              <R>2</R>
                            </SubTtlHdgRowProps>
                          </SubTtlHdgRow>
                          <TtlSpcrRow>
                            <TtlSpcrRowProps>
                              <RSN>1</RSN>
                            </TtlSpcrRowProps>
                          </TtlSpcrRow>
                          <CatSpan>
                            <CatSpanProps>
                              <CC>2</CC>
                              <R>5</R>
                            </CatSpanProps>
                            <LnkIn>
                              <LnkInProps>
                                <MN>5</MN>
                                <CLI>1,1,16,False,1</CLI>
                                <ELN>1</ELN>
                                <LOOT>0</LOOT>
                                <LOMN>40</LOMN>
                                <LOMCN>1</LOMCN>
                                <LOSN>3</LOSN>
                                <LOEN>10</LOEN>
                                <LOCN>1</LOCN>
                              </LnkInProps>
                            </LnkIn>
                          </CatSpan>
                        </SubTtl>
                      </SubTtls>
                      <TtlCtg>
                        <TtlCtgProps>
                          <R>3</R>
                        </TtlCtgProps>
                        <TtlSpcrRow>
                          <TtlSpcrRowProps>
                            <RSN>1</RSN>
                          </TtlSpcrRowProps>
                        </TtlSpcrRow>
                      </TtlCtg>
                      <ElmtLnksOut>
                        <ElmtLnk>
                          <ElmtLnkProps>
                            <ELI>1,1,16</ELI>
                            <ELN>1</ELN>
                            <ELGN>5</ELGN>
                            <MLG>2D06CAA3-9F23-4722-8801-31E1A3DE3C87</MLG>
                            <ICBI>1,2</ICBI>
                            <ILBN>1,2</ILBN>
                            <LIBN>0</LIBN>
                          </ElmtLnkProps>
                        </ElmtLnk>
                      </ElmtLnksOut>
                      <ElmtLnksIn>
                        <ElmtLnk>
                          <ElmtLnkProps>
                            <ELI>1,1,16</ELI>
                            <ELN>1</ELN>
                            <ELGN>5</ELGN>
                            <MLG>8C6281B4-8069-469D-A3FB-284FF62C69F4</MLG>
                            <ICBI>1,2</ICBI>
                            <ILBN/>
                            <LIBN>0</LIBN>
                          </ElmtLnkProps>
                        </ElmtLnk>
                      </ElmtLnksIn>
                    </Elmt>
                    <Elmt>
                      <ElmtProps>
                        <CPT>2</CPT>
                      </ElmtProps>
                      <TtlCtg>
                        <TtlCtgProps>
                          <R>1</R>
                        </TtlCtgProps>
                      </TtlCtg>
                    </Elmt>
                    <Elmt>
                      <ElmtProps>
                        <CPT>0</CPT>
                        <TOT>False</TOT>
                        <EGN>9</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1,1,18,1,1</CBPLI>
                                    <ELN>1</ELN>
                                    <FFF><![CDATA[=§A¿10,FALSE,0,1,0,FALSE§Z¿]]></FFF>
                                  </LnkInFormProps>
                                </LnkInForm>
                              </LnkInForms>
                            </ClmnBlkPt>
                            <ClmnBlkPt>
                              <ClmnBlkPtProps>
                                <CBPT>1</CBPT>
                                <ST>6</ST>
                                <VOFFF><![CDATA[="Total "&§A¿0,1,0,1,18,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Non-Current Asse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1,1,18,1</STLI>
                              <R>2</R>
                            </SubTtlHdgRowProps>
                          </SubTtlHdgRow>
                          <TtlSpcrRow>
                            <TtlSpcrRowProps>
                              <RSN>1</RSN>
                            </TtlSpcrRowProps>
                          </TtlSpcrRow>
                          <Ctgs>
                            <Ctg>
                              <CtgProps>
                                <R>5</R>
                              </CtgProps>
                              <LnkIn>
                                <LnkInProps>
                                  <MN>5</MN>
                                  <CLI>1,1,18,False,1</CLI>
                                  <ELN>1</ELN>
                                  <LOOT>0</LOOT>
                                  <LOMN>50</LOMN>
                                  <LOMCN>3</LOMCN>
                                  <LOSN>1</LOSN>
                                  <LOEN>9</LOEN>
                                  <LOCN>1</LOCN>
                                </LnkInProps>
                              </LnkIn>
                            </Ctg>
                          </Ctgs>
                        </SubTtl>
                      </SubTtls>
                      <TtlCtg>
                        <TtlCtgProps>
                          <R>3</R>
                        </TtlCtgProps>
                        <TtlSpcrRow>
                          <TtlSpcrRowProps>
                            <RSN>1</RSN>
                          </TtlSpcrRowProps>
                        </TtlSpcrRow>
                      </TtlCtg>
                      <ElmtLnksOut>
                        <ElmtLnk>
                          <ElmtLnkProps>
                            <ELI>1,1,18</ELI>
                            <ELN>1</ELN>
                            <ELGN>6</ELGN>
                            <MLG>2F108729-4AD0-42DD-8E24-7679E2521A84</MLG>
                            <ICBI>1,2</ICBI>
                            <ILBN>1,2</ILBN>
                            <LIBN>0</LIBN>
                          </ElmtLnkProps>
                        </ElmtLnk>
                      </ElmtLnksOut>
                      <ElmtLnksIn>
                        <ElmtLnk>
                          <ElmtLnkProps>
                            <ELI>1,1,18</ELI>
                            <ELN>1</ELN>
                            <ELGN>6</ELGN>
                            <MLG>58469580-0C20-47AA-A811-BECCD1F1C54C</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Non-Current Asse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16,2,6,-1,0,0,FALSE,FALSE§Z¿+§A¿0,1,0,1,18,2,6,-1,0,0,FALSE,FALSE§Z¿]]></VOFFF>
                              </ClmnBlkPtProps>
                            </ClmnBlkPt>
                          </ClmnBlkPts>
                        </ClmnBlk>
                      </ClmnBlks>
                      <TtlCtg>
                        <TtlCtgProps>
                          <R>3</R>
                        </TtlCtgProps>
                      </TtlCtg>
                      <ElmtLnksOut>
                        <ElmtLnk>
                          <ElmtLnkProps>
                            <ELI>1,1,20</ELI>
                            <ELN>1</ELN>
                            <ELGN>1</ELGN>
                            <MLG>8D4D7E57-F13B-4D83-B1BB-8A242EC8FC85</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sse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14,2,1,-1,0,0,FALSE,FALSE§Z¿+§A¿0,1,0,1,20,2,1,-1,0,0,FALSE,FALSE§Z¿]]></VOFFF>
                              </ClmnBlkPtProps>
                            </ClmnBlkPt>
                          </ClmnBlkPts>
                        </ClmnBlk>
                      </ClmnBlks>
                      <TtlCtg>
                        <TtlCtgProps>
                          <R>3</R>
                        </TtlCtgProps>
                      </TtlCtg>
                      <ElmtLnksOut>
                        <ElmtLnk>
                          <ElmtLnkProps>
                            <ELI>1,1,22</ELI>
                            <ELN>1</ELN>
                            <ELGN>1</ELGN>
                            <MLG>C14D920E-B313-4475-AA71-1A663B13321A</MLG>
                            <ICBI>1,2</ICBI>
                            <ILBN>1,2</ILBN>
                            <LIBN>0</LIBN>
                          </ElmtLnkProps>
                        </ElmtLnk>
                      </ElmtLnksOut>
                    </Elmt>
                    <Elmt>
                      <ElmtProps>
                        <CPT>2</CPT>
                      </ElmtProps>
                      <TtlCtg>
                        <TtlCtgProps>
                          <R>4</R>
                        </TtlCtgProps>
                      </TtlCtg>
                    </Elmt>
                    <Elmt>
                      <ElmtProps>
                        <CPT>0</CPT>
                        <TOT>False</TOT>
                        <EGN>10</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1,1,24,1,1</CBPLI>
                                    <ELN>1</ELN>
                                    <FFF><![CDATA[=§A¿10,FALSE,0,1,0,FALSE§Z¿]]></FFF>
                                  </LnkInFormProps>
                                </LnkInForm>
                              </LnkInForms>
                            </ClmnBlkPt>
                            <ClmnBlkPt>
                              <ClmnBlkPtProps>
                                <CBPT>1</CBPT>
                                <ST>6</ST>
                                <VOFFF><![CDATA[="Total "&§A¿0,1,0,1,24,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reditor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1,1,24,2,1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1,1,24,1</STLI>
                              <R>2</R>
                            </SubTtlHdgRowProps>
                          </SubTtlHdgRow>
                          <TtlSpcrRow>
                            <TtlSpcrRowProps>
                              <RSN>1</RSN>
                            </TtlSpcrRowProps>
                          </TtlSpcrRow>
                          <CatSpan>
                            <CatSpanProps>
                              <CC>2</CC>
                              <R>5</R>
                            </CatSpanProps>
                            <LnkIn>
                              <LnkInProps>
                                <MN>5</MN>
                                <CLI>1,1,24,False,1</CLI>
                                <ELN>1</ELN>
                                <LOOT>0</LOOT>
                                <LOMN>35</LOMN>
                                <LOMCN>1</LOMCN>
                                <LOSN>3</LOSN>
                                <LOEN>12</LOEN>
                                <LOCN>1</LOCN>
                              </LnkInProps>
                            </LnkIn>
                          </CatSpan>
                        </SubTtl>
                      </SubTtls>
                      <TtlCtg>
                        <TtlCtgProps>
                          <R>2</R>
                        </TtlCtgProps>
                        <TtlSpcrRow>
                          <TtlSpcrRowProps>
                            <RSN>1</RSN>
                          </TtlSpcrRowProps>
                        </TtlSpcrRow>
                      </TtlCtg>
                      <ElmtLnksOut>
                        <ElmtLnk>
                          <ElmtLnkProps>
                            <ELI>1,1,24</ELI>
                            <ELN>1</ELN>
                            <ELGN>7</ELGN>
                            <MLG>297CF01F-E2AF-4E27-B495-4760C633EECB</MLG>
                            <ICBI>1,2</ICBI>
                            <ILBN>1,2</ILBN>
                            <LIBN>0</LIBN>
                          </ElmtLnkProps>
                        </ElmtLnk>
                      </ElmtLnksOut>
                      <ElmtLnksIn>
                        <ElmtLnk>
                          <ElmtLnkProps>
                            <ELI>1,1,24</ELI>
                            <ELN>1</ELN>
                            <ELGN>7</ELGN>
                            <MLG>5F47C134-7AD0-42C5-8661-F5BA1399E93F</MLG>
                            <ICBI>1,2</ICBI>
                            <ILBN/>
                            <LIBN>0</LIBN>
                          </ElmtLnkProps>
                        </ElmtLnk>
                      </ElmtLnksIn>
                    </Elmt>
                    <Elmt>
                      <ElmtProps>
                        <CPT>2</CPT>
                      </ElmtProps>
                      <TtlCtg>
                        <TtlCtgProps>
                          <R>1</R>
                        </TtlCtgProps>
                      </TtlCtg>
                    </Elmt>
                    <Elmt>
                      <ElmtProps>
                        <CPT>0</CPT>
                        <TOT>False</TOT>
                        <EGN>11</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ClmnBlkPtProps>
                              <LnkInForms>
                                <LnkInForm>
                                  <LnkInFormProps>
                                    <CBPLI>1,1,26,1,1</CBPLI>
                                    <ELN>1</ELN>
                                    <FFF><![CDATA[=§A¿10,FALSE,0,1,0,FALSE§Z¿]]></FFF>
                                  </LnkInFormProps>
                                </LnkInForm>
                              </LnkInForms>
                            </ClmnBlkPt>
                            <ClmnBlkPt>
                              <ClmnBlkPtProps>
                                <CBPT>1</CBPT>
                                <ST>6</ST>
                                <VOFFF><![CDATA[="Total "&§A¿0,1,0,1,26,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Inventory Payable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1,1,26,2,1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1,1,26,1</STLI>
                              <R>2</R>
                            </SubTtlHdgRowProps>
                          </SubTtlHdgRow>
                          <TtlSpcrRow>
                            <TtlSpcrRowProps>
                              <RSN>1</RSN>
                            </TtlSpcrRowProps>
                          </TtlSpcrRow>
                          <Ctgs>
                            <Ctg>
                              <CtgProps>
                                <R>5</R>
                              </CtgProps>
                              <LnkIn>
                                <LnkInProps>
                                  <MN>5</MN>
                                  <CLI>1,1,26,False,1</CLI>
                                  <ELN>1</ELN>
                                  <LOOT>0</LOOT>
                                  <LOMN>36</LOMN>
                                  <LOMCN>1</LOMCN>
                                  <LOSN>3</LOSN>
                                  <LOEN>12</LOEN>
                                  <LOCN>1</LOCN>
                                </LnkInProps>
                              </LnkIn>
                            </Ctg>
                          </Ctgs>
                        </SubTtl>
                      </SubTtls>
                      <TtlCtg>
                        <TtlCtgProps>
                          <R>2</R>
                        </TtlCtgProps>
                        <TtlSpcrRow>
                          <TtlSpcrRowProps>
                            <RSN>1</RSN>
                          </TtlSpcrRowProps>
                        </TtlSpcrRow>
                      </TtlCtg>
                      <ElmtLnksOut>
                        <ElmtLnk>
                          <ElmtLnkProps>
                            <ELI>1,1,26</ELI>
                            <ELN>1</ELN>
                            <ELGN>8</ELGN>
                            <MLG>A87C424C-DD9C-4D32-B8BC-2165C3571F51</MLG>
                            <ICBI>1,2</ICBI>
                            <ILBN>1,2</ILBN>
                            <LIBN>0</LIBN>
                          </ElmtLnkProps>
                        </ElmtLnk>
                      </ElmtLnksOut>
                      <ElmtLnksIn>
                        <ElmtLnk>
                          <ElmtLnkProps>
                            <ELI>1,1,26</ELI>
                            <ELN>1</ELN>
                            <ELGN>8</ELGN>
                            <MLG>53BA0054-1924-4757-8986-017949EB71A4</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8</SON>
                                <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ccounts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4,2,6,-1,0,0,FALSE,FALSE§Z¿+§A¿0,1,0,1,26,2,6,-1,0,0,FALSE,FALSE§Z¿]]></VOFFF>
                              </ClmnBlkPtProps>
                            </ClmnBlkPt>
                          </ClmnBlkPts>
                        </ClmnBlk>
                      </ClmnBlks>
                      <TtlCtg>
                        <TtlCtgProps>
                          <R>3</R>
                        </TtlCtgProps>
                      </TtlCtg>
                      <ElmtLnksOut>
                        <ElmtLnk>
                          <ElmtLnkProps>
                            <ELI>1,1,28</ELI>
                            <ELN>1</ELN>
                            <ELGN>1</ELGN>
                            <MLG>BC8B1426-5FBA-4B7D-AFF1-518FB6BEED51</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1,1,30,2,1</CBPLI>
                                    <ELN>1</ELN>
                                    <FFF><![CDATA[=§A¿10,FALSE,0,2,0,FALSE§Z¿]]></FFF>
                                  </LnkInFormProps>
                                </LnkInForm>
                              </LnkInForms>
                            </ClmnBlkPt>
                          </ClmnBlkPts>
                        </ClmnBlk>
                      </ClmnBlks>
                      <TtlCtg>
                        <TtlCtgProps>
                          <R>3</R>
                        </TtlCtgProps>
                        <LnkIn>
                          <LnkInProps>
                            <MN>5</MN>
                            <CLI>1,1,30,True,0</CLI>
                            <ELN>1</ELN>
                            <LOOT>2</LOOT>
                            <LOMN>45</LOMN>
                            <LOMCN>1</LOMCN>
                            <LOSN>1</LOSN>
                            <LOEN>164</LOEN>
                            <LOCN>0</LOCN>
                          </LnkInProps>
                        </LnkIn>
                      </TtlCtg>
                      <ElmtLnksOut>
                        <ElmtLnk>
                          <ElmtLnkProps>
                            <ELI>1,1,30</ELI>
                            <ELN>1</ELN>
                            <ELGN>1</ELGN>
                            <MLG>7B323F1A-39A9-4B60-BCEE-A78B98DA5752</MLG>
                            <ICBI>1,2</ICBI>
                            <ILBN>1,2</ILBN>
                            <LIBN>0</LIBN>
                          </ElmtLnkProps>
                        </ElmtLnk>
                      </ElmtLnksOut>
                      <ElmtLnksIn>
                        <ElmtLnk>
                          <ElmtLnkProps>
                            <ELI>1,1,30</ELI>
                            <ELN>1</ELN>
                            <ELGN>1</ELGN>
                            <MLG>BA2F83B2-E547-4A3C-9720-5F8B6A38C5C6</MLG>
                            <ICBI>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orporate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1,1,32,2,1</CBPLI>
                                    <ELN>1</ELN>
                                    <FFF><![CDATA[=§A¿10,FALSE,0,2,0,FALSE§Z¿]]></FFF>
                                  </LnkInFormProps>
                                </LnkInForm>
                              </LnkInForms>
                            </ClmnBlkPt>
                          </ClmnBlkPts>
                        </ClmnBlk>
                      </ClmnBlks>
                      <TtlCtg>
                        <TtlCtgProps>
                          <R>3</R>
                        </TtlCtgProps>
                        <LnkIn>
                          <LnkInProps>
                            <MN>5</MN>
                            <CLI>1,1,32,True,0</CLI>
                            <ELN>1</ELN>
                            <LOOT>2</LOOT>
                            <LOMN>46</LOMN>
                            <LOMCN>1</LOMCN>
                            <LOSN>1</LOSN>
                            <LOEN>145</LOEN>
                            <LOCN>0</LOCN>
                          </LnkInProps>
                        </LnkIn>
                      </TtlCtg>
                      <ElmtLnksOut>
                        <ElmtLnk>
                          <ElmtLnkProps>
                            <ELI>1,1,32</ELI>
                            <ELN>1</ELN>
                            <ELGN>1</ELGN>
                            <MLG>0B5692E0-B3EC-485C-A17F-A34930ACC896</MLG>
                            <ICBI>1,2</ICBI>
                            <ILBN>1,2</ILBN>
                            <LIBN>0</LIBN>
                          </ElmtLnkProps>
                        </ElmtLnk>
                      </ElmtLnksOut>
                      <ElmtLnksIn>
                        <ElmtLnk>
                          <ElmtLnkProps>
                            <ELI>1,1,32</ELI>
                            <ELN>1</ELN>
                            <ELGN>1</ELGN>
                            <MLG>0B22A752-C4C7-40A7-AC6D-6908AE373C53</MLG>
                            <ICBI>2</ICBI>
                            <ILBN/>
                            <LIBN>0</LIBN>
                          </ElmtLnkProps>
                        </ElmtLnk>
                      </ElmtLnksIn>
                    </Elmt>
                    <Elmt>
                      <ElmtProps>
                        <CPT>2</CPT>
                      </ElmtProps>
                      <TtlCtg>
                        <TtlCtgProps>
                          <R>1</R>
                        </TtlCtgProps>
                      </TtlCtg>
                    </Elmt>
                    <Elmt>
                      <ElmtProps>
                        <CPT>0</CPT>
                        <TOT>False</TOT>
                        <EGN>12</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1,1,34,1,1</CBPLI>
                                    <ELN>1</ELN>
                                    <FFF><![CDATA[=§A¿10,FALSE,0,1,0,FALSE§Z¿]]></FFF>
                                  </LnkInFormProps>
                                </LnkInForm>
                              </LnkInForms>
                            </ClmnBlkPt>
                            <ClmnBlkPt>
                              <ClmnBlkPtProps>
                                <CBPT>1</CBPT>
                                <ST>6</ST>
                                <VOFFF><![CDATA[="Total "&§A¿0,1,0,1,34,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1,1,34,1</STLI>
                              <R>2</R>
                            </SubTtlHdgRowProps>
                          </SubTtlHdgRow>
                          <TtlSpcrRow>
                            <TtlSpcrRowProps>
                              <RSN>1</RSN>
                            </TtlSpcrRowProps>
                          </TtlSpcrRow>
                          <Ctgs>
                            <Ctg>
                              <CtgProps>
                                <R>5</R>
                              </CtgProps>
                              <LnkIn>
                                <LnkInProps>
                                  <MN>5</MN>
                                  <CLI>1,1,34,False,1</CLI>
                                  <ELN>1</ELN>
                                  <LOOT>0</LOOT>
                                  <LOMN>41</LOMN>
                                  <LOMCN>1</LOMCN>
                                  <LOSN>1</LOSN>
                                  <LOEN>7</LOEN>
                                  <LOCN>1</LOCN>
                                </LnkInProps>
                              </LnkIn>
                            </Ctg>
                          </Ctgs>
                        </SubTtl>
                      </SubTtls>
                      <TtlCtg>
                        <TtlCtgProps>
                          <R>2</R>
                        </TtlCtgProps>
                        <TtlSpcrRow>
                          <TtlSpcrRowProps>
                            <RSN>1</RSN>
                          </TtlSpcrRowProps>
                        </TtlSpcrRow>
                      </TtlCtg>
                      <ElmtLnksOut>
                        <ElmtLnk>
                          <ElmtLnkProps>
                            <ELI>1,1,34</ELI>
                            <ELN>1</ELN>
                            <ELGN>9</ELGN>
                            <MLG>8347FF1F-B533-4308-BA70-D140046FAB2F</MLG>
                            <ICBI>1,2</ICBI>
                            <ILBN>1,2</ILBN>
                            <LIBN>0</LIBN>
                          </ElmtLnkProps>
                        </ElmtLnk>
                      </ElmtLnksOut>
                      <ElmtLnksIn>
                        <ElmtLnk>
                          <ElmtLnkProps>
                            <ELI>1,1,34</ELI>
                            <ELN>1</ELN>
                            <ELGN>9</ELGN>
                            <MLG>AB05B401-F562-40E9-B972-83666ACE3AAF</MLG>
                            <ICBI>1,2</ICBI>
                            <ILBN/>
                            <LIBN>0</LIBN>
                          </ElmtLnkProps>
                        </ElmtLnk>
                      </ElmtLnksIn>
                    </Elmt>
                    <Elmt>
                      <ElmtProps>
                        <CPT>2</CPT>
                      </ElmtProps>
                      <TtlCtg>
                        <TtlCtgProps>
                          <R>1</R>
                        </TtlCtgProps>
                      </TtlCtg>
                    </Elmt>
                    <Elmt>
                      <ElmtProps>
                        <CPT>0</CPT>
                        <TOT>False</TOT>
                        <EGN>13</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iesGroupName> Category <CategoryNumber>]]></UDAV>
                              </ClmnBlkPtProps>
                              <LnkInForms>
                                <LnkInForm>
                                  <LnkInFormProps>
                                    <CBPLI>1,1,36,1,1</CBPLI>
                                    <ELN>1</ELN>
                                    <FFF><![CDATA[=§A¿10,FALSE,0,1,0,FALSE§Z¿]]></FFF>
                                  </LnkInFormProps>
                                </LnkInForm>
                              </LnkInForms>
                            </ClmnBlkPt>
                            <ClmnBlkPt>
                              <ClmnBlkPtProps>
                                <CBPT>1</CBPT>
                                <ST>6</ST>
                                <VOFFF><![CDATA[="Total "&§A¿0,1,0,1,36,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Forecast Interest Payabl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1,1,36,2,1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1,1,36,1</STLI>
                              <R>2</R>
                            </SubTtlHdgRowProps>
                          </SubTtlHdgRow>
                          <TtlSpcrRow>
                            <TtlSpcrRowProps>
                              <RSN>1</RSN>
                            </TtlSpcrRowProps>
                          </TtlSpcrRow>
                          <Ctgs>
                            <Ctg>
                              <CtgProps>
                                <R>5</R>
                              </CtgProps>
                              <LnkIn>
                                <LnkInProps>
                                  <MN>5</MN>
                                  <CLI>1,1,36,False,1</CLI>
                                  <ELN>1</ELN>
                                  <LOOT>2</LOOT>
                                  <LOMN>42</LOMN>
                                  <LOMCN>1</LOMCN>
                                  <LOSN>1</LOSN>
                                  <LOEN>17</LOEN>
                                  <LOCN>0</LOCN>
                                </LnkInProps>
                              </LnkIn>
                            </Ctg>
                            <Ctg>
                              <CtgProps>
                                <R>5</R>
                              </CtgProps>
                              <LnkIn>
                                <LnkInProps>
                                  <MN>5</MN>
                                  <CLI>1,1,36,False,2</CLI>
                                  <ELN>1</ELN>
                                  <LOOT>2</LOOT>
                                  <LOMN>43</LOMN>
                                  <LOMCN>1</LOMCN>
                                  <LOSN>1</LOSN>
                                  <LOEN>17</LOEN>
                                  <LOCN>0</LOCN>
                                </LnkInProps>
                              </LnkIn>
                            </Ctg>
                          </Ctgs>
                        </SubTtl>
                      </SubTtls>
                      <TtlCtg>
                        <TtlCtgProps>
                          <R>2</R>
                        </TtlCtgProps>
                        <TtlSpcrRow>
                          <TtlSpcrRowProps>
                            <RSN>1</RSN>
                          </TtlSpcrRowProps>
                        </TtlSpcrRow>
                      </TtlCtg>
                      <ElmtLnksOut>
                        <ElmtLnk>
                          <ElmtLnkProps>
                            <ELI>1,1,36</ELI>
                            <ELN>1</ELN>
                            <ELGN>10</ELGN>
                            <MLG>1DDC4429-F90C-44F4-B691-224315741D26</MLG>
                            <ICBI>1,2</ICBI>
                            <ILBN>1,2</ILBN>
                            <LIBN>0</LIBN>
                          </ElmtLnkProps>
                        </ElmtLnk>
                      </ElmtLnksOut>
                      <ElmtLnksIn>
                        <ElmtLnk>
                          <ElmtLnkProps>
                            <ELI>1,1,36</ELI>
                            <ELN>1</ELN>
                            <ELGN>10</ELGN>
                            <MLG>4BD1B537-DA53-4B26-9D61-FC53EF89A265</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8</SON>
                                <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34,2,6,-1,0,0,FALSE,FALSE§Z¿+§A¿0,1,0,1,36,2,6,-1,0,0,FALSE,FALSE§Z¿]]></VOFFF>
                              </ClmnBlkPtProps>
                            </ClmnBlkPt>
                          </ClmnBlkPts>
                        </ClmnBlk>
                      </ClmnBlks>
                      <TtlCtg>
                        <TtlCtgProps>
                          <R>3</R>
                        </TtlCtgProps>
                      </TtlCtg>
                      <ElmtLnksOut>
                        <ElmtLnk>
                          <ElmtLnkProps>
                            <ELI>1,1,38</ELI>
                            <ELN>1</ELN>
                            <ELGN>1</ELGN>
                            <MLG>822F62BE-B2D4-4BB2-80E9-F023BC0D7783</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s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1,1,40,2,1</CBPLI>
                                    <ELN>1</ELN>
                                    <FFF><![CDATA[=§A¿10,FALSE,0,2,0,FALSE§Z¿]]></FFF>
                                  </LnkInFormProps>
                                </LnkInForm>
                              </LnkInForms>
                            </ClmnBlkPt>
                          </ClmnBlkPts>
                        </ClmnBlk>
                      </ClmnBlks>
                      <TtlCtg>
                        <TtlCtgProps>
                          <R>3</R>
                        </TtlCtgProps>
                        <LnkIn>
                          <LnkInProps>
                            <MN>5</MN>
                            <CLI>1,1,40,True,0</CLI>
                            <ELN>1</ELN>
                            <LOOT>2</LOOT>
                            <LOMN>44</LOMN>
                            <LOMCN>1</LOMCN>
                            <LOSN>1</LOSN>
                            <LOEN>83</LOEN>
                            <LOCN>0</LOCN>
                          </LnkInProps>
                        </LnkIn>
                      </TtlCtg>
                      <ElmtLnksOut>
                        <ElmtLnk>
                          <ElmtLnkProps>
                            <ELI>1,1,40</ELI>
                            <ELN>1</ELN>
                            <ELGN>1</ELGN>
                            <MLG>55EBCC8E-00C6-4799-B8BF-901FC935C2B8</MLG>
                            <ICBI>1,2</ICBI>
                            <ILBN>1,2</ILBN>
                            <LIBN>0</LIBN>
                          </ElmtLnkProps>
                        </ElmtLnk>
                      </ElmtLnksOut>
                      <ElmtLnksIn>
                        <ElmtLnk>
                          <ElmtLnkProps>
                            <ELI>1,1,40</ELI>
                            <ELN>1</ELN>
                            <ELGN>1</ELGN>
                            <MLG>B742199D-0B20-44F0-B6FF-6C0B8FEF0835</MLG>
                            <ICBI>2</ICBI>
                            <ILBN/>
                            <LIBN>0</LIBN>
                          </ElmtLnkProps>
                        </ElmtLnk>
                      </ElmtLnksIn>
                    </Elmt>
                    <Elmt>
                      <ElmtProps>
                        <CPT>2</CPT>
                      </ElmtProps>
                      <TtlCtg>
                        <TtlCtgProps>
                          <R>1</R>
                        </TtlCtgProps>
                      </TtlCtg>
                    </Elmt>
                    <Elmt>
                      <ElmtProps>
                        <CPT>0</CPT>
                        <TOT>False</TOT>
                        <EGN>5</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Current Liabilitie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1,1,42,1</STLI>
                              <R>2</R>
                            </SubTtlHdgRowProps>
                          </SubTtlHdgRow>
                          <TtlSpcrRow>
                            <TtlSpcrRowProps>
                              <RSN>1</RSN>
                            </TtlSpcrRowProps>
                          </TtlSpcrRow>
                          <Ctgs>
                            <Ctg>
                              <CtgProps>
                                <R>5</R>
                              </CtgProps>
                              <LnkIn>
                                <LnkInProps>
                                  <MN>5</MN>
                                  <CLI>1,1,42,False,1</CLI>
                                  <ELN>1</ELN>
                                  <LOOT>0</LOOT>
                                  <LOMN>52</LOMN>
                                  <LOMCN>3</LOMCN>
                                  <LOSN>1</LOSN>
                                  <LOEN>9</LOEN>
                                  <LOCN>1</LOCN>
                                </LnkInProps>
                              </LnkIn>
                            </Ctg>
                          </Ctgs>
                        </SubTtl>
                      </SubTtls>
                      <TtlCtg>
                        <TtlCtgProps>
                          <R>3</R>
                        </TtlCtgProps>
                        <TtlSpcrRow>
                          <TtlSpcrRowProps>
                            <RSN>1</RSN>
                          </TtlSpcrRowProps>
                        </TtlSpcrRow>
                      </TtlCtg>
                      <ElmtLnksOut>
                        <ElmtLnk>
                          <ElmtLnkProps>
                            <ELI>1,1,42</ELI>
                            <ELN>1</ELN>
                            <ELGN>11</ELGN>
                            <MLG>6161DD7E-3C02-4DEE-A022-5C52BA279945</MLG>
                            <ICBI>1,2</ICBI>
                            <ILBN>1,2</ILBN>
                            <LIBN>0</LIBN>
                          </ElmtLnkProps>
                        </ElmtLnk>
                      </ElmtLnksOut>
                      <ElmtLnksIn>
                        <ElmtLnk>
                          <ElmtLnkProps>
                            <ELI>1,1,42</ELI>
                            <ELN>1</ELN>
                            <ELGN>11</ELGN>
                            <MLG>D2420165-D852-46F5-BB4C-4B756E301E7A</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Current Liabil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28,2,1,-1,0,0,FALSE,FALSE§Z¿+§A¿0,1,0,1,30,2,1,-1,0,0,FALSE,FALSE§Z¿+§A¿0,1,0,1,32,2,1,-1,0,0,FALSE,FALSE§Z¿+§A¿0,1,0,1,38,2,1,-1,0,0,FALSE,FALSE§Z¿+§A¿0,1,0,1,40,2,1,-1,0,0,FALSE,FALSE§Z¿+§A¿0,1,0,1,42,2,6,-1,0,0,FALSE,FALSE§Z¿]]></VOFFF>
                              </ClmnBlkPtProps>
                            </ClmnBlkPt>
                          </ClmnBlkPts>
                        </ClmnBlk>
                      </ClmnBlks>
                      <TtlCtg>
                        <TtlCtgProps>
                          <R>3</R>
                        </TtlCtgProps>
                      </TtlCtg>
                      <ElmtLnksOut>
                        <ElmtLnk>
                          <ElmtLnkProps>
                            <ELI>1,1,44</ELI>
                            <ELN>1</ELN>
                            <ELGN>1</ELGN>
                            <MLG>FDFD081D-63E4-4865-AD83-37EF500C3698</MLG>
                            <ICBI>1,2</ICBI>
                            <ILBN>1,2</ILBN>
                            <LIBN>0</LIBN>
                          </ElmtLnkProps>
                        </ElmtLnk>
                      </ElmtLnksOut>
                    </Elmt>
                    <Elmt>
                      <ElmtProps>
                        <CPT>2</CPT>
                      </ElmtProps>
                      <TtlCtg>
                        <TtlCtgProps>
                          <R>4</R>
                        </TtlCtgProps>
                      </TtlCtg>
                    </Elmt>
                    <Elmt>
                      <ElmtProps>
                        <CPT>0</CPT>
                        <TOT>False</TOT>
                        <EGN>6</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bt]]></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1,1,46,1</STLI>
                              <R>2</R>
                            </SubTtlHdgRowProps>
                          </SubTtlHdgRow>
                          <TtlSpcrRow>
                            <TtlSpcrRowProps>
                              <RSN>1</RSN>
                            </TtlSpcrRowProps>
                          </TtlSpcrRow>
                          <Ctgs>
                            <Ctg>
                              <CtgProps>
                                <R>5</R>
                              </CtgProps>
                              <LnkIn>
                                <LnkInProps>
                                  <MN>5</MN>
                                  <CLI>1,1,46,False,1</CLI>
                                  <ELN>1</ELN>
                                  <LOOT>2</LOOT>
                                  <LOMN>42</LOMN>
                                  <LOMCN>1</LOMCN>
                                  <LOSN>1</LOSN>
                                  <LOEN>8</LOEN>
                                  <LOCN>0</LOCN>
                                </LnkInProps>
                              </LnkIn>
                            </Ctg>
                            <Ctg>
                              <CtgProps>
                                <R>5</R>
                              </CtgProps>
                              <LnkIn>
                                <LnkInProps>
                                  <MN>5</MN>
                                  <CLI>1,1,46,False,2</CLI>
                                  <ELN>1</ELN>
                                  <LOOT>2</LOOT>
                                  <LOMN>43</LOMN>
                                  <LOMCN>1</LOMCN>
                                  <LOSN>1</LOSN>
                                  <LOEN>8</LOEN>
                                  <LOCN>0</LOCN>
                                </LnkInProps>
                              </LnkIn>
                            </Ctg>
                          </Ctgs>
                        </SubTtl>
                      </SubTtls>
                      <TtlCtg>
                        <TtlCtgProps>
                          <R>3</R>
                        </TtlCtgProps>
                        <TtlSpcrRow>
                          <TtlSpcrRowProps>
                            <RSN>1</RSN>
                          </TtlSpcrRowProps>
                        </TtlSpcrRow>
                      </TtlCtg>
                      <ElmtLnksOut>
                        <ElmtLnk>
                          <ElmtLnkProps>
                            <ELI>1,1,46</ELI>
                            <ELN>1</ELN>
                            <ELGN>12</ELGN>
                            <MLG>C73386E6-E79C-4FEC-8003-EEBB56F91C3B</MLG>
                            <ICBI>1,2</ICBI>
                            <ILBN>1,2</ILBN>
                            <LIBN>0</LIBN>
                          </ElmtLnkProps>
                        </ElmtLnk>
                      </ElmtLnksOut>
                      <ElmtLnksIn>
                        <ElmtLnk>
                          <ElmtLnkProps>
                            <ELI>1,1,46</ELI>
                            <ELN>1</ELN>
                            <ELGN>12</ELGN>
                            <MLG>EA9758E3-33D7-4F4A-B609-556156A27C5A</MLG>
                            <ICBI>1,2</ICBI>
                            <ILBN/>
                            <LIBN>0</LIBN>
                          </ElmtLnkProps>
                        </ElmtLnk>
                      </ElmtLnksIn>
                    </Elmt>
                    <Elmt>
                      <ElmtProps>
                        <CPT>2</CPT>
                      </ElmtProps>
                      <TtlCtg>
                        <TtlCtgProps>
                          <R>1</R>
                        </TtlCtgProps>
                      </TtlCtg>
                    </Elmt>
                    <Elmt>
                      <ElmtProps>
                        <CPT>0</CPT>
                        <TOT>False</TOT>
                        <EGN>7</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Non-Current Liabilitie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1,1,48,1</STLI>
                              <R>2</R>
                            </SubTtlHdgRowProps>
                          </SubTtlHdgRow>
                          <TtlSpcrRow>
                            <TtlSpcrRowProps>
                              <RSN>1</RSN>
                            </TtlSpcrRowProps>
                          </TtlSpcrRow>
                          <Ctgs>
                            <Ctg>
                              <CtgProps>
                                <R>5</R>
                              </CtgProps>
                              <LnkIn>
                                <LnkInProps>
                                  <MN>5</MN>
                                  <CLI>1,1,48,False,1</CLI>
                                  <ELN>1</ELN>
                                  <LOOT>0</LOOT>
                                  <LOMN>54</LOMN>
                                  <LOMCN>3</LOMCN>
                                  <LOSN>1</LOSN>
                                  <LOEN>9</LOEN>
                                  <LOCN>1</LOCN>
                                </LnkInProps>
                              </LnkIn>
                            </Ctg>
                          </Ctgs>
                        </SubTtl>
                      </SubTtls>
                      <TtlCtg>
                        <TtlCtgProps>
                          <R>3</R>
                        </TtlCtgProps>
                        <TtlSpcrRow>
                          <TtlSpcrRowProps>
                            <RSN>1</RSN>
                          </TtlSpcrRowProps>
                        </TtlSpcrRow>
                      </TtlCtg>
                      <ElmtLnksOut>
                        <ElmtLnk>
                          <ElmtLnkProps>
                            <ELI>1,1,48</ELI>
                            <ELN>1</ELN>
                            <ELGN>13</ELGN>
                            <MLG>245574B0-FB51-4EAA-8DF8-CC9D1785C021</MLG>
                            <ICBI>1,2</ICBI>
                            <ILBN>1,2</ILBN>
                            <LIBN>0</LIBN>
                          </ElmtLnkProps>
                        </ElmtLnk>
                      </ElmtLnksOut>
                      <ElmtLnksIn>
                        <ElmtLnk>
                          <ElmtLnkProps>
                            <ELI>1,1,48</ELI>
                            <ELN>1</ELN>
                            <ELGN>13</ELGN>
                            <MLG>2A7EED6B-38EE-437E-8040-7D9F9E59CDD2</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Non-Current Liabil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46,2,6,-1,0,0,FALSE,FALSE§Z¿+§A¿0,1,0,1,48,2,6,-1,0,0,FALSE,FALSE§Z¿]]></VOFFF>
                              </ClmnBlkPtProps>
                            </ClmnBlkPt>
                          </ClmnBlkPts>
                        </ClmnBlk>
                      </ClmnBlks>
                      <TtlCtg>
                        <TtlCtgProps>
                          <R>3</R>
                        </TtlCtgProps>
                      </TtlCtg>
                      <ElmtLnksOut>
                        <ElmtLnk>
                          <ElmtLnkProps>
                            <ELI>1,1,50</ELI>
                            <ELN>1</ELN>
                            <ELGN>1</ELGN>
                            <MLG>6BE3DB01-D0C5-4F86-96EB-88ECF1514223</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Liabil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44,2,1,-1,0,0,FALSE,FALSE§Z¿+§A¿0,1,0,1,50,2,1,-1,0,0,FALSE,FALSE§Z¿]]></VOFFF>
                              </ClmnBlkPtProps>
                            </ClmnBlkPt>
                          </ClmnBlkPts>
                        </ClmnBlk>
                      </ClmnBlks>
                      <TtlCtg>
                        <TtlCtgProps>
                          <R>3</R>
                        </TtlCtgProps>
                      </TtlCtg>
                      <ElmtLnksOut>
                        <ElmtLnk>
                          <ElmtLnkProps>
                            <ELI>1,1,52</ELI>
                            <ELN>1</ELN>
                            <ELGN>1</ELGN>
                            <MLG>3443602F-4951-46CB-BFE0-63952A1BDF39</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Asse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A¿0,1,0,1,22,2,1,-1,0,0,FALSE,FALSE§Z¿-§A¿0,1,0,1,52,2,1,-1,0,0,FALSE,FALSE§Z¿]]></VOFFF>
                              </ClmnBlkPtProps>
                            </ClmnBlkPt>
                          </ClmnBlkPts>
                        </ClmnBlk>
                      </ClmnBlks>
                      <TtlCtg>
                        <TtlCtgProps>
                          <R>3</R>
                        </TtlCtgProps>
                      </TtlCtg>
                      <ElmtLnksOut>
                        <ElmtLnk>
                          <ElmtLnkProps>
                            <ELI>1,1,54</ELI>
                            <ELN>1</ELN>
                            <ELGN>1</ELGN>
                            <MLG>34B927F3-B985-4335-95E4-4CEC7F73B93E</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rdinary Equity]]></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1,1,56,2,1</CBPLI>
                                    <ELN>1</ELN>
                                    <FFF><![CDATA[=§A¿10,FALSE,0,2,0,FALSE§Z¿]]></FFF>
                                  </LnkInFormProps>
                                </LnkInForm>
                              </LnkInForms>
                            </ClmnBlkPt>
                          </ClmnBlkPts>
                        </ClmnBlk>
                      </ClmnBlks>
                      <TtlCtg>
                        <TtlCtgProps>
                          <R>3</R>
                        </TtlCtgProps>
                        <LnkIn>
                          <LnkInProps>
                            <MN>5</MN>
                            <CLI>1,1,56,True,0</CLI>
                            <ELN>1</ELN>
                            <LOOT>2</LOOT>
                            <LOMN>44</LOMN>
                            <LOMCN>1</LOMCN>
                            <LOSN>1</LOSN>
                            <LOEN>75</LOEN>
                            <LOCN>0</LOCN>
                          </LnkInProps>
                        </LnkIn>
                      </TtlCtg>
                      <ElmtLnksOut>
                        <ElmtLnk>
                          <ElmtLnkProps>
                            <ELI>1,1,56</ELI>
                            <ELN>1</ELN>
                            <ELGN>1</ELGN>
                            <MLG>6D7F01DC-4951-4B9F-9BAA-AF70EC07EE6C</MLG>
                            <ICBI>1,2</ICBI>
                            <ILBN>1,2</ILBN>
                            <LIBN>0</LIBN>
                          </ElmtLnkProps>
                        </ElmtLnk>
                      </ElmtLnksOut>
                      <ElmtLnksIn>
                        <ElmtLnk>
                          <ElmtLnkProps>
                            <ELI>1,1,56</ELI>
                            <ELN>1</ELN>
                            <ELGN>1</ELGN>
                            <MLG>2A0E1E79-E7C9-479F-9B1D-AB5CC55D737A</MLG>
                            <ICBI>2</ICBI>
                            <ILBN/>
                            <LIBN>0</LIBN>
                          </ElmtLnkProps>
                        </ElmtLnk>
                      </ElmtLnksIn>
                    </Elmt>
                    <Elmt>
                      <ElmtProps>
                        <CPT>2</CPT>
                      </ElmtProps>
                      <TtlCtg>
                        <TtlCtgProps>
                          <R>1</R>
                        </TtlCtgProps>
                      </TtlCtg>
                    </Elmt>
                    <Elmt>
                      <ElmtProps>
                        <CPT>0</CPT>
                        <TOT>False</TOT>
                        <EGN>8</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1,1,58,1,1</CBPLI>
                                    <ELN>1</ELN>
                                    <FFF><![CDATA[=§A¿10,FALSE,0,1,0,FALSE§Z¿]]></FFF>
                                  </LnkInFormProps>
                                </LnkInForm>
                              </LnkInForms>
                            </ClmnBlkPt>
                            <ClmnBlkPt>
                              <ClmnBlkPtProps>
                                <CBPT>1</CBPT>
                                <ST>6</ST>
                                <VOFFF><![CDATA[="Total "&§A¿0,1,0,1,58,1,3,0,0,0,FALSE,FALSE§Z¿]]></VOFFF>
                                <UDAV><![CDATA[<CategoriesGroupName> Sub-Total <SubTotalNumber>]]></UDAV>
                              </ClmnBlkPtProps>
                            </ClmnBlkPt>
                            <ClmnBlkPt>
                              <ClmnBlkPtProps>
                                <CBPT>2</CBPT>
                                <ST>7</ST>
                                <SON>9</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Equity]]></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0]]></VOFFF>
                              </ClmnBlkPtProps>
                              <LnkInForms>
                                <LnkInForm>
                                  <LnkInFormProps>
                                    <CBPLI>1,1,58,2,1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8</SON>
                                <VOFFF/>
                              </ClmnBlkPtProps>
                            </ClmnBlkPt>
                            <ClmnBlkPt>
                              <ClmnBlkPtProps>
                                <CBPT>5</CBPT>
                                <ST>18</ST>
                                <VOFFF><![CDATA[=§A¿3§Z¿]]></VOFFF>
                              </ClmnBlkPtProps>
                            </ClmnBlkPt>
                          </ClmnBlkPts>
                        </ClmnBlk>
                      </ClmnBlks>
                      <SubTtls>
                        <SubTtl>
                          <SubTtlProps>
                            <R>2</R>
                          </SubTtlProps>
                          <SubTtlHdgRow>
                            <SubTtlHdgRowProps>
                              <STLI>1,1,58,1</STLI>
                              <R>2</R>
                            </SubTtlHdgRowProps>
                          </SubTtlHdgRow>
                          <TtlSpcrRow>
                            <TtlSpcrRowProps>
                              <RSN>1</RSN>
                            </TtlSpcrRowProps>
                          </TtlSpcrRow>
                          <Ctgs>
                            <Ctg>
                              <CtgProps>
                                <R>5</R>
                              </CtgProps>
                              <LnkIn>
                                <LnkInProps>
                                  <MN>5</MN>
                                  <CLI>1,1,58,False,1</CLI>
                                  <ELN>1</ELN>
                                  <LOOT>0</LOOT>
                                  <LOMN>56</LOMN>
                                  <LOMCN>3</LOMCN>
                                  <LOSN>1</LOSN>
                                  <LOEN>9</LOEN>
                                  <LOCN>1</LOCN>
                                </LnkInProps>
                              </LnkIn>
                            </Ctg>
                          </Ctgs>
                        </SubTtl>
                      </SubTtls>
                      <TtlCtg>
                        <TtlCtgProps>
                          <R>3</R>
                        </TtlCtgProps>
                        <TtlSpcrRow>
                          <TtlSpcrRowProps>
                            <RSN>1</RSN>
                          </TtlSpcrRowProps>
                        </TtlSpcrRow>
                      </TtlCtg>
                      <ElmtLnksOut>
                        <ElmtLnk>
                          <ElmtLnkProps>
                            <ELI>1,1,58</ELI>
                            <ELN>1</ELN>
                            <ELGN>14</ELGN>
                            <MLG>FE8176DD-A50E-4F8C-98FB-C23D5A7C19B3</MLG>
                            <ICBI>1,2</ICBI>
                            <ILBN>1,2</ILBN>
                            <LIBN>0</LIBN>
                          </ElmtLnkProps>
                        </ElmtLnk>
                      </ElmtLnksOut>
                      <ElmtLnksIn>
                        <ElmtLnk>
                          <ElmtLnkProps>
                            <ELI>1,1,58</ELI>
                            <ELN>1</ELN>
                            <ELGN>14</ELGN>
                            <MLG>613080AB-6C7A-4D6A-80BC-FC2B3C855CA2</MLG>
                            <ICBI>1,2</ICBI>
                            <ILBN/>
                            <LIBN>0</LIBN>
                          </ElmtLnkProps>
                        </ElmtLnk>
                      </ElmtLnksIn>
                    </Elmt>
                    <Elmt>
                      <ElmtProps>
                        <CPT>2</CPT>
                      </ElmtProp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pen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63,2,1,-1,0,0,FALSE,FALSE§Z¿)]]></VOFFF>
                              </ClmnBlkPtProps>
                              <LnkInForms>
                                <LnkInForm>
                                  <LnkInFormProps>
                                    <CBPLI>1,1,60,2,1</CBPLI>
                                    <ELN>1</ELN>
                                    <FFF><![CDATA[=IF(§A¿9,4,1,0,1,6,3,1,-1,0,0,TRUE,FALSE§Z¿=1,§A¿10,FALSE,0,2,0,FALSE§Z¿,§A¿0,1,0,1,63,2,1,-1,0,0,FALSE,FALSE§Z¿)]]></FFF>
                                  </LnkInFormProps>
                                </LnkInForm>
                              </LnkInForms>
                            </ClmnBlkPt>
                          </ClmnBlkPts>
                        </ClmnBlk>
                      </ClmnBlks>
                      <TtlCtg>
                        <TtlCtgProps>
                          <R>2</R>
                        </TtlCtgProps>
                        <LnkIn>
                          <LnkInProps>
                            <MN>5</MN>
                            <CLI>1,1,60,True,0</CLI>
                            <ELN>1</ELN>
                            <LOOT>2</LOOT>
                            <LOMN>3</LOMN>
                            <LOMCN>1</LOMCN>
                            <LOSN>1</LOSN>
                            <LOEN>54</LOEN>
                            <LOCN>0</LOCN>
                          </LnkInProps>
                        </LnkIn>
                      </TtlCtg>
                      <ElmtLnksOut>
                        <ElmtLnk>
                          <ElmtLnkProps>
                            <ELI>1,1,60</ELI>
                            <ELN>1</ELN>
                            <ELGN>1</ELGN>
                            <MLG>1A1B4EF6-4881-4FAA-B178-EB5D5229CEED</MLG>
                            <ICBI>1,2</ICBI>
                            <ILBN>1,2</ILBN>
                            <LIBN>0</LIBN>
                          </ElmtLnkProps>
                        </ElmtLnk>
                      </ElmtLnksOut>
                      <ElmtLnksIn>
                        <ElmtLnk>
                          <ElmtLnkProps>
                            <ELI>1,1,60</ELI>
                            <ELN>1</ELN>
                            <ELGN>1</ELGN>
                            <MLG>44A13FAF-FDE0-44D5-B4C9-2A465898DA1C</MLG>
                            <ICBI>2</ICBI>
                            <ILBN/>
                            <LIBN>0</LIBN>
                          </ElmtLnkProps>
                        </ElmtLnk>
                      </ElmtLnksIn>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t Profit After Tax]]></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1,1,61,2,1</CBPLI>
                                    <ELN>1</ELN>
                                    <FFF><![CDATA[=§A¿10,FALSE,0,2,0,FALSE§Z¿]]></FFF>
                                  </LnkInFormProps>
                                </LnkInForm>
                              </LnkInForms>
                            </ClmnBlkPt>
                          </ClmnBlkPts>
                        </ClmnBlk>
                      </ClmnBlks>
                      <TtlCtg>
                        <TtlCtgProps>
                          <R>2</R>
                        </TtlCtgProps>
                        <LnkIn>
                          <LnkInProps>
                            <MN>5</MN>
                            <CLI>1,1,61,True,0</CLI>
                            <ELN>1</ELN>
                            <LOOT>2</LOOT>
                            <LOMN>4</LOMN>
                            <LOMCN>1</LOMCN>
                            <LOSN>1</LOSN>
                            <LOEN>40</LOEN>
                            <LOCN>0</LOCN>
                          </LnkInProps>
                        </LnkIn>
                      </TtlCtg>
                      <ElmtLnksOut>
                        <ElmtLnk>
                          <ElmtLnkProps>
                            <ELI>1,1,61</ELI>
                            <ELN>1</ELN>
                            <ELGN>1</ELGN>
                            <MLG>51EAA626-D340-4842-A0AE-E9BA850CF72C</MLG>
                            <ICBI>1,2</ICBI>
                            <ILBN>1,2</ILBN>
                            <LIBN>0</LIBN>
                          </ElmtLnkProps>
                        </ElmtLnk>
                      </ElmtLnksOut>
                      <ElmtLnksIn>
                        <ElmtLnk>
                          <ElmtLnkProps>
                            <ELI>1,1,61</ELI>
                            <ELN>1</ELN>
                            <ELGN>1</ELGN>
                            <MLG>1C7940B5-C830-4EC2-92DF-CBA013375747</MLG>
                            <ICBI>2</ICBI>
                            <ILBN/>
                            <LIBN>0</LIBN>
                          </ElmtLnkProps>
                        </ElmtLnk>
                      </ElmtLnksIn>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Dividends Declar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0]]></VOFFF>
                              </ClmnBlkPtProps>
                              <LnkInForms>
                                <LnkInForm>
                                  <LnkInFormProps>
                                    <CBPLI>1,1,62,2,1</CBPLI>
                                    <ELN>1</ELN>
                                    <FFF><![CDATA[=-§A¿10,FALSE,0,2,0,FALSE§Z¿]]></FFF>
                                  </LnkInFormProps>
                                </LnkInForm>
                              </LnkInForms>
                            </ClmnBlkPt>
                          </ClmnBlkPts>
                        </ClmnBlk>
                      </ClmnBlks>
                      <TtlCtg>
                        <TtlCtgProps>
                          <R>2</R>
                        </TtlCtgProps>
                        <LnkIn>
                          <LnkInProps>
                            <MN>5</MN>
                            <CLI>1,1,62,True,0</CLI>
                            <ELN>1</ELN>
                            <LOOT>2</LOOT>
                            <LOMN>44</LOMN>
                            <LOMCN>1</LOMCN>
                            <LOSN>1</LOSN>
                            <LOEN>79</LOEN>
                            <LOCN>0</LOCN>
                          </LnkInProps>
                        </LnkIn>
                      </TtlCtg>
                      <ElmtLnksOut>
                        <ElmtLnk>
                          <ElmtLnkProps>
                            <ELI>1,1,62</ELI>
                            <ELN>1</ELN>
                            <ELGN>1</ELGN>
                            <MLG>C66D9CFB-1587-4937-BDB0-53C9A1474182</MLG>
                            <ICBI>1,2</ICBI>
                            <ILBN>1,2</ILBN>
                            <LIBN>0</LIBN>
                          </ElmtLnkProps>
                        </ElmtLnk>
                      </ElmtLnksOut>
                      <ElmtLnksIn>
                        <ElmtLnk>
                          <ElmtLnkProps>
                            <ELI>1,1,62</ELI>
                            <ELN>1</ELN>
                            <ELGN>1</ELGN>
                            <MLG>ECD9E544-4B8D-4783-9147-868234392B88</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Retained Profits]]></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60,2,1,-1,0,0,FALSE,FALSE,1,62,2,1,-1,0,0,FALSE,FALSE§Z¿)]]></VOFFF>
                              </ClmnBlkPtProps>
                            </ClmnBlkPt>
                          </ClmnBlkPts>
                        </ClmnBlk>
                      </ClmnBlks>
                      <TtlCtg>
                        <TtlCtgProps>
                          <R>3</R>
                        </TtlCtgProps>
                      </TtlCtg>
                      <ElmtLnksOut>
                        <ElmtLnk>
                          <ElmtLnkProps>
                            <ELI>1,1,63</ELI>
                            <ELN>1</ELN>
                            <ELGN>1</ELGN>
                            <MLG>72D95012-9941-4636-8EA1-927B11C79392</MLG>
                            <ICBI>1,3</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Equity]]></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A¿0,1,0,1,56,2,1,-1,0,0,FALSE,FALSE§Z¿+§A¿0,1,0,1,58,2,6,-1,0,0,FALSE,FALSE§Z¿+§A¿0,1,0,1,63,3,1,-1,0,0,FALSE,FALSE§Z¿]]></VOFFF>
                              </ClmnBlkPtProps>
                            </ClmnBlkPt>
                          </ClmnBlkPts>
                        </ClmnBlk>
                      </ClmnBlks>
                      <TtlCtg>
                        <TtlCtgProps>
                          <R>3</R>
                        </TtlCtgProps>
                      </TtlCtg>
                      <ElmtLnksOut>
                        <ElmtLnk>
                          <ElmtLnkProps>
                            <ELI>1,1,65</ELI>
                            <ELN>1</ELN>
                            <ELGN>1</ELGN>
                            <MLG>777DFA06-FB86-4EEE-9CCD-CE4BD3407FE4</MLG>
                            <ICBI>1,2</ICBI>
                            <ILBN>1,2</ILBN>
                            <LIBN>0</LIBN>
                          </ElmtLnkProps>
                        </ElmtLnk>
                      </ElmtLnksOut>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ISERROR(§A¿0,1,0,1,54,2,1,-1,0,0,FALSE,FALSE§Z¿-§A¿0,1,0,1,65,2,1,-1,0,0,FALSE,FALSE§Z¿),1,0)]]></VOFFF>
                              </ClmnBlkPtProps>
                              <FmtCnds>
                                <FmtCnd>
                                  <FmtCndProps>
                                    <CBPLI>1,1,67,2,1</CBPLI>
                                    <FCN>1</FCN>
                                    <FCT>1</FCT>
                                    <FCO>4</FCO>
                                    <F1FFF><![CDATA[=0]]></F1FFF>
                                    <F2FFF/>
                                    <SIT>False</SIT>
                                    <BSV>True</BSV>
                                    <BCT>0</BCT>
                                    <CNBCN>0</CNBCN>
                                    <BTAS>0</BTAS>
                                    <IST>1</IST>
                                    <RO>False</RO>
                                    <SIO>False</SIO>
                                    <TO>0</TO>
                                    <TS/>
                                    <DO>1</DO>
                                    <TB>1</TB>
                                    <R>10</R>
                                    <P>False</P>
                                    <AB>0</AB>
                                    <NSD>1</NSD>
                                    <DU>1</DU>
                                    <INF>False</INF>
                                    <NT>0</NT>
                                    <DP>0</DP>
                                    <CNF/>
                                  </FmtCndProps>
                                  <FntOvly>
                                    <FntOvlyProps>
                                      <PT>2</PT>
                                      <SON>0</SON>
                                      <CBPLI>1,1,67,2,1</CBPLI>
                                      <FCN>1</FCN>
                                      <CN>0</CN>
                                      <IB>True</IB>
                                      <IC>True</IC>
                                      <B>True</B>
                                      <CT>2</CT>
                                      <CNU>3</CNU>
                                      <CPR>0</CPR>
                                      <TAS>0</TAS>
                                    </FntOvlyProps>
                                  </FntOvly>
                                </FmtCnd>
                              </FmtCnds>
                            </ClmnBlkPt>
                          </ClmnBlkPts>
                        </ClmnBlk>
                      </ClmnBlk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67,2,1,-1,0,0,FALSE,FALSE§Z¿<>0,0,(ROUND(§A¿0,1,0,1,54,2,1,-1,0,0,FALSE,FALSE§Z¿-§A¿0,1,0,1,65,2,1,-1,0,0,FALSE,FALSE§Z¿,5)<>0)*1)]]></VOFFF>
                              </ClmnBlkPtProps>
                              <FmtCnds>
                                <FmtCnd>
                                  <FmtCndProps>
                                    <CBPLI>1,1,68,2,1</CBPLI>
                                    <FCN>1</FCN>
                                    <FCT>1</FCT>
                                    <FCO>4</FCO>
                                    <F1FFF><![CDATA[=0]]></F1FFF>
                                    <F2FFF/>
                                    <SIT>False</SIT>
                                    <BSV>True</BSV>
                                    <BCT>0</BCT>
                                    <CNBCN>0</CNBCN>
                                    <BTAS>0</BTAS>
                                    <IST>1</IST>
                                    <RO>False</RO>
                                    <SIO>False</SIO>
                                    <TO>0</TO>
                                    <TS/>
                                    <DO>1</DO>
                                    <TB>1</TB>
                                    <R>10</R>
                                    <P>False</P>
                                    <AB>0</AB>
                                    <NSD>1</NSD>
                                    <DU>1</DU>
                                    <INF>False</INF>
                                    <NT>0</NT>
                                    <DP>0</DP>
                                    <CNF/>
                                  </FmtCndProps>
                                  <FntOvly>
                                    <FntOvlyProps>
                                      <PT>2</PT>
                                      <SON>0</SON>
                                      <CBPLI>1,1,68,2,1</CBPLI>
                                      <FCN>1</FCN>
                                      <CN>0</CN>
                                      <IB>True</IB>
                                      <IC>True</IC>
                                      <B>True</B>
                                      <CT>2</CT>
                                      <CNU>3</CNU>
                                      <CPR>0</CPR>
                                      <TAS>0</TAS>
                                    </FntOvlyProps>
                                  </FntOvly>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2</SON>
                                <VOFFF><![CDATA[=IF(ISERROR(SUM(§A¿0,1,1,1,69,3,1,0,0,0,FALSE,FALSE,1,69,3,1,0,1,0,FALSE,FALSE§Z¿)),1,MIN(SUM(§A¿0,1,1,1,69,3,1,0,0,0,FALSE,FALSE,1,69,3,1,0,1,0,FALSE,FALSE§Z¿),1))]]></VOFFF>
                              </ClmnBlkPtProps>
                              <Chk>
                                <ChkProps>
                                  <CBPLI>1,1,69,2,1</CBPLI>
                                  <CT>0</CT>
                                  <CN>1</CN>
                                  <HST>1</HST>
                                  <CHT/>
                                  <HCBPLI>1,1,2,1,1</HCBPLI>
                                </ChkProps>
                              </Chk>
                              <Cmts>
                                <Cmt>
                                  <CmtProps>
                                    <CBPLI>1,1,69,2,1</CBPLI>
                                    <WRN>1</WRN>
                                    <ERT>5</ERT>
                                    <COSTN>0</COSTN>
                                    <OC>0</OC>
                                    <HT><![CDATA[Error Check]]></HT>
                                    <HFS>0</HFS>
                                    <BT><![CDATA[Flags the existence of errors.]]></BT>
                                    <BFS>0</BFS>
                                    <H>124</H>
                                    <W>128</W>
                                  </CmtProps>
                                </Cmt>
                              </Cmts>
                              <FmtCnds>
                                <FmtCnd>
                                  <FmtCndProps>
                                    <CBPLI>1,1,69,2,1</CBPLI>
                                    <FCN>1</FCN>
                                    <FCT>1</FCT>
                                    <FCO>4</FCO>
                                    <F1FFF><![CDATA[=0]]></F1FFF>
                                    <F2FFF/>
                                    <SIT>False</SIT>
                                    <BSV>True</BSV>
                                    <BCT>0</BCT>
                                    <CNBCN>0</CNBCN>
                                    <BTAS>0</BTAS>
                                    <IST>1</IST>
                                    <RO>False</RO>
                                    <SIO>False</SIO>
                                    <TO>0</TO>
                                    <TS/>
                                    <DO>1</DO>
                                    <TB>1</TB>
                                    <R>10</R>
                                    <P>False</P>
                                    <AB>0</AB>
                                    <NSD>1</NSD>
                                    <DU>1</DU>
                                    <INF>False</INF>
                                    <NT>0</NT>
                                    <DP>0</DP>
                                    <CNF/>
                                  </FmtCndProps>
                                  <FntOvly>
                                    <FntOvlyProps>
                                      <PT>2</PT>
                                      <SON>0</SON>
                                      <CBPLI>1,1,69,2,1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1</SON>
                                <VOFFF><![CDATA[=MIN(SUM(§A¿0,1,1,1,67,2,1,-1,0,0,FALSE,FALSE,1,68,2,1,-1,0,0,FALSE,FALSE§Z¿),1)]]></VOFFF>
                              </ClmnBlkPtProps>
                              <FmtCnds>
                                <FmtCnd>
                                  <FmtCndProps>
                                    <CBPLI>1,1,69,3,1</CBPLI>
                                    <FCN>1</FCN>
                                    <FCT>1</FCT>
                                    <FCO>4</FCO>
                                    <F1FFF><![CDATA[=0]]></F1FFF>
                                    <F2FFF/>
                                    <SIT>False</SIT>
                                    <BSV>True</BSV>
                                    <BCT>0</BCT>
                                    <CNBCN>0</CNBCN>
                                    <BTAS>0</BTAS>
                                    <IST>1</IST>
                                    <RO>False</RO>
                                    <SIO>False</SIO>
                                    <TO>0</TO>
                                    <TS/>
                                    <DO>1</DO>
                                    <TB>1</TB>
                                    <R>10</R>
                                    <P>False</P>
                                    <AB>0</AB>
                                    <NSD>1</NSD>
                                    <DU>1</DU>
                                    <INF>False</INF>
                                    <NT>0</NT>
                                    <DP>0</DP>
                                    <CNF/>
                                  </FmtCndProps>
                                  <FntOvly>
                                    <FntOvlyProps>
                                      <PT>2</PT>
                                      <SON>0</SON>
                                      <CBPLI>1,1,69,3,1</CBPLI>
                                      <FCN>1</FCN>
                                      <CN>0</CN>
                                      <IB>True</IB>
                                      <IC>True</IC>
                                      <B>True</B>
                                      <CT>2</CT>
                                      <CNU>3</CNU>
                                      <CPR>0</CPR>
                                      <TAS>0</TAS>
                                    </FntOvlyProps>
                                  </FntOvly>
                                </FmtCnd>
                              </FmtCnds>
                            </ClmnBlkPt>
                          </ClmnBlkPts>
                        </ClmnBlk>
                      </ClmnBlks>
                      <TtlCtg>
                        <TtlCtgProps>
                          <R>3</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ert Check (Negative Cash)]]></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2</SON>
                                <VOFFF><![CDATA[=IF(ISERROR(SUM(§A¿0,1,1,1,71,3,1,0,0,0,FALSE,FALSE,1,71,3,1,0,1,0,FALSE,FALSE§Z¿)),1,MIN(SUM(§A¿0,1,1,1,71,3,1,0,0,0,FALSE,FALSE,1,71,3,1,0,1,0,FALSE,FALSE§Z¿),1))]]></VOFFF>
                              </ClmnBlkPtProps>
                              <Chk>
                                <ChkProps>
                                  <CBPLI>1,1,71,2,1</CBPLI>
                                  <CT>2</CT>
                                  <CN>1</CN>
                                  <HST>1</HST>
                                  <CHT/>
                                  <HCBPLI>1,1,2,1,1</HCBPLI>
                                </ChkProps>
                              </Chk>
                              <Cmts>
                                <Cmt>
                                  <CmtProps>
                                    <CBPLI>1,1,71,2,1</CBPLI>
                                    <WRN>1</WRN>
                                    <ERT>5</ERT>
                                    <COSTN>0</COSTN>
                                    <OC>0</OC>
                                    <HT><![CDATA[Alert Check]]></HT>
                                    <HFS>0</HFS>
                                    <BT><![CDATA[Flags the occurrence of designated events.]]></BT>
                                    <BFS>0</BFS>
                                    <H>54</H>
                                    <W>128</W>
                                  </CmtProps>
                                </Cmt>
                              </Cmts>
                              <FmtCnds>
                                <FmtCnd>
                                  <FmtCndProps>
                                    <CBPLI>1,1,71,2,1</CBPLI>
                                    <FCN>1</FCN>
                                    <FCT>1</FCT>
                                    <FCO>4</FCO>
                                    <F1FFF><![CDATA[=0]]></F1FFF>
                                    <F2FFF/>
                                    <SIT>False</SIT>
                                    <BSV>True</BSV>
                                    <BCT>0</BCT>
                                    <CNBCN>0</CNBCN>
                                    <BTAS>0</BTAS>
                                    <IST>1</IST>
                                    <RO>False</RO>
                                    <SIO>False</SIO>
                                    <TO>0</TO>
                                    <TS/>
                                    <DO>1</DO>
                                    <TB>1</TB>
                                    <R>10</R>
                                    <P>False</P>
                                    <AB>0</AB>
                                    <NSD>1</NSD>
                                    <DU>1</DU>
                                    <INF>False</INF>
                                    <NT>0</NT>
                                    <DP>0</DP>
                                    <CNF/>
                                  </FmtCndProps>
                                  <FntOvly>
                                    <FntOvlyProps>
                                      <PT>2</PT>
                                      <SON>0</SON>
                                      <CBPLI>1,1,71,2,1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ISERROR(§A¿0,1,0,1,6,3,1,-1,0,0,FALSE,FALSE§Z¿),0,(§A¿0,1,0,1,6,3,1,-1,0,0,FALSE,FALSE§Z¿<0)*1)]]></VOFFF>
                              </ClmnBlkPtProps>
                              <FmtCnds>
                                <FmtCnd>
                                  <FmtCndProps>
                                    <CBPLI>1,1,71,3,1</CBPLI>
                                    <FCN>1</FCN>
                                    <FCT>1</FCT>
                                    <FCO>4</FCO>
                                    <F1FFF><![CDATA[=0]]></F1FFF>
                                    <F2FFF/>
                                    <SIT>False</SIT>
                                    <BSV>True</BSV>
                                    <BCT>0</BCT>
                                    <CNBCN>0</CNBCN>
                                    <BTAS>0</BTAS>
                                    <IST>1</IST>
                                    <RO>False</RO>
                                    <SIO>False</SIO>
                                    <TO>0</TO>
                                    <TS/>
                                    <DO>1</DO>
                                    <TB>1</TB>
                                    <R>10</R>
                                    <P>False</P>
                                    <AB>0</AB>
                                    <NSD>1</NSD>
                                    <DU>1</DU>
                                    <INF>False</INF>
                                    <NT>0</NT>
                                    <DP>0</DP>
                                    <CNF/>
                                  </FmtCndProps>
                                  <FntOvly>
                                    <FntOvlyProps>
                                      <PT>2</PT>
                                      <SON>0</SON>
                                      <CBPLI>1,1,71,3,1</CBPLI>
                                      <FCN>1</FCN>
                                      <CN>0</CN>
                                      <IB>True</IB>
                                      <IC>True</IC>
                                      <B>True</B>
                                      <CT>2</CT>
                                      <CNU>3</CNU>
                                      <CPR>0</CPR>
                                      <TAS>0</TAS>
                                    </FntOvlyProps>
                                  </FntOvly>
                                </FmtCnd>
                              </FmtCnds>
                            </ClmnBlkPt>
                          </ClmnBlkPts>
                        </ClmnBlk>
                      </ClmnBlks>
                      <TtlCtg>
                        <TtlCtgProps>
                          <R>3</R>
                        </TtlCtgProps>
                      </TtlCtg>
                    </Elmt>
                  </Elmts>
                </Sect>
              </Sects>
            </ModComp>
          </ModComps>
        </Mod>
        <Mod>
          <ModProps>
            <MVS>14.0.5.0</MVS>
            <RAV/>
            <RXV>0</RXV>
            <FV>3</FV>
            <MT>0</MT>
            <SCT>-1</SCT>
            <P><![CDATA[CFS]]></P>
            <OI>400</OI>
            <MN>0</MN>
            <MAG>A2CD815D-CA75-43CF-B069-ED711E1EF923</MAG>
            <BN><![CDATA[Cash Flow Statement]]></BN>
            <N><![CDATA[Cash Flow Statement]]></N>
            <TS><![CDATA[Monthly]]></TS>
            <D><![CDATA[Provides an analysis of the cash flows of a business over a number of time series periods, showing how changes in income statement and balance sheet accounts affect cash and cash equivalents.]]></D>
            <FS><![CDATA[Allows for operating, investing and financing cash flows included within the Modano generic financial model Chart of Accounts 2, including VAT cash flows.]]></FS>
            <R><![CDATA[United Kingdom]]></R>
            <GE><![CDATA[Cash Flow Statement]]></GE>
            <CA><![CDATA[Chart of Accounts 2]]></CA>
            <VA><![CDATA[Single Component]]></VA>
            <GST><![CDATA[VAT]]></GST>
            <DE><![CDATA[Modano]]></DE>
            <E><![CDATA[info@modano.com]]></E>
            <C><![CDATA[Modano]]></C>
            <W><![CDATA[www.modano.com]]></W>
            <K/>
            <CO/>
            <V>10.10.6.0.</V>
            <AX>2</AX>
            <SX/>
            <PMLO>False</PMLO>
            <IPMLO>False</IPMLO>
            <MACA>0</MACA>
            <HP>False</HP>
            <DR>False</DR>
            <RTSM>True</RTSM>
            <CC>True</CC>
            <X>False</X>
            <G>FAD2B9EE-21B1-4347-A50F-C55172316FA5</G>
          </ModProps>
          <RowStgs>
            <RowStg>
              <RowStgProps>
                <RSN>1</RSN>
                <RHST>1</RHST>
                <HS>50</HS>
                <OL>3</OL>
                <RH>False</RH>
              </RowStgProps>
            </RowStg>
            <RowStg>
              <RowStgProps>
                <RSN>2</RSN>
                <RHST>0</RHST>
                <HS>0</HS>
                <OL>3</OL>
                <RH>False</RH>
              </RowStgProps>
            </RowStg>
            <RowStg>
              <RowStgProps>
                <RSN>3</RSN>
                <RHST>0</RHST>
                <HS>0</HS>
                <OL>2</OL>
                <RH>False</RH>
              </RowStgProps>
            </RowStg>
            <RowStg>
              <RowStgProps>
                <RSN>4</RSN>
                <RHST>1</RHST>
                <HS>50</HS>
                <OL>2</OL>
                <RH>False</RH>
              </RowStgProps>
            </RowStg>
            <RowStg>
              <RowStgProps>
                <RSN>5</RSN>
                <RHST>0</RHST>
                <HS>0</HS>
                <OL>3</OL>
                <RH>True</RH>
              </RowStgProps>
            </RowStg>
          </RowStgs>
          <StlOvlys>
            <StlOvly>
              <StlOvlyProps>
                <SON>1</SON>
              </StlOvlyProps>
              <BdrOvlys>
                <BdrOvly>
                  <BdrOvlyProps>
                    <PT>1</PT>
                    <SON>1</SON>
                    <CBPLI/>
                    <FCN>0</FCN>
                    <I>True</I>
                    <BI>9</BI>
                    <LS>1</LS>
                    <W>2</W>
                  </BdrOvlyProps>
                </BdrOvly>
              </BdrOvlys>
            </StlOvly>
            <StlOvly>
              <StlOvlyProps>
                <SON>2</SON>
              </StlOvlyProps>
              <FntOvly>
                <FntOvlyProps>
                  <PT>1</PT>
                  <SON>2</SON>
                  <CBPLI>0,0,0,0,0</CBPLI>
                  <FCN>0</FCN>
                  <CN>0</CN>
                  <IB>True</IB>
                  <B>True</B>
                </FntOvlyProps>
              </FntOvly>
              <BdrOvlys>
                <BdrOvly>
                  <BdrOvlyProps>
                    <PT>1</PT>
                    <SON>2</SON>
                    <CBPLI/>
                    <FCN>0</FCN>
                    <I>True</I>
                    <BI>8</BI>
                    <LS>1</LS>
                    <W>2</W>
                  </BdrOvlyProps>
                </BdrOvly>
                <BdrOvly>
                  <BdrOvlyProps>
                    <PT>1</PT>
                    <SON>2</SON>
                    <CBPLI/>
                    <FCN>0</FCN>
                    <I>True</I>
                    <BI>9</BI>
                    <LS>1</LS>
                    <W>2</W>
                  </BdrOvlyProps>
                </BdrOvly>
              </BdrOvlys>
            </StlOvly>
            <StlOvly>
              <StlOvlyProps>
                <SON>3</SON>
              </StlOvlyProps>
              <FntOvly>
                <FntOvlyProps>
                  <PT>1</PT>
                  <SON>3</SON>
                  <CBPLI>0,0,0,0,0</CBPLI>
                  <FCN>0</FCN>
                  <CN>0</CN>
                  <IB>True</IB>
                  <B>True</B>
                </FntOvlyProps>
              </FntOvly>
              <BdrOvlys>
                <BdrOvly>
                  <BdrOvlyProps>
                    <PT>1</PT>
                    <SON>3</SON>
                    <CBPLI/>
                    <FCN>0</FCN>
                    <I>True</I>
                    <BI>8</BI>
                    <LS>1</LS>
                    <W>2</W>
                  </BdrOvlyProps>
                </BdrOvly>
                <BdrOvly>
                  <BdrOvlyProps>
                    <PT>1</PT>
                    <SON>3</SON>
                    <CBPLI/>
                    <FCN>0</FCN>
                    <I>True</I>
                    <BI>9</BI>
                    <LS>-4119</LS>
                    <W>4</W>
                  </BdrOvlyProps>
                </BdrOvly>
              </BdrOvlys>
            </StlOvly>
            <StlOvly>
              <StlOvlyProps>
                <SON>4</SON>
                <INF>True</INF>
                <NT>0</NT>
                <DP>0</DP>
                <CNF/>
              </StlOvlyProps>
            </StlOvly>
            <StlOvly>
              <StlOvlyProps>
                <SON>5</SON>
                <INF>True</INF>
                <NT>0</NT>
                <DP>0</DP>
                <CNF/>
              </StlOvlyProps>
              <BdrOvlys>
                <BdrOvly>
                  <BdrOvlyProps>
                    <PT>1</PT>
                    <SON>5</SON>
                    <CBPLI/>
                    <FCN>0</FCN>
                    <I>True</I>
                    <BI>9</BI>
                    <LS>-4115</LS>
                    <W>2</W>
                  </BdrOvlyProps>
                </BdrOvly>
              </BdrOvlys>
            </StlOvly>
            <StlOvly>
              <StlOvlyProps>
                <SON>6</SON>
                <INF>True</INF>
                <NT>0</NT>
                <DP>0</DP>
                <CNF><![CDATA[_(#,##0.0_);(#,##0.0);_-"-"_-]]></CNF>
              </StlOvlyProps>
            </StlOvly>
            <StlOvly>
              <StlOvlyProps>
                <SON>7</SON>
                <INF>True</INF>
                <NT>0</NT>
                <DP>0</DP>
                <CNF><![CDATA[_(#,##0.0_);(#,##0.0);_-"-"_-]]></CNF>
              </StlOvlyProps>
              <FntOvly>
                <FntOvlyProps>
                  <PT>1</PT>
                  <SON>7</SON>
                  <CBPLI>0,0,0,0,0</CBPLI>
                  <FCN>0</FCN>
                  <CN>0</CN>
                  <IB>True</IB>
                  <B>True</B>
                </FntOvlyProps>
              </FntOvly>
              <BdrOvlys>
                <BdrOvly>
                  <BdrOvlyProps>
                    <PT>1</PT>
                    <SON>7</SON>
                    <CBPLI/>
                    <FCN>0</FCN>
                    <I>True</I>
                    <BI>10</BI>
                    <LS>1</LS>
                    <W>2</W>
                  </BdrOvlyProps>
                </BdrOvly>
              </BdrOvlys>
            </StlOvly>
            <StlOvly>
              <StlOvlyProps>
                <SON>8</SON>
              </StlOvlyProps>
              <BdrOvlys>
                <BdrOvly>
                  <BdrOvlyProps>
                    <PT>1</PT>
                    <SON>8</SON>
                    <CBPLI/>
                    <FCN>0</FCN>
                    <I>True</I>
                    <BI>9</BI>
                    <LS>-4115</LS>
                    <W>2</W>
                  </BdrOvlyProps>
                </BdrOvly>
              </BdrOvlys>
            </StlOvly>
            <StlOvly>
              <StlOvlyProps>
                <SON>9</SON>
              </StlOvlyProps>
              <FntOvly>
                <FntOvlyProps>
                  <PT>1</PT>
                  <SON>9</SON>
                  <CBPLI>0,0,0,0,0</CBPLI>
                  <FCN>0</FCN>
                  <CN>0</CN>
                  <IB>True</IB>
                  <B>True</B>
                </FntOvlyProps>
              </FntOvly>
              <BdrOvlys>
                <BdrOvly>
                  <BdrOvlyProps>
                    <PT>1</PT>
                    <SON>9</SON>
                    <CBPLI/>
                    <FCN>0</FCN>
                    <I>True</I>
                    <BI>8</BI>
                    <LS>1</LS>
                    <W>2</W>
                  </BdrOvlyProps>
                </BdrOvly>
              </BdrOvlys>
            </StlOvly>
            <StlOvly>
              <StlOvlyProps>
                <SON>10</SON>
              </StlOvlyProps>
              <FntOvly>
                <FntOvlyProps>
                  <PT>1</PT>
                  <SON>10</SON>
                  <CBPLI>0,0,0,0,0</CBPLI>
                  <FCN>0</FCN>
                  <CN>0</CN>
                  <IB>True</IB>
                  <B>True</B>
                </FntOvlyProps>
              </FntOvly>
              <BdrOvlys>
                <BdrOvly>
                  <BdrOvlyProps>
                    <PT>1</PT>
                    <SON>10</SON>
                    <CBPLI/>
                    <FCN>0</FCN>
                    <I>True</I>
                    <BI>8</BI>
                    <LS>1</LS>
                    <W>2</W>
                  </BdrOvlyProps>
                </BdrOvly>
              </BdrOvlys>
              <IntOvly>
                <IntOvlyProps>
                  <PT>1</PT>
                  <SON>10</SON>
                  <CBPLI/>
                  <FCN>0</FCN>
                  <IC>True</IC>
                </IntOvlyProps>
              </IntOvly>
            </StlOvly>
            <StlOvly>
              <StlOvlyProps>
                <SON>11</SON>
              </StlOvlyProps>
              <FntOvly>
                <FntOvlyProps>
                  <PT>1</PT>
                  <SON>11</SON>
                  <CBPLI>0,0,0,0,0</CBPLI>
                  <FCN>0</FCN>
                  <CN>0</CN>
                  <IB>True</IB>
                  <B>False</B>
                </FntOvlyProps>
              </FntOvly>
            </StlOvly>
          </StlOvlys>
          <ElmtsGrps>
            <ElmtsGrp>
              <ElmtsGrpProps>
                <NU>1</NU>
                <NA><![CDATA[Revenue]]></NA>
                <EGT>0</EGT>
                <DCC>6</DCC>
                <AST>True</AST>
                <ISTH>True</ISTH>
                <PTMCN>0</PTMCN>
                <PTBN>0</PTBN>
                <PTBI>0</PTBI>
                <GLN/>
                <CLOT>0</CLOT>
                <CLIT>0</CLIT>
                <PMLO>0</PMLO>
                <IPMLO>0</IPMLO>
              </ElmtsGrpProps>
            </ElmtsGrp>
            <ElmtsGrp>
              <ElmtsGrpProps>
                <NU>2</NU>
                <NA><![CDATA[Decrease in Debtors]]></NA>
                <EGT>0</EGT>
                <DCC>3</DCC>
                <AST>True</AST>
                <ISTH>True</ISTH>
                <PTMCN>0</PTMCN>
                <PTBN>0</PTBN>
                <PTBI>0</PTBI>
                <GLN/>
                <CLOT>0</CLOT>
                <CLIT>0</CLIT>
                <PMLO>0</PMLO>
                <IPMLO>0</IPMLO>
              </ElmtsGrpProps>
            </ElmtsGrp>
            <ElmtsGrp>
              <ElmtsGrpProps>
                <NU>3</NU>
                <NA><![CDATA[Other Cash Receipts]]></NA>
                <EGT>0</EGT>
                <DCC>1</DCC>
                <AST>True</AST>
                <ISTH>True</ISTH>
                <PTMCN>0</PTMCN>
                <PTBN>0</PTBN>
                <PTBI>0</PTBI>
                <GLN/>
                <CLOT>0</CLOT>
                <CLIT>0</CLIT>
                <PMLO>0</PMLO>
                <IPMLO>0</IPMLO>
              </ElmtsGrpProps>
            </ElmtsGrp>
            <ElmtsGrp>
              <ElmtsGrpProps>
                <NU>4</NU>
                <NA><![CDATA[Cost of Goods Sold]]></NA>
                <EGT>0</EGT>
                <DCC>6</DCC>
                <AST>True</AST>
                <ISTH>True</ISTH>
                <PTMCN>0</PTMCN>
                <PTBN>0</PTBN>
                <PTBI>0</PTBI>
                <GLN/>
                <CLOT>0</CLOT>
                <CLIT>0</CLIT>
                <PMLO>0</PMLO>
                <IPMLO>0</IPMLO>
              </ElmtsGrpProps>
            </ElmtsGrp>
            <ElmtsGrp>
              <ElmtsGrpProps>
                <NU>5</NU>
                <NA><![CDATA[Operating Expenditure]]></NA>
                <EGT>0</EGT>
                <DCC>6</DCC>
                <AST>True</AST>
                <ISTH>True</ISTH>
                <PTMCN>0</PTMCN>
                <PTBN>0</PTBN>
                <PTBI>0</PTBI>
                <GLN/>
                <CLOT>0</CLOT>
                <CLIT>0</CLIT>
                <PMLO>0</PMLO>
                <IPMLO>0</IPMLO>
              </ElmtsGrpProps>
            </ElmtsGrp>
            <ElmtsGrp>
              <ElmtsGrpProps>
                <NU>6</NU>
                <NA><![CDATA[Increase in Creditors]]></NA>
                <EGT>0</EGT>
                <DCC>3</DCC>
                <AST>True</AST>
                <ISTH>True</ISTH>
                <PTMCN>0</PTMCN>
                <PTBN>0</PTBN>
                <PTBI>0</PTBI>
                <GLN/>
                <CLOT>0</CLOT>
                <CLIT>0</CLIT>
                <PMLO>0</PMLO>
                <IPMLO>0</IPMLO>
              </ElmtsGrpProps>
            </ElmtsGrp>
            <ElmtsGrp>
              <ElmtsGrpProps>
                <NU>7</NU>
                <NA><![CDATA[Decrease in Inventory]]></NA>
                <EGT>0</EGT>
                <DCC>3</DCC>
                <AST>True</AST>
                <ISTH>True</ISTH>
                <PTMCN>0</PTMCN>
                <PTBN>0</PTBN>
                <PTBI>0</PTBI>
                <GLN/>
                <CLOT>0</CLOT>
                <CLIT>0</CLIT>
                <PMLO>0</PMLO>
                <IPMLO>0</IPMLO>
              </ElmtsGrpProps>
            </ElmtsGrp>
            <ElmtsGrp>
              <ElmtsGrpProps>
                <NU>8</NU>
                <NA><![CDATA[Other Cash Payments]]></NA>
                <EGT>0</EGT>
                <DCC>1</DCC>
                <AST>True</AST>
                <ISTH>True</ISTH>
                <PTMCN>0</PTMCN>
                <PTBN>0</PTBN>
                <PTBI>0</PTBI>
                <GLN/>
                <CLOT>0</CLOT>
                <CLIT>0</CLIT>
                <PMLO>0</PMLO>
                <IPMLO>0</IPMLO>
              </ElmtsGrpProps>
            </ElmtsGrp>
            <ElmtsGrp>
              <ElmtsGrpProps>
                <NU>9</NU>
                <NA><![CDATA[Increase in Historical Interest Payable]]></NA>
                <EGT>0</EGT>
                <DCC>3</DCC>
                <AST>True</AST>
                <ISTH>True</ISTH>
                <PTMCN>0</PTMCN>
                <PTBN>0</PTBN>
                <PTBI>0</PTBI>
                <GLN/>
                <CLOT>0</CLOT>
                <CLIT>0</CLIT>
                <PMLO>0</PMLO>
                <IPMLO>0</IPMLO>
              </ElmtsGrpProps>
            </ElmtsGrp>
            <ElmtsGrp>
              <ElmtsGrpProps>
                <NU>10</NU>
                <NA><![CDATA[Other Operating Cash Flows]]></NA>
                <EGT>0</EGT>
                <DCC>1</DCC>
                <AST>True</AST>
                <ISTH>True</ISTH>
                <PTMCN>0</PTMCN>
                <PTBN>0</PTBN>
                <PTBI>0</PTBI>
                <GLN/>
                <CLOT>0</CLOT>
                <CLIT>0</CLIT>
                <PMLO>0</PMLO>
                <IPMLO>0</IPMLO>
              </ElmtsGrpProps>
            </ElmtsGrp>
            <ElmtsGrp>
              <ElmtsGrpProps>
                <NU>11</NU>
                <NA><![CDATA[Fixed Assets Capital Expenditure]]></NA>
                <EGT>0</EGT>
                <DCC>3</DCC>
                <AST>True</AST>
                <ISTH>True</ISTH>
                <PTMCN>0</PTMCN>
                <PTBN>0</PTBN>
                <PTBI>0</PTBI>
                <GLN/>
                <CLOT>0</CLOT>
                <CLIT>0</CLIT>
                <PMLO>0</PMLO>
                <IPMLO>0</IPMLO>
              </ElmtsGrpProps>
            </ElmtsGrp>
            <ElmtsGrp>
              <ElmtsGrpProps>
                <NU>12</NU>
                <NA><![CDATA[Other Investing Cash Flows]]></NA>
                <EGT>0</EGT>
                <DCC>1</DCC>
                <AST>True</AST>
                <ISTH>True</ISTH>
                <PTMCN>0</PTMCN>
                <PTBN>0</PTBN>
                <PTBI>0</PTBI>
                <GLN/>
                <CLOT>0</CLOT>
                <CLIT>0</CLIT>
                <PMLO>0</PMLO>
                <IPMLO>0</IPMLO>
              </ElmtsGrpProps>
            </ElmtsGrp>
            <ElmtsGrp>
              <ElmtsGrpProps>
                <NU>13</NU>
                <NA><![CDATA[Debt Drawdowns]]></NA>
                <EGT>0</EGT>
                <DCC>3</DCC>
                <AST>True</AST>
                <ISTH>True</ISTH>
                <PTMCN>0</PTMCN>
                <PTBN>0</PTBN>
                <PTBI>0</PTBI>
                <GLN/>
                <CLOT>0</CLOT>
                <CLIT>0</CLIT>
                <PMLO>0</PMLO>
                <IPMLO>0</IPMLO>
              </ElmtsGrpProps>
            </ElmtsGrp>
            <ElmtsGrp>
              <ElmtsGrpProps>
                <NU>14</NU>
                <NA><![CDATA[Debt Repayments]]></NA>
                <EGT>0</EGT>
                <DCC>3</DCC>
                <AST>True</AST>
                <ISTH>True</ISTH>
                <PTMCN>0</PTMCN>
                <PTBN>0</PTBN>
                <PTBI>0</PTBI>
                <GLN/>
                <CLOT>0</CLOT>
                <CLIT>0</CLIT>
                <PMLO>0</PMLO>
                <IPMLO>0</IPMLO>
              </ElmtsGrpProps>
            </ElmtsGrp>
            <ElmtsGrp>
              <ElmtsGrpProps>
                <NU>15</NU>
                <NA><![CDATA[Other Financing Cash Flows]]></NA>
                <EGT>0</EGT>
                <DCC>1</DCC>
                <AST>True</AST>
                <ISTH>True</ISTH>
                <PTMCN>0</PTMCN>
                <PTBN>0</PTBN>
                <PTBI>0</PTBI>
                <GLN/>
                <CLOT>0</CLOT>
                <CLIT>0</CLIT>
                <PMLO>0</PMLO>
                <IPMLO>0</IPMLO>
              </ElmtsGrpProps>
            </ElmtsGrp>
            <ElmtsGrp>
              <ElmtsGrpProps>
                <NU>16</NU>
                <NA><![CDATA[Increase in Inventory Payables]]></NA>
                <EGT>0</EGT>
                <DCC>3</DCC>
                <AST>True</AST>
                <ISTH>True</ISTH>
                <PTMCN>0</PTMCN>
                <PTBN>0</PTBN>
                <PTBI>0</PTBI>
                <GLN/>
                <CLOT>0</CLOT>
                <CLIT>0</CLIT>
                <PMLO>0</PMLO>
                <IPMLO>0</IPMLO>
              </ElmtsGrpProps>
            </ElmtsGrp>
            <ElmtsGrp>
              <ElmtsGrpProps>
                <NU>17</NU>
                <NA><![CDATA[Forecast Interest Paid]]></NA>
                <EGT>0</EGT>
                <DCC>3</DCC>
                <AST>True</AST>
                <ISTH>True</ISTH>
                <PTMCN>0</PTMCN>
                <PTBN>0</PTBN>
                <PTBI>0</PTBI>
                <GLN/>
                <CLOT>0</CLOT>
                <CLIT>0</CLIT>
                <PMLO>0</PMLO>
                <IPMLO>0</IPMLO>
              </ElmtsGrpProps>
            </ElmtsGrp>
          </ElmtsGrps>
          <ModComps>
            <ModComp>
              <ModCompProps>
                <MN>6</MN>
                <MCN>1</MCN>
                <MCTK>OP</MCTK>
                <RT><![CDATA[<ModuleName>]]></RT>
                <ERN>MODMC11</ERN>
                <MCST>1</MCST>
                <IPMC>False</IPMC>
                <SN>16</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7</CTHN>
                                <ST>3</ST>
                                <VOFFF><![CDATA[<ModuleComponentTitle>]]></VOFFF>
                              </ClmnBlkPtProp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Direct Cash Flow Statement]]></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1,1,6,1,1</CBPLI>
                                    <ELN>1</ELN>
                                    <FFF><![CDATA[=§A¿10,FALSE,0,1,0,FALSE§Z¿]]></FFF>
                                  </LnkInFormProps>
                                </LnkInForm>
                              </LnkInForms>
                            </ClmnBlkPt>
                            <ClmnBlkPt>
                              <ClmnBlkPtProps>
                                <CBPT>1</CBPT>
                                <ST>6</ST>
                                <VOFFF><![CDATA[="Total "&§A¿0,1,0,1,6,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1,1,6,1</STLI>
                              <R>2</R>
                            </SubTtlHdgRowProps>
                          </SubTtlHdgRow>
                          <TtlSpcrRow>
                            <TtlSpcrRowProps>
                              <RSN>1</RSN>
                            </TtlSpcrRowProps>
                          </TtlSpcrRow>
                          <CatSpan>
                            <CatSpanProps>
                              <CC>5</CC>
                              <R>5</R>
                            </CatSpanProps>
                            <LnkIn>
                              <LnkInProps>
                                <MN>6</MN>
                                <CLI>1,1,6,False,1</CLI>
                                <ELN>1</ELN>
                                <LOOT>0</LOOT>
                                <LOMN>9</LOMN>
                                <LOMCN>4</LOMCN>
                                <LOSN>1</LOSN>
                                <LOEN>4</LOEN>
                                <LOCN>1</LOCN>
                              </LnkInProps>
                            </LnkIn>
                          </CatSpan>
                        </SubTtl>
                      </SubTtls>
                      <TtlCtg>
                        <TtlCtgProps>
                          <R>2</R>
                        </TtlCtgProps>
                        <TtlSpcrRow>
                          <TtlSpcrRowProps>
                            <RSN>1</RSN>
                          </TtlSpcrRowProps>
                        </TtlSpcrRow>
                      </TtlCtg>
                      <ElmtLnksOut>
                        <ElmtLnk>
                          <ElmtLnkProps>
                            <ELI>1,1,6</ELI>
                            <ELN>1</ELN>
                            <ELGN>1</ELGN>
                            <MLG>5E6A10DE-3A56-4D76-9307-C82657D20850</MLG>
                            <ICBI>1,2</ICBI>
                            <ILBN>1,2</ILBN>
                            <LIBN>0</LIBN>
                          </ElmtLnkProps>
                        </ElmtLnk>
                      </ElmtLnksOut>
                      <ElmtLnksIn>
                        <ElmtLnk>
                          <ElmtLnkProps>
                            <ELI>1,1,6</ELI>
                            <ELN>1</ELN>
                            <ELGN>1</ELGN>
                            <MLG>5BC5876E-4C28-4493-A230-4320A45C1EFE</MLG>
                            <ICBI>1,2</ICBI>
                            <ILBN/>
                            <LIBN>0</LIBN>
                          </ElmtLnkProps>
                        </ElmtLnk>
                      </ElmtLnksIn>
                    </Elmt>
                    <Elmt>
                      <ElmtProps>
                        <CPT>2</CPT>
                      </ElmtProps>
                      <TtlCtg>
                        <TtlCtgProps>
                          <R>1</R>
                        </TtlCtgProps>
                      </TtlCtg>
                    </Elmt>
                    <Elmt>
                      <ElmtProps>
                        <CPT>0</CPT>
                        <TOT>False</TOT>
                        <EGN>2</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1,1,8,1,1</CBPLI>
                                    <ELN>1</ELN>
                                    <FFF><![CDATA[=§A¿10,FALSE,0,1,0,FALSE§Z¿]]></FFF>
                                  </LnkInFormProps>
                                </LnkInForm>
                              </LnkInForms>
                            </ClmnBlkPt>
                            <ClmnBlkPt>
                              <ClmnBlkPtProps>
                                <CBPT>1</CBPT>
                                <ST>6</ST>
                                <VOFFF><![CDATA[="Total "&§A¿0,1,0,1,8,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crease in Debtor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1,1,8,1</STLI>
                              <R>2</R>
                            </SubTtlHdgRowProps>
                          </SubTtlHdgRow>
                          <TtlSpcrRow>
                            <TtlSpcrRowProps>
                              <RSN>1</RSN>
                            </TtlSpcrRowProps>
                          </TtlSpcrRow>
                          <Ctgs>
                            <Ctg>
                              <CtgProps>
                                <R>5</R>
                              </CtgProps>
                              <LnkIn>
                                <LnkInProps>
                                  <MN>6</MN>
                                  <CLI>1,1,8,False,1</CLI>
                                  <ELN>1</ELN>
                                  <LOOT>0</LOOT>
                                  <LOMN>33</LOMN>
                                  <LOMCN>1</LOMCN>
                                  <LOSN>3</LOSN>
                                  <LOEN>10</LOEN>
                                  <LOCN>1</LOCN>
                                </LnkInProps>
                              </LnkIn>
                            </Ctg>
                          </Ctgs>
                        </SubTtl>
                      </SubTtls>
                      <TtlCtg>
                        <TtlCtgProps>
                          <R>2</R>
                        </TtlCtgProps>
                        <TtlSpcrRow>
                          <TtlSpcrRowProps>
                            <RSN>1</RSN>
                          </TtlSpcrRowProps>
                        </TtlSpcrRow>
                      </TtlCtg>
                      <ElmtLnksOut>
                        <ElmtLnk>
                          <ElmtLnkProps>
                            <ELI>1,1,8</ELI>
                            <ELN>1</ELN>
                            <ELGN>2</ELGN>
                            <MLG>1AF96CF6-91F3-4CAF-A226-E5F1FAB9359F</MLG>
                            <ICBI>1,2</ICBI>
                            <ILBN>1,2</ILBN>
                            <LIBN>0</LIBN>
                          </ElmtLnkProps>
                        </ElmtLnk>
                      </ElmtLnksOut>
                      <ElmtLnksIn>
                        <ElmtLnk>
                          <ElmtLnkProps>
                            <ELI>1,1,8</ELI>
                            <ELN>1</ELN>
                            <ELGN>2</ELGN>
                            <MLG>08101847-81C9-46BB-922A-14318420A471</MLG>
                            <ICBI>1,2</ICBI>
                            <ILBN/>
                            <LIBN>0</LIBN>
                          </ElmtLnkProps>
                        </ElmtLnk>
                      </ElmtLnksIn>
                    </Elmt>
                    <Elmt>
                      <ElmtProps>
                        <CPT>2</CPT>
                      </ElmtProps>
                      <TtlCtg>
                        <TtlCtgProps>
                          <R>1</R>
                        </TtlCtgProps>
                      </TtlCtg>
                    </Elmt>
                    <Elmt>
                      <ElmtProps>
                        <CPT>0</CPT>
                        <TOT>False</TOT>
                        <EGN>3</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1,1,10,1,1</CBPLI>
                                    <ELN>1</ELN>
                                    <FFF><![CDATA[=§A¿10,FALSE,0,1,0,FALSE§Z¿]]></FFF>
                                  </LnkInFormProps>
                                </LnkInForm>
                              </LnkInForms>
                            </ClmnBlkPt>
                            <ClmnBlkPt>
                              <ClmnBlkPtProps>
                                <CBPT>1</CBPT>
                                <ST>6</ST>
                                <VOFFF><![CDATA[="Total "&§A¿0,1,0,1,10,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Cash Receip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1,1,10,2,1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1,1,10,1</STLI>
                              <R>2</R>
                            </SubTtlHdgRowProps>
                          </SubTtlHdgRow>
                          <TtlSpcrRow>
                            <TtlSpcrRowProps>
                              <RSN>1</RSN>
                            </TtlSpcrRowProps>
                          </TtlSpcrRow>
                          <Ctgs>
                            <Ctg>
                              <CtgProps>
                                <R>5</R>
                              </CtgProps>
                            </Ctg>
                          </Ctgs>
                        </SubTtl>
                      </SubTtls>
                      <TtlCtg>
                        <TtlCtgProps>
                          <R>2</R>
                        </TtlCtgProps>
                        <TtlSpcrRow>
                          <TtlSpcrRowProps>
                            <RSN>1</RSN>
                          </TtlSpcrRowProps>
                        </TtlSpcrRow>
                      </TtlCtg>
                      <ElmtLnksOut>
                        <ElmtLnk>
                          <ElmtLnkProps>
                            <ELI>1,1,10</ELI>
                            <ELN>1</ELN>
                            <ELGN>3</ELGN>
                            <MLG>2D1D854F-0811-4134-8B48-B1CBC4BAC4EB</MLG>
                            <ICBI>1,2</ICBI>
                            <ILBN>1,2</ILBN>
                            <LIBN>0</LIBN>
                          </ElmtLnkProps>
                        </ElmtLnk>
                      </ElmtLnksOut>
                      <ElmtLnksIn>
                        <ElmtLnk>
                          <ElmtLnkProps>
                            <ELI>1,1,10</ELI>
                            <ELN>1</ELN>
                            <ELGN>3</ELGN>
                            <MLG>6892B486-1113-497B-8311-D1188E4FAA4F</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6,2,6,-1,0,0,FALSE,FALSE§Z¿+§A¿0,1,0,1,8,2,6,-1,0,0,FALSE,FALSE§Z¿+§A¿0,1,0,1,10,2,6,-1,0,0,FALSE,FALSE§Z¿]]></VOFFF>
                              </ClmnBlkPtProps>
                            </ClmnBlkPt>
                          </ClmnBlkPts>
                        </ClmnBlk>
                      </ClmnBlks>
                      <TtlCtg>
                        <TtlCtgProps>
                          <R>3</R>
                        </TtlCtgProps>
                      </TtlCtg>
                      <ElmtLnksOut>
                        <ElmtLnk>
                          <ElmtLnkProps>
                            <ELI>1,1,12</ELI>
                            <ELN>1</ELN>
                            <ELGN>4</ELGN>
                            <MLG>5F32D447-919E-4DCA-95D4-58483EE857FE</MLG>
                            <ICBI>1,2</ICBI>
                            <ILBN>1,2</ILBN>
                            <LIBN>0</LIBN>
                          </ElmtLnkProps>
                        </ElmtLnk>
                      </ElmtLnksOut>
                    </Elmt>
                    <Elmt>
                      <ElmtProps>
                        <CPT>2</CPT>
                      </ElmtProps>
                      <TtlCtg>
                        <TtlCtgProps>
                          <R>1</R>
                        </TtlCtgProps>
                      </TtlCtg>
                    </Elmt>
                    <Elmt>
                      <ElmtProps>
                        <CPT>0</CPT>
                        <TOT>False</TOT>
                        <EGN>4</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1,1,14,1,1</CBPLI>
                                    <ELN>1</ELN>
                                    <FFF><![CDATA[=§A¿10,FALSE,0,1,0,FALSE§Z¿]]></FFF>
                                  </LnkInFormProps>
                                </LnkInForm>
                              </LnkInForms>
                            </ClmnBlkPt>
                            <ClmnBlkPt>
                              <ClmnBlkPtProps>
                                <CBPT>1</CBPT>
                                <ST>6</ST>
                                <VOFFF><![CDATA[="Total "&§A¿0,1,0,1,14,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1,1,14,1</STLI>
                              <R>2</R>
                            </SubTtlHdgRowProps>
                          </SubTtlHdgRow>
                          <TtlSpcrRow>
                            <TtlSpcrRowProps>
                              <RSN>1</RSN>
                            </TtlSpcrRowProps>
                          </TtlSpcrRow>
                          <CatSpan>
                            <CatSpanProps>
                              <CC>3</CC>
                              <R>5</R>
                            </CatSpanProps>
                            <LnkIn>
                              <LnkInProps>
                                <MN>6</MN>
                                <CLI>1,1,14,False,1</CLI>
                                <ELN>1</ELN>
                                <LOOT>0</LOOT>
                                <LOMN>15</LOMN>
                                <LOMCN>4</LOMCN>
                                <LOSN>1</LOSN>
                                <LOEN>4</LOEN>
                                <LOCN>1</LOCN>
                              </LnkInProps>
                            </LnkIn>
                          </CatSpan>
                        </SubTtl>
                      </SubTtls>
                      <TtlCtg>
                        <TtlCtgProps>
                          <R>2</R>
                        </TtlCtgProps>
                        <TtlSpcrRow>
                          <TtlSpcrRowProps>
                            <RSN>1</RSN>
                          </TtlSpcrRowProps>
                        </TtlSpcrRow>
                      </TtlCtg>
                      <ElmtLnksOut>
                        <ElmtLnk>
                          <ElmtLnkProps>
                            <ELI>1,1,14</ELI>
                            <ELN>1</ELN>
                            <ELGN>5</ELGN>
                            <MLG>5969D340-77B8-4C16-9063-D39A7F3CEF19</MLG>
                            <ICBI>1,2</ICBI>
                            <ILBN>1,2</ILBN>
                            <LIBN>0</LIBN>
                          </ElmtLnkProps>
                        </ElmtLnk>
                      </ElmtLnksOut>
                      <ElmtLnksIn>
                        <ElmtLnk>
                          <ElmtLnkProps>
                            <ELI>1,1,14</ELI>
                            <ELN>1</ELN>
                            <ELGN>4</ELGN>
                            <MLG>5C860D93-DDC3-4B7A-BA2B-039792DD83BD</MLG>
                            <ICBI>1,2</ICBI>
                            <ILBN/>
                            <LIBN>0</LIBN>
                          </ElmtLnkProps>
                        </ElmtLnk>
                      </ElmtLnksIn>
                    </Elmt>
                    <Elmt>
                      <ElmtProps>
                        <CPT>2</CPT>
                      </ElmtProps>
                      <TtlCtg>
                        <TtlCtgProps>
                          <R>1</R>
                        </TtlCtgProps>
                      </TtlCtg>
                    </Elmt>
                    <Elmt>
                      <ElmtProps>
                        <CPT>0</CPT>
                        <TOT>False</TOT>
                        <EGN>5</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1,1,16,1,1</CBPLI>
                                    <ELN>1</ELN>
                                    <FFF><![CDATA[=§A¿10,FALSE,0,1,0,FALSE§Z¿]]></FFF>
                                  </LnkInFormProps>
                                </LnkInForm>
                              </LnkInForms>
                            </ClmnBlkPt>
                            <ClmnBlkPt>
                              <ClmnBlkPtProps>
                                <CBPT>1</CBPT>
                                <ST>6</ST>
                                <VOFFF><![CDATA[="Total "&§A¿0,1,0,1,16,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1,1,16,1</STLI>
                              <R>2</R>
                            </SubTtlHdgRowProps>
                          </SubTtlHdgRow>
                          <TtlSpcrRow>
                            <TtlSpcrRowProps>
                              <RSN>1</RSN>
                            </TtlSpcrRowProps>
                          </TtlSpcrRow>
                          <CatSpan>
                            <CatSpanProps>
                              <CC>8</CC>
                              <R>5</R>
                            </CatSpanProps>
                            <LnkIn>
                              <LnkInProps>
                                <MN>6</MN>
                                <CLI>1,1,16,False,1</CLI>
                                <ELN>1</ELN>
                                <LOOT>0</LOOT>
                                <LOMN>19</LOMN>
                                <LOMCN>4</LOMCN>
                                <LOSN>1</LOSN>
                                <LOEN>4</LOEN>
                                <LOCN>1</LOCN>
                              </LnkInProps>
                            </LnkIn>
                          </CatSpan>
                        </SubTtl>
                      </SubTtls>
                      <TtlCtg>
                        <TtlCtgProps>
                          <R>2</R>
                        </TtlCtgProps>
                        <TtlSpcrRow>
                          <TtlSpcrRowProps>
                            <RSN>1</RSN>
                          </TtlSpcrRowProps>
                        </TtlSpcrRow>
                      </TtlCtg>
                      <ElmtLnksOut>
                        <ElmtLnk>
                          <ElmtLnkProps>
                            <ELI>1,1,16</ELI>
                            <ELN>1</ELN>
                            <ELGN>6</ELGN>
                            <MLG>2A2FA313-1418-4896-86EA-2145EC6E6A70</MLG>
                            <ICBI>1,2</ICBI>
                            <ILBN>1,2</ILBN>
                            <LIBN>0</LIBN>
                          </ElmtLnkProps>
                        </ElmtLnk>
                      </ElmtLnksOut>
                      <ElmtLnksIn>
                        <ElmtLnk>
                          <ElmtLnkProps>
                            <ELI>1,1,16</ELI>
                            <ELN>1</ELN>
                            <ELGN>5</ELGN>
                            <MLG>38F3F5CD-EA4A-45A0-BA33-D4A1343DCA30</MLG>
                            <ICBI>1,2</ICBI>
                            <ILBN/>
                            <LIBN>0</LIBN>
                          </ElmtLnkProps>
                        </ElmtLnk>
                      </ElmtLnksIn>
                    </Elmt>
                    <Elmt>
                      <ElmtProps>
                        <CPT>2</CPT>
                      </ElmtProps>
                      <TtlCtg>
                        <TtlCtgProps>
                          <R>1</R>
                        </TtlCtgProps>
                      </TtlCtg>
                    </Elmt>
                    <Elmt>
                      <ElmtProps>
                        <CPT>0</CPT>
                        <TOT>False</TOT>
                        <EGN>7</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1,1,18,1,1</CBPLI>
                                    <ELN>1</ELN>
                                    <FFF><![CDATA[=§A¿10,FALSE,0,1,0,FALSE§Z¿]]></FFF>
                                  </LnkInFormProps>
                                </LnkInForm>
                              </LnkInForms>
                            </ClmnBlkPt>
                            <ClmnBlkPt>
                              <ClmnBlkPtProps>
                                <CBPT>1</CBPT>
                                <ST>6</ST>
                                <VOFFF><![CDATA[="Total "&§A¿0,1,0,1,18,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crease in Inventory]]></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1,1,18,2,1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1,1,18,1</STLI>
                              <R>2</R>
                            </SubTtlHdgRowProps>
                          </SubTtlHdgRow>
                          <TtlSpcrRow>
                            <TtlSpcrRowProps>
                              <RSN>1</RSN>
                            </TtlSpcrRowProps>
                          </TtlSpcrRow>
                          <Ctgs>
                            <Ctg>
                              <CtgProps>
                                <R>5</R>
                              </CtgProps>
                              <LnkIn>
                                <LnkInProps>
                                  <MN>6</MN>
                                  <CLI>1,1,18,False,1</CLI>
                                  <ELN>1</ELN>
                                  <LOOT>0</LOOT>
                                  <LOMN>34</LOMN>
                                  <LOMCN>1</LOMCN>
                                  <LOSN>3</LOSN>
                                  <LOEN>10</LOEN>
                                  <LOCN>1</LOCN>
                                </LnkInProps>
                              </LnkIn>
                            </Ctg>
                          </Ctgs>
                        </SubTtl>
                      </SubTtls>
                      <TtlCtg>
                        <TtlCtgProps>
                          <R>2</R>
                        </TtlCtgProps>
                        <TtlSpcrRow>
                          <TtlSpcrRowProps>
                            <RSN>1</RSN>
                          </TtlSpcrRowProps>
                        </TtlSpcrRow>
                      </TtlCtg>
                      <ElmtLnksOut>
                        <ElmtLnk>
                          <ElmtLnkProps>
                            <ELI>1,1,18</ELI>
                            <ELN>1</ELN>
                            <ELGN>7</ELGN>
                            <MLG>1953B09E-F595-4181-A03B-A678D29D60E0</MLG>
                            <ICBI>1,2</ICBI>
                            <ILBN>1,2</ILBN>
                            <LIBN>0</LIBN>
                          </ElmtLnkProps>
                        </ElmtLnk>
                      </ElmtLnksOut>
                      <ElmtLnksIn>
                        <ElmtLnk>
                          <ElmtLnkProps>
                            <ELI>1,1,18</ELI>
                            <ELN>1</ELN>
                            <ELGN>6</ELGN>
                            <MLG>BDF9E606-635A-4BF1-BFD3-235023B5A780</MLG>
                            <ICBI>1,2</ICBI>
                            <ILBN/>
                            <LIBN>0</LIBN>
                          </ElmtLnkProps>
                        </ElmtLnk>
                      </ElmtLnksIn>
                    </Elmt>
                    <Elmt>
                      <ElmtProps>
                        <CPT>2</CPT>
                      </ElmtProps>
                      <TtlCtg>
                        <TtlCtgProps>
                          <R>1</R>
                        </TtlCtgProps>
                      </TtlCtg>
                    </Elmt>
                    <Elmt>
                      <ElmtProps>
                        <CPT>0</CPT>
                        <TOT>False</TOT>
                        <EGN>6</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1,1,20,1,1</CBPLI>
                                    <ELN>1</ELN>
                                    <FFF><![CDATA[=§A¿10,FALSE,0,1,0,FALSE§Z¿]]></FFF>
                                  </LnkInFormProps>
                                </LnkInForm>
                              </LnkInForms>
                            </ClmnBlkPt>
                            <ClmnBlkPt>
                              <ClmnBlkPtProps>
                                <CBPT>1</CBPT>
                                <ST>6</ST>
                                <VOFFF><![CDATA[="Total "&§A¿0,1,0,1,20,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Increase in Creditor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1,1,20,2,1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1,1,20,1</STLI>
                              <R>2</R>
                            </SubTtlHdgRowProps>
                          </SubTtlHdgRow>
                          <TtlSpcrRow>
                            <TtlSpcrRowProps>
                              <RSN>1</RSN>
                            </TtlSpcrRowProps>
                          </TtlSpcrRow>
                          <CatSpan>
                            <CatSpanProps>
                              <CC>2</CC>
                              <R>5</R>
                            </CatSpanProps>
                            <LnkIn>
                              <LnkInProps>
                                <MN>6</MN>
                                <CLI>1,1,20,False,1</CLI>
                                <ELN>1</ELN>
                                <LOOT>0</LOOT>
                                <LOMN>35</LOMN>
                                <LOMCN>1</LOMCN>
                                <LOSN>3</LOSN>
                                <LOEN>10</LOEN>
                                <LOCN>1</LOCN>
                              </LnkInProps>
                            </LnkIn>
                          </CatSpan>
                        </SubTtl>
                      </SubTtls>
                      <TtlCtg>
                        <TtlCtgProps>
                          <R>2</R>
                        </TtlCtgProps>
                        <TtlSpcrRow>
                          <TtlSpcrRowProps>
                            <RSN>1</RSN>
                          </TtlSpcrRowProps>
                        </TtlSpcrRow>
                      </TtlCtg>
                      <ElmtLnksOut>
                        <ElmtLnk>
                          <ElmtLnkProps>
                            <ELI>1,1,20</ELI>
                            <ELN>1</ELN>
                            <ELGN>8</ELGN>
                            <MLG>BA2FEF64-955C-4F2F-9625-28ED695D1E65</MLG>
                            <ICBI>1,2</ICBI>
                            <ILBN>1,2</ILBN>
                            <LIBN>0</LIBN>
                          </ElmtLnkProps>
                        </ElmtLnk>
                      </ElmtLnksOut>
                      <ElmtLnksIn>
                        <ElmtLnk>
                          <ElmtLnkProps>
                            <ELI>1,1,20</ELI>
                            <ELN>1</ELN>
                            <ELGN>7</ELGN>
                            <MLG>22E831F7-9203-4E8A-A39F-574408DBB469</MLG>
                            <ICBI>1,2</ICBI>
                            <ILBN/>
                            <LIBN>0</LIBN>
                          </ElmtLnkProps>
                        </ElmtLnk>
                      </ElmtLnksIn>
                    </Elmt>
                    <Elmt>
                      <ElmtProps>
                        <CPT>2</CPT>
                      </ElmtProps>
                      <TtlCtg>
                        <TtlCtgProps>
                          <R>1</R>
                        </TtlCtgProps>
                      </TtlCtg>
                    </Elmt>
                    <Elmt>
                      <ElmtProps>
                        <CPT>0</CPT>
                        <TOT>False</TOT>
                        <EGN>16</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ClmnBlkPtProps>
                              <LnkInForms>
                                <LnkInForm>
                                  <LnkInFormProps>
                                    <CBPLI>1,1,22,1,1</CBPLI>
                                    <ELN>1</ELN>
                                    <FFF><![CDATA[=§A¿10,FALSE,0,1,0,FALSE§Z¿]]></FFF>
                                  </LnkInFormProps>
                                </LnkInForm>
                              </LnkInForms>
                            </ClmnBlkPt>
                            <ClmnBlkPt>
                              <ClmnBlkPtProps>
                                <CBPT>1</CBPT>
                                <ST>6</ST>
                                <VOFFF><![CDATA[="Total "&§A¿0,1,0,1,22,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Increase in Inventory Payable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1,1,22,2,1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1,1,22,1</STLI>
                              <R>2</R>
                            </SubTtlHdgRowProps>
                          </SubTtlHdgRow>
                          <TtlSpcrRow>
                            <TtlSpcrRowProps>
                              <RSN>1</RSN>
                            </TtlSpcrRowProps>
                          </TtlSpcrRow>
                          <Ctgs>
                            <Ctg>
                              <CtgProps>
                                <R>5</R>
                              </CtgProps>
                              <LnkIn>
                                <LnkInProps>
                                  <MN>6</MN>
                                  <CLI>1,1,22,False,1</CLI>
                                  <ELN>1</ELN>
                                  <LOOT>0</LOOT>
                                  <LOMN>36</LOMN>
                                  <LOMCN>1</LOMCN>
                                  <LOSN>3</LOSN>
                                  <LOEN>10</LOEN>
                                  <LOCN>1</LOCN>
                                </LnkInProps>
                              </LnkIn>
                            </Ctg>
                          </Ctgs>
                        </SubTtl>
                      </SubTtls>
                      <TtlCtg>
                        <TtlCtgProps>
                          <R>2</R>
                        </TtlCtgProps>
                        <TtlSpcrRow>
                          <TtlSpcrRowProps>
                            <RSN>1</RSN>
                          </TtlSpcrRowProps>
                        </TtlSpcrRow>
                      </TtlCtg>
                      <ElmtLnksOut>
                        <ElmtLnk>
                          <ElmtLnkProps>
                            <ELI>1,1,22</ELI>
                            <ELN>1</ELN>
                            <ELGN>9</ELGN>
                            <MLG>65F90C28-D873-4276-9125-43817EB985EA</MLG>
                            <ICBI>1,2</ICBI>
                            <ILBN>1,2</ILBN>
                            <LIBN>0</LIBN>
                          </ElmtLnkProps>
                        </ElmtLnk>
                      </ElmtLnksOut>
                      <ElmtLnksIn>
                        <ElmtLnk>
                          <ElmtLnkProps>
                            <ELI>1,1,22</ELI>
                            <ELN>1</ELN>
                            <ELGN>8</ELGN>
                            <MLG>7629C37B-E7D0-484F-ACB0-7C94DE5E04F9</MLG>
                            <ICBI>1,2</ICBI>
                            <ILBN/>
                            <LIBN>0</LIBN>
                          </ElmtLnkProps>
                        </ElmtLnk>
                      </ElmtLnksIn>
                    </Elmt>
                    <Elmt>
                      <ElmtProps>
                        <CPT>2</CPT>
                      </ElmtProps>
                      <TtlCtg>
                        <TtlCtgProps>
                          <R>1</R>
                        </TtlCtgProps>
                      </TtlCtg>
                    </Elmt>
                    <Elmt>
                      <ElmtProps>
                        <CPT>0</CPT>
                        <TOT>False</TOT>
                        <EGN>8</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1,1,24,1,1</CBPLI>
                                    <ELN>1</ELN>
                                    <FFF><![CDATA[=§A¿10,FALSE,0,1,0,FALSE§Z¿]]></FFF>
                                  </LnkInFormProps>
                                </LnkInForm>
                              </LnkInForms>
                            </ClmnBlkPt>
                            <ClmnBlkPt>
                              <ClmnBlkPtProps>
                                <CBPT>1</CBPT>
                                <ST>6</ST>
                                <VOFFF><![CDATA[="Total "&§A¿0,1,0,1,24,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Cash Paymen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1,1,24,2,1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1,1,24,1</STLI>
                              <R>2</R>
                            </SubTtlHdgRowProps>
                          </SubTtlHdgRow>
                          <TtlSpcrRow>
                            <TtlSpcrRowProps>
                              <RSN>1</RSN>
                            </TtlSpcrRowProps>
                          </TtlSpcrRow>
                          <Ctgs>
                            <Ctg>
                              <CtgProps>
                                <R>5</R>
                              </CtgProps>
                              <LnkIn>
                                <LnkInProps>
                                  <MN>6</MN>
                                  <CLI>1,1,24,False,1</CLI>
                                  <ELN>1</ELN>
                                  <LOOT>2</LOOT>
                                  <LOMN>31</LOMN>
                                  <LOMCN>3</LOMCN>
                                  <LOSN>1</LOSN>
                                  <LOEN>6</LOEN>
                                  <LOCN>0</LOCN>
                                </LnkInProps>
                              </LnkIn>
                            </Ctg>
                            <Ctg>
                              <CtgProps>
                                <R>5</R>
                              </CtgProps>
                              <LnkIn>
                                <LnkInProps>
                                  <MN>6</MN>
                                  <CLI>1,1,24,False,2</CLI>
                                  <ELN>1</ELN>
                                  <LOOT>2</LOOT>
                                  <LOMN>52</LOMN>
                                  <LOMCN>3</LOMCN>
                                  <LOSN>1</LOSN>
                                  <LOEN>3</LOEN>
                                  <LOCN>0</LOCN>
                                </LnkInProps>
                              </LnkIn>
                            </Ctg>
                          </Ctgs>
                        </SubTtl>
                      </SubTtls>
                      <TtlCtg>
                        <TtlCtgProps>
                          <R>2</R>
                        </TtlCtgProps>
                        <TtlSpcrRow>
                          <TtlSpcrRowProps>
                            <RSN>1</RSN>
                          </TtlSpcrRowProps>
                        </TtlSpcrRow>
                      </TtlCtg>
                      <ElmtLnksOut>
                        <ElmtLnk>
                          <ElmtLnkProps>
                            <ELI>1,1,24</ELI>
                            <ELN>1</ELN>
                            <ELGN>10</ELGN>
                            <MLG>6721EFD2-1106-4B6F-9507-01FC50AE992F</MLG>
                            <ICBI>1,2</ICBI>
                            <ILBN>1,2</ILBN>
                            <LIBN>0</LIBN>
                          </ElmtLnkProps>
                        </ElmtLnk>
                      </ElmtLnksOut>
                      <ElmtLnksIn>
                        <ElmtLnk>
                          <ElmtLnkProps>
                            <ELI>1,1,24</ELI>
                            <ELN>1</ELN>
                            <ELGN>9</ELGN>
                            <MLG>EF4EE76F-B164-4D01-8D44-CBA0C0043068</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4,2,6,-1,0,0,FALSE,FALSE§Z¿+§A¿0,1,0,1,16,2,6,-1,0,0,FALSE,FALSE§Z¿+§A¿0,1,0,1,18,2,6,-1,0,0,FALSE,FALSE§Z¿+§A¿0,1,0,1,20,2,6,-1,0,0,FALSE,FALSE§Z¿+§A¿0,1,0,1,22,2,6,-1,0,0,FALSE,FALSE§Z¿+§A¿0,1,0,1,24,2,6,-1,0,0,FALSE,FALSE§Z¿]]></VOFFF>
                              </ClmnBlkPtProps>
                            </ClmnBlkPt>
                          </ClmnBlkPts>
                        </ClmnBlk>
                      </ClmnBlks>
                      <TtlCtg>
                        <TtlCtgProps>
                          <R>3</R>
                        </TtlCtgProps>
                      </TtlCtg>
                      <ElmtLnksOut>
                        <ElmtLnk>
                          <ElmtLnkProps>
                            <ELI>1,1,26</ELI>
                            <ELN>1</ELN>
                            <ELGN>4</ELGN>
                            <MLG>41096A03-BED5-4F39-B332-0A5E06ECEECF</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on Cash]]></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1,1,28,2,1</CBPLI>
                                    <ELN>1</ELN>
                                    <FFF><![CDATA[=§A¿10,FALSE,0,2,0,FALSE§Z¿]]></FFF>
                                  </LnkInFormProps>
                                </LnkInForm>
                              </LnkInForms>
                            </ClmnBlkPt>
                          </ClmnBlkPts>
                        </ClmnBlk>
                      </ClmnBlks>
                      <TtlCtg>
                        <TtlCtgProps>
                          <R>3</R>
                        </TtlCtgProps>
                        <LnkIn>
                          <LnkInProps>
                            <MN>6</MN>
                            <CLI>1,1,28,True,0</CLI>
                            <ELN>1</ELN>
                            <LOOT>2</LOOT>
                            <LOMN>47</LOMN>
                            <LOMCN>1</LOMCN>
                            <LOSN>1</LOSN>
                            <LOEN>16</LOEN>
                            <LOCN>0</LOCN>
                          </LnkInProps>
                        </LnkIn>
                      </TtlCtg>
                      <ElmtLnksOut>
                        <ElmtLnk>
                          <ElmtLnkProps>
                            <ELI>1,1,28</ELI>
                            <ELN>1</ELN>
                            <ELGN>4</ELGN>
                            <MLG>DC8796E1-E4E6-4D37-89C2-B6EA6B95070A</MLG>
                            <ICBI>1,2</ICBI>
                            <ILBN>1,2</ILBN>
                            <LIBN>0</LIBN>
                          </ElmtLnkProps>
                        </ElmtLnk>
                      </ElmtLnksOut>
                      <ElmtLnksIn>
                        <ElmtLnk>
                          <ElmtLnkProps>
                            <ELI>1,1,28</ELI>
                            <ELN>1</ELN>
                            <ELGN>10</ELGN>
                            <MLG>EDC5F79F-3412-403A-A703-B2BAA74D91AB</MLG>
                            <ICBI>2</ICBI>
                            <ILBN/>
                            <LIBN>0</LIBN>
                          </ElmtLnkProps>
                        </ElmtLnk>
                      </ElmtLnksIn>
                    </Elmt>
                    <Elmt>
                      <ElmtProps>
                        <CPT>2</CPT>
                      </ElmtProp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VAT Payable/(Receiv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1,1,30,2,1</CBPLI>
                                    <ELN>1</ELN>
                                    <FFF><![CDATA[=§A¿10,FALSE,0,2,0,FALSE§Z¿]]></FFF>
                                  </LnkInFormProps>
                                </LnkInForm>
                              </LnkInForms>
                            </ClmnBlkPt>
                          </ClmnBlkPts>
                        </ClmnBlk>
                      </ClmnBlks>
                      <TtlCtg>
                        <TtlCtgProps>
                          <R>2</R>
                        </TtlCtgProps>
                        <LnkIn>
                          <LnkInProps>
                            <MN>6</MN>
                            <CLI>1,1,30,True,0</CLI>
                            <ELN>1</ELN>
                            <LOOT>2</LOOT>
                            <LOMN>45</LOMN>
                            <LOMCN>1</LOMCN>
                            <LOSN>1</LOSN>
                            <LOEN>162</LOEN>
                            <LOCN>0</LOCN>
                          </LnkInProps>
                        </LnkIn>
                      </TtlCtg>
                      <ElmtLnksOut>
                        <ElmtLnk>
                          <ElmtLnkProps>
                            <ELI>1,1,30</ELI>
                            <ELN>1</ELN>
                            <ELGN>4</ELGN>
                            <MLG>80CF3109-6D9E-4BD9-BE0C-773EA12C1CC7</MLG>
                            <ICBI>1,2</ICBI>
                            <ILBN>1,2</ILBN>
                            <LIBN>0</LIBN>
                          </ElmtLnkProps>
                        </ElmtLnk>
                      </ElmtLnksOut>
                      <ElmtLnksIn>
                        <ElmtLnk>
                          <ElmtLnkProps>
                            <ELI>1,1,30</ELI>
                            <ELN>1</ELN>
                            <ELGN>10</ELGN>
                            <MLG>849E3C51-4FAB-4DEE-AAC1-12B1AD0AEDAF</MLG>
                            <ICBI>2</ICBI>
                            <ILBN/>
                            <LIBN>0</LIBN>
                          </ElmtLnkProps>
                        </ElmtLnk>
                      </ElmtLnksIn>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VAT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0]]></VOFFF>
                              </ClmnBlkPtProps>
                              <LnkInForms>
                                <LnkInForm>
                                  <LnkInFormProps>
                                    <CBPLI>1,1,31,2,1</CBPLI>
                                    <ELN>1</ELN>
                                    <FFF><![CDATA[=§A¿10,FALSE,0,2,0,FALSE§Z¿]]></FFF>
                                  </LnkInFormProps>
                                </LnkInForm>
                              </LnkInForms>
                            </ClmnBlkPt>
                          </ClmnBlkPts>
                        </ClmnBlk>
                      </ClmnBlks>
                      <TtlCtg>
                        <TtlCtgProps>
                          <R>2</R>
                        </TtlCtgProps>
                        <LnkIn>
                          <LnkInProps>
                            <MN>6</MN>
                            <CLI>1,1,31,True,0</CLI>
                            <ELN>1</ELN>
                            <LOOT>2</LOOT>
                            <LOMN>45</LOMN>
                            <LOMCN>1</LOMCN>
                            <LOSN>1</LOSN>
                            <LOEN>163</LOEN>
                            <LOCN>0</LOCN>
                          </LnkInProps>
                        </LnkIn>
                      </TtlCtg>
                      <ElmtLnksOut>
                        <ElmtLnk>
                          <ElmtLnkProps>
                            <ELI>1,1,31</ELI>
                            <ELN>1</ELN>
                            <ELGN>4</ELGN>
                            <MLG>09FA6A26-1DFD-4049-BA63-0F70D4714957</MLG>
                            <ICBI>1,2</ICBI>
                            <ILBN>1,2</ILBN>
                            <LIBN>0</LIBN>
                          </ElmtLnkProps>
                        </ElmtLnk>
                      </ElmtLnksOut>
                      <ElmtLnksIn>
                        <ElmtLnk>
                          <ElmtLnkProps>
                            <ELI>1,1,31</ELI>
                            <ELN>1</ELN>
                            <ELGN>10</ELGN>
                            <MLG>53EE0053-1F87-4876-AAF3-A761C2478CF8</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crease in VA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30,2,1,-1,0,0,FALSE,FALSE,1,31,2,1,-1,0,0,FALSE,FALSE§Z¿)]]></VOFFF>
                              </ClmnBlkPtProps>
                            </ClmnBlkPt>
                          </ClmnBlkPts>
                        </ClmnBlk>
                      </ClmnBlks>
                      <TtlCtg>
                        <TtlCtgProps>
                          <R>3</R>
                        </TtlCtgProps>
                      </TtlCtg>
                      <ElmtLnksOut>
                        <ElmtLnk>
                          <ElmtLnkProps>
                            <ELI>1,1,32</ELI>
                            <ELN>1</ELN>
                            <ELGN>4</ELGN>
                            <MLG>ADC1A17D-BB6C-41EF-9D3C-3E8C7B780954</MLG>
                            <ICBI>1,2</ICBI>
                            <ILBN>1,2</ILBN>
                            <LIBN>0</LIBN>
                          </ElmtLnkProps>
                        </ElmtLnk>
                      </ElmtLnksOut>
                    </Elmt>
                    <Elmt>
                      <ElmtProps>
                        <CPT>2</CPT>
                      </ElmtProps>
                      <TtlCtg>
                        <TtlCtgProps>
                          <R>1</R>
                        </TtlCtgProps>
                      </TtlCtg>
                    </Elmt>
                    <Elmt>
                      <ElmtProps>
                        <CPT>0</CPT>
                        <TOT>False</TOT>
                        <EGN>9</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y <CategoryNumber>]]></UDAV>
                              </ClmnBlkPtProps>
                              <LnkInForms>
                                <LnkInForm>
                                  <LnkInFormProps>
                                    <CBPLI>1,1,34,1,1</CBPLI>
                                    <ELN>1</ELN>
                                    <FFF><![CDATA[=§A¿10,FALSE,0,1,0,FALSE§Z¿]]></FFF>
                                  </LnkInFormProps>
                                </LnkInForm>
                              </LnkInForms>
                            </ClmnBlkPt>
                            <ClmnBlkPt>
                              <ClmnBlkPtProps>
                                <CBPT>1</CBPT>
                                <ST>6</ST>
                                <VOFFF><![CDATA[="Total "&§A¿0,1,0,1,34,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CategoriesGroup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1,1,34,2,1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1,1,34,1</STLI>
                              <R>2</R>
                            </SubTtlHdgRowProps>
                          </SubTtlHdgRow>
                          <TtlSpcrRow>
                            <TtlSpcrRowProps>
                              <RSN>1</RSN>
                            </TtlSpcrRowProps>
                          </TtlSpcrRow>
                          <Ctgs>
                            <Ctg>
                              <CtgProps>
                                <R>5</R>
                              </CtgProps>
                              <LnkIn>
                                <LnkInProps>
                                  <MN>6</MN>
                                  <CLI>1,1,34,False,1</CLI>
                                  <ELN>1</ELN>
                                  <LOOT>0</LOOT>
                                  <LOMN>41</LOMN>
                                  <LOMCN>1</LOMCN>
                                  <LOSN>1</LOSN>
                                  <LOEN>10</LOEN>
                                  <LOCN>1</LOCN>
                                </LnkInProps>
                              </LnkIn>
                            </Ctg>
                          </Ctgs>
                        </SubTtl>
                      </SubTtls>
                      <TtlCtg>
                        <TtlCtgProps>
                          <R>2</R>
                        </TtlCtgProps>
                        <TtlSpcrRow>
                          <TtlSpcrRowProps>
                            <RSN>1</RSN>
                          </TtlSpcrRowProps>
                        </TtlSpcrRow>
                      </TtlCtg>
                      <ElmtLnksOut>
                        <ElmtLnk>
                          <ElmtLnkProps>
                            <ELI>1,1,34</ELI>
                            <ELN>1</ELN>
                            <ELGN>11</ELGN>
                            <MLG>57AC5949-B20C-4A7C-88DD-EEA7D7BA63BD</MLG>
                            <ICBI>1,2</ICBI>
                            <ILBN>1,2</ILBN>
                            <LIBN>0</LIBN>
                          </ElmtLnkProps>
                        </ElmtLnk>
                      </ElmtLnksOut>
                      <ElmtLnksIn>
                        <ElmtLnk>
                          <ElmtLnkProps>
                            <ELI>1,1,34</ELI>
                            <ELN>1</ELN>
                            <ELGN>11</ELGN>
                            <MLG>F21DE62C-A26C-478B-BA81-EFAC0FE5D147</MLG>
                            <ICBI>1,2</ICBI>
                            <ILBN/>
                            <LIBN>0</LIBN>
                          </ElmtLnkProps>
                        </ElmtLnk>
                      </ElmtLnksIn>
                    </Elmt>
                    <Elmt>
                      <ElmtProps>
                        <CPT>2</CPT>
                      </ElmtProps>
                      <TtlCtg>
                        <TtlCtgProps>
                          <R>1</R>
                        </TtlCtgProps>
                      </TtlCtg>
                    </Elmt>
                    <Elmt>
                      <ElmtProps>
                        <CPT>0</CPT>
                        <TOT>False</TOT>
                        <EGN>17</EGN>
                      </ElmtProps>
                      <ClmnBlks>
                        <ClmnBlk>
                          <ClmnBlkProps>
                            <FCPT>3</FCPT>
                            <FCN>3</FCN>
                            <FCOT>0</FCOT>
                            <FCOC>0</FCOC>
                            <FCPTBMCN>4</FCPTBMCN>
                            <FCPTBN>2</FCPTBN>
                            <LCPT>3</LCPT>
                            <LCN>3</LCN>
                            <LCOT>0</LCOT>
                            <LCOC>0</LCOC>
                            <LCPTBMCN>4</LCPTBMCN>
                            <LCPTBN>2</LCPTBN>
                          </ClmnBlkProps>
                          <ClmnBlkPts>
                            <ClmnBlkPt>
                              <ClmnBlkPtProps>
                                <CBPT>0</CBPT>
                                <ST>6</ST>
                                <VOFFF><![CDATA[<CategoriesGroupName> Category <CategoryNumber>]]></VOFFF>
                                <UDAV><![CDATA[<CategoriesGroupName> Category <CategoryNumber>]]></UDAV>
                              </ClmnBlkPtProps>
                              <LnkInForms>
                                <LnkInForm>
                                  <LnkInFormProps>
                                    <CBPLI>1,1,36,1,1</CBPLI>
                                    <ELN>1</ELN>
                                    <FFF><![CDATA[=§A¿10,FALSE,0,1,0,FALSE§Z¿]]></FFF>
                                  </LnkInFormProps>
                                </LnkInForm>
                              </LnkInForms>
                            </ClmnBlkPt>
                            <ClmnBlkPt>
                              <ClmnBlkPtProps>
                                <CBPT>1</CBPT>
                                <ST>6</ST>
                                <VOFFF><![CDATA[="Total "&§A¿0,1,0,1,36,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Forecast Interest Paid]]></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1,1,36,2,1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1,1,36,1</STLI>
                              <R>2</R>
                            </SubTtlHdgRowProps>
                          </SubTtlHdgRow>
                          <TtlSpcrRow>
                            <TtlSpcrRowProps>
                              <RSN>1</RSN>
                            </TtlSpcrRowProps>
                          </TtlSpcrRow>
                          <Ctgs>
                            <Ctg>
                              <CtgProps>
                                <R>5</R>
                              </CtgProps>
                              <LnkIn>
                                <LnkInProps>
                                  <MN>6</MN>
                                  <CLI>1,1,36,False,1</CLI>
                                  <ELN>1</ELN>
                                  <LOOT>2</LOOT>
                                  <LOMN>42</LOMN>
                                  <LOMCN>1</LOMCN>
                                  <LOSN>1</LOSN>
                                  <LOEN>16</LOEN>
                                  <LOCN>0</LOCN>
                                </LnkInProps>
                              </LnkIn>
                            </Ctg>
                            <Ctg>
                              <CtgProps>
                                <R>5</R>
                              </CtgProps>
                              <LnkIn>
                                <LnkInProps>
                                  <MN>6</MN>
                                  <CLI>1,1,36,False,2</CLI>
                                  <ELN>1</ELN>
                                  <LOOT>2</LOOT>
                                  <LOMN>43</LOMN>
                                  <LOMCN>1</LOMCN>
                                  <LOSN>1</LOSN>
                                  <LOEN>16</LOEN>
                                  <LOCN>0</LOCN>
                                </LnkInProps>
                              </LnkIn>
                            </Ctg>
                          </Ctgs>
                        </SubTtl>
                      </SubTtls>
                      <TtlCtg>
                        <TtlCtgProps>
                          <R>2</R>
                        </TtlCtgProps>
                        <TtlSpcrRow>
                          <TtlSpcrRowProps>
                            <RSN>1</RSN>
                          </TtlSpcrRowProps>
                        </TtlSpcrRow>
                      </TtlCtg>
                      <ElmtLnksOut>
                        <ElmtLnk>
                          <ElmtLnkProps>
                            <ELI>1,1,36</ELI>
                            <ELN>1</ELN>
                            <ELGN>12</ELGN>
                            <MLG>D2A466F0-0D1D-4937-B082-2277BF921C28</MLG>
                            <ICBI>1,2</ICBI>
                            <ILBN>1,2</ILBN>
                            <LIBN>0</LIBN>
                          </ElmtLnkProps>
                        </ElmtLnk>
                      </ElmtLnksOut>
                      <ElmtLnksIn>
                        <ElmtLnk>
                          <ElmtLnkProps>
                            <ELI>1,1,36</ELI>
                            <ELN>1</ELN>
                            <ELGN>12</ELGN>
                            <MLG>BEFDB4F8-ED4F-4CFA-A92F-B42B38873EC3</MLG>
                            <ICBI>1,2</ICBI>
                            <ILBN/>
                            <LIBN>0</LIBN>
                          </ElmtLnkProps>
                        </ElmtLnk>
                      </ElmtLnksIn>
                    </Elmt>
                    <Elmt>
                      <ElmtProps>
                        <CPT>2</CPT>
                      </ElmtProps>
                      <ClmnBlks>
                        <ClmnBlk>
                          <ClmnBlkProps>
                            <FCPT>3</FCPT>
                            <FCN>10</FCN>
                            <FCOT>0</FCOT>
                            <FCOC>0</FCOC>
                            <FCPTBMCN>4</FCPTBMCN>
                            <FCPTBN>3</FCPTBN>
                            <LCPT>3</LCPT>
                            <LCN>45</LCN>
                            <LCOT>1</LCOT>
                            <LCOC>0</LCOC>
                            <LCPTBMCN>4</LCPTBMCN>
                            <LCPTBN>3</LCPTBN>
                          </ClmnBlkProps>
                          <ClmnBlkPts>
                            <ClmnBlkPt>
                              <ClmnBlkPtProps>
                                <CBPT>5</CBPT>
                                <ST>-1</ST>
                                <SON>1</SON>
                                <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34,2,6,-1,0,0,FALSE,FALSE§Z¿+§A¿0,1,0,1,36,2,6,-1,0,0,FALSE,FALSE§Z¿]]></VOFFF>
                              </ClmnBlkPtProps>
                            </ClmnBlkPt>
                          </ClmnBlkPts>
                        </ClmnBlk>
                      </ClmnBlks>
                      <TtlCtg>
                        <TtlCtgProps>
                          <R>3</R>
                        </TtlCtgProps>
                      </TtlCtg>
                      <ElmtLnksOut>
                        <ElmtLnk>
                          <ElmtLnkProps>
                            <ELI>1,1,38</ELI>
                            <ELN>1</ELN>
                            <ELGN>4</ELGN>
                            <MLG>3973D55B-B6D5-4474-B43E-AB076115D10E</MLG>
                            <ICBI>1,2</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orporate Tax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1,1,40,2,1</CBPLI>
                                    <ELN>1</ELN>
                                    <FFF><![CDATA[=§A¿10,FALSE,0,2,0,FALSE§Z¿]]></FFF>
                                  </LnkInFormProps>
                                </LnkInForm>
                              </LnkInForms>
                            </ClmnBlkPt>
                          </ClmnBlkPts>
                        </ClmnBlk>
                      </ClmnBlks>
                      <TtlCtg>
                        <TtlCtgProps>
                          <R>3</R>
                        </TtlCtgProps>
                        <LnkIn>
                          <LnkInProps>
                            <MN>6</MN>
                            <CLI>1,1,40,True,0</CLI>
                            <ELN>1</ELN>
                            <LOOT>2</LOOT>
                            <LOMN>46</LOMN>
                            <LOMCN>1</LOMCN>
                            <LOSN>1</LOSN>
                            <LOEN>144</LOEN>
                            <LOCN>0</LOCN>
                          </LnkInProps>
                        </LnkIn>
                      </TtlCtg>
                      <ElmtLnksOut>
                        <ElmtLnk>
                          <ElmtLnkProps>
                            <ELI>1,1,40</ELI>
                            <ELN>1</ELN>
                            <ELGN>4</ELGN>
                            <MLG>0C47C8C0-92C6-48FB-AE5B-5743047E3656</MLG>
                            <ICBI>1,2</ICBI>
                            <ILBN>1,2</ILBN>
                            <LIBN>0</LIBN>
                          </ElmtLnkProps>
                        </ElmtLnk>
                      </ElmtLnksOut>
                      <ElmtLnksIn>
                        <ElmtLnk>
                          <ElmtLnkProps>
                            <ELI>1,1,40</ELI>
                            <ELN>1</ELN>
                            <ELGN>10</ELGN>
                            <MLG>9E6CB774-CC83-4C69-929B-6EB6EB1972B4</MLG>
                            <ICBI>2</ICBI>
                            <ILBN/>
                            <LIBN>0</LIBN>
                          </ElmtLnkProps>
                        </ElmtLnk>
                      </ElmtLnksIn>
                    </Elmt>
                    <Elmt>
                      <ElmtProps>
                        <CPT>2</CPT>
                      </ElmtProps>
                      <TtlCtg>
                        <TtlCtgProps>
                          <R>1</R>
                        </TtlCtgProps>
                      </TtlCtg>
                    </Elmt>
                    <Elmt>
                      <ElmtProps>
                        <CPT>0</CPT>
                        <TOT>False</TOT>
                        <EGN>10</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1,1,42,1,1</CBPLI>
                                    <ELN>1</ELN>
                                    <FFF><![CDATA[=§A¿10,FALSE,0,1,0,FALSE§Z¿]]></FFF>
                                  </LnkInFormProps>
                                </LnkInForm>
                              </LnkInForms>
                            </ClmnBlkPt>
                            <ClmnBlkPt>
                              <ClmnBlkPtProps>
                                <CBPT>1</CBPT>
                                <ST>6</ST>
                                <VOFFF><![CDATA[="Total "&§A¿0,1,0,1,42,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Operating Cash Flow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1,1,42,2,1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1,1,42,1</STLI>
                              <R>2</R>
                            </SubTtlHdgRowProps>
                          </SubTtlHdgRow>
                          <TtlSpcrRow>
                            <TtlSpcrRowProps>
                              <RSN>1</RSN>
                            </TtlSpcrRowProps>
                          </TtlSpcrRow>
                          <Ctgs>
                            <Ctg>
                              <CtgProps>
                                <R>5</R>
                              </CtgProps>
                              <LnkIn>
                                <LnkInProps>
                                  <MN>6</MN>
                                  <CLI>1,1,42,False,1</CLI>
                                  <ELN>1</ELN>
                                  <LOOT>2</LOOT>
                                  <LOMN>48</LOMN>
                                  <LOMCN>3</LOMCN>
                                  <LOSN>1</LOSN>
                                  <LOEN>3</LOEN>
                                  <LOCN>0</LOCN>
                                </LnkInProps>
                              </LnkIn>
                            </Ctg>
                          </Ctgs>
                        </SubTtl>
                      </SubTtls>
                      <TtlCtg>
                        <TtlCtgProps>
                          <R>3</R>
                        </TtlCtgProps>
                        <TtlSpcrRow>
                          <TtlSpcrRowProps>
                            <RSN>1</RSN>
                          </TtlSpcrRowProps>
                        </TtlSpcrRow>
                      </TtlCtg>
                      <ElmtLnksOut>
                        <ElmtLnk>
                          <ElmtLnkProps>
                            <ELI>1,1,42</ELI>
                            <ELN>1</ELN>
                            <ELGN>13</ELGN>
                            <MLG>CE6B3189-2A94-49E5-B62D-3F8D2C64FFC8</MLG>
                            <ICBI>1,2</ICBI>
                            <ILBN>1,2</ILBN>
                            <LIBN>0</LIBN>
                          </ElmtLnkProps>
                        </ElmtLnk>
                      </ElmtLnksOut>
                      <ElmtLnksIn>
                        <ElmtLnk>
                          <ElmtLnkProps>
                            <ELI>1,1,42</ELI>
                            <ELN>1</ELN>
                            <ELGN>13</ELGN>
                            <MLG>6E5AF44C-EC0F-4FB1-9DBF-12AF20CB1B11</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Cash Flow from Operating Activ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12,2,1,-1,0,0,FALSE,FALSE§Z¿+§A¿0,1,0,1,26,2,1,-1,0,0,FALSE,FALSE§Z¿+§A¿0,1,0,1,28,2,1,-1,0,0,FALSE,FALSE§Z¿+§A¿0,1,0,1,32,2,1,-1,0,0,FALSE,FALSE§Z¿+§A¿0,1,0,1,38,2,1,-1,0,0,FALSE,FALSE§Z¿+§A¿0,1,0,1,40,2,1,-1,0,0,FALSE,FALSE§Z¿+§A¿0,1,0,1,42,2,6,-1,0,0,FALSE,FALSE§Z¿]]></VOFFF>
                              </ClmnBlkPtProps>
                            </ClmnBlkPt>
                          </ClmnBlkPts>
                        </ClmnBlk>
                      </ClmnBlks>
                      <TtlCtg>
                        <TtlCtgProps>
                          <R>3</R>
                        </TtlCtgProps>
                      </TtlCtg>
                      <ElmtLnksOut>
                        <ElmtLnk>
                          <ElmtLnkProps>
                            <ELI>1,1,44</ELI>
                            <ELN>1</ELN>
                            <ELGN>4</ELGN>
                            <MLG>5A41D950-1C57-41C9-90EA-CB1F503F74A2</MLG>
                            <ICBI>1,2</ICBI>
                            <ILBN>1,2</ILBN>
                            <LIBN>0</LIBN>
                          </ElmtLnkProps>
                        </ElmtLnk>
                      </ElmtLnksOut>
                    </Elmt>
                    <Elmt>
                      <ElmtProps>
                        <CPT>2</CPT>
                      </ElmtProps>
                      <TtlCtg>
                        <TtlCtgProps>
                          <R>4</R>
                        </TtlCtgProps>
                      </TtlCtg>
                    </Elmt>
                    <Elmt>
                      <ElmtProps>
                        <CPT>0</CPT>
                        <TOT>False</TOT>
                        <EGN>11</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1,1,46,1,1</CBPLI>
                                    <ELN>1</ELN>
                                    <FFF><![CDATA[=§A¿10,FALSE,0,1,0,FALSE§Z¿]]></FFF>
                                  </LnkInFormProps>
                                </LnkInForm>
                              </LnkInForms>
                            </ClmnBlkPt>
                            <ClmnBlkPt>
                              <ClmnBlkPtProps>
                                <CBPT>1</CBPT>
                                <ST>6</ST>
                                <VOFFF><![CDATA[="Total "&§A¿0,1,0,1,46,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Fixed Assets Capital Expenditur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1,1,46,2,1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1,1,46,1</STLI>
                              <R>2</R>
                            </SubTtlHdgRowProps>
                          </SubTtlHdgRow>
                          <TtlSpcrRow>
                            <TtlSpcrRowProps>
                              <RSN>1</RSN>
                            </TtlSpcrRowProps>
                          </TtlSpcrRow>
                          <CatSpan>
                            <CatSpanProps>
                              <CC>2</CC>
                              <R>5</R>
                            </CatSpanProps>
                            <LnkIn>
                              <LnkInProps>
                                <MN>6</MN>
                                <CLI>1,1,46,False,1</CLI>
                                <ELN>1</ELN>
                                <LOOT>0</LOOT>
                                <LOMN>40</LOMN>
                                <LOMCN>1</LOMCN>
                                <LOSN>3</LOSN>
                                <LOEN>6</LOEN>
                                <LOCN>1</LOCN>
                              </LnkInProps>
                            </LnkIn>
                          </CatSpan>
                        </SubTtl>
                      </SubTtls>
                      <TtlCtg>
                        <TtlCtgProps>
                          <R>3</R>
                        </TtlCtgProps>
                        <TtlSpcrRow>
                          <TtlSpcrRowProps>
                            <RSN>1</RSN>
                          </TtlSpcrRowProps>
                        </TtlSpcrRow>
                      </TtlCtg>
                      <ElmtLnksOut>
                        <ElmtLnk>
                          <ElmtLnkProps>
                            <ELI>1,1,46</ELI>
                            <ELN>1</ELN>
                            <ELGN>14</ELGN>
                            <MLG>2AD5CAB9-52E0-438F-B30F-03C7183B2165</MLG>
                            <ICBI>1,2</ICBI>
                            <ILBN>1,2</ILBN>
                            <LIBN>0</LIBN>
                          </ElmtLnkProps>
                        </ElmtLnk>
                      </ElmtLnksOut>
                      <ElmtLnksIn>
                        <ElmtLnk>
                          <ElmtLnkProps>
                            <ELI>1,1,46</ELI>
                            <ELN>1</ELN>
                            <ELGN>14</ELGN>
                            <MLG>5F2DF3CF-CC5E-4FA8-9D2A-79458EFCD4E0</MLG>
                            <ICBI>1,2</ICBI>
                            <ILBN/>
                            <LIBN>0</LIBN>
                          </ElmtLnkProps>
                        </ElmtLnk>
                      </ElmtLnksIn>
                    </Elmt>
                    <Elmt>
                      <ElmtProps>
                        <CPT>2</CPT>
                      </ElmtProps>
                      <TtlCtg>
                        <TtlCtgProps>
                          <R>1</R>
                        </TtlCtgProps>
                      </TtlCtg>
                    </Elmt>
                    <Elmt>
                      <ElmtProps>
                        <CPT>0</CPT>
                        <TOT>False</TOT>
                        <EGN>12</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1,1,48,1,1</CBPLI>
                                    <ELN>1</ELN>
                                    <FFF><![CDATA[=§A¿10,FALSE,0,1,0,FALSE§Z¿]]></FFF>
                                  </LnkInFormProps>
                                </LnkInForm>
                              </LnkInForms>
                            </ClmnBlkPt>
                            <ClmnBlkPt>
                              <ClmnBlkPtProps>
                                <CBPT>1</CBPT>
                                <ST>6</ST>
                                <VOFFF><![CDATA[="Total "&§A¿0,1,0,1,48,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Investing Cash Flow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1,1,48,2,1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1,1,48,1</STLI>
                              <R>2</R>
                            </SubTtlHdgRowProps>
                          </SubTtlHdgRow>
                          <TtlSpcrRow>
                            <TtlSpcrRowProps>
                              <RSN>1</RSN>
                            </TtlSpcrRowProps>
                          </TtlSpcrRow>
                          <Ctgs>
                            <Ctg>
                              <CtgProps>
                                <R>5</R>
                              </CtgProps>
                              <LnkIn>
                                <LnkInProps>
                                  <MN>6</MN>
                                  <CLI>1,1,48,False,1</CLI>
                                  <ELN>1</ELN>
                                  <LOOT>2</LOOT>
                                  <LOMN>50</LOMN>
                                  <LOMCN>3</LOMCN>
                                  <LOSN>1</LOSN>
                                  <LOEN>3</LOEN>
                                  <LOCN>0</LOCN>
                                </LnkInProps>
                              </LnkIn>
                            </Ctg>
                          </Ctgs>
                        </SubTtl>
                      </SubTtls>
                      <TtlCtg>
                        <TtlCtgProps>
                          <R>3</R>
                        </TtlCtgProps>
                        <TtlSpcrRow>
                          <TtlSpcrRowProps>
                            <RSN>1</RSN>
                          </TtlSpcrRowProps>
                        </TtlSpcrRow>
                      </TtlCtg>
                      <ElmtLnksOut>
                        <ElmtLnk>
                          <ElmtLnkProps>
                            <ELI>1,1,48</ELI>
                            <ELN>1</ELN>
                            <ELGN>15</ELGN>
                            <MLG>F9334505-FF1F-4DE6-B6C0-CB2E51AF5348</MLG>
                            <ICBI>1,2</ICBI>
                            <ILBN>1,2</ILBN>
                            <LIBN>0</LIBN>
                          </ElmtLnkProps>
                        </ElmtLnk>
                      </ElmtLnksOut>
                      <ElmtLnksIn>
                        <ElmtLnk>
                          <ElmtLnkProps>
                            <ELI>1,1,48</ELI>
                            <ELN>1</ELN>
                            <ELGN>15</ELGN>
                            <MLG>2AB00953-061E-42A0-B496-25769D461B2F</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Cash Flow from Investing Activ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46,2,6,-1,0,0,FALSE,FALSE§Z¿+§A¿0,1,0,1,48,2,6,-1,0,0,FALSE,FALSE§Z¿]]></VOFFF>
                              </ClmnBlkPtProps>
                            </ClmnBlkPt>
                          </ClmnBlkPts>
                        </ClmnBlk>
                      </ClmnBlks>
                      <TtlCtg>
                        <TtlCtgProps>
                          <R>3</R>
                        </TtlCtgProps>
                      </TtlCtg>
                      <ElmtLnksOut>
                        <ElmtLnk>
                          <ElmtLnkProps>
                            <ELI>1,1,50</ELI>
                            <ELN>1</ELN>
                            <ELGN>4</ELGN>
                            <MLG>010063FA-2719-4482-BDA4-0199C6E8E506</MLG>
                            <ICBI>1,2</ICBI>
                            <ILBN>1,2</ILBN>
                            <LIBN>0</LIBN>
                          </ElmtLnkProps>
                        </ElmtLnk>
                      </ElmtLnksOut>
                    </Elmt>
                    <Elmt>
                      <ElmtProps>
                        <CPT>2</CPT>
                      </ElmtProps>
                      <TtlCtg>
                        <TtlCtgProps>
                          <R>4</R>
                        </TtlCtgProps>
                      </TtlCtg>
                    </Elmt>
                    <Elmt>
                      <ElmtProps>
                        <CPT>0</CPT>
                        <TOT>False</TOT>
                        <EGN>13</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1,1,52,1,1</CBPLI>
                                    <ELN>1</ELN>
                                    <FFF><![CDATA[=§A¿10,FALSE,0,1,0,FALSE§Z¿]]></FFF>
                                  </LnkInFormProps>
                                </LnkInForm>
                              </LnkInForms>
                            </ClmnBlkPt>
                            <ClmnBlkPt>
                              <ClmnBlkPtProps>
                                <CBPT>1</CBPT>
                                <ST>6</ST>
                                <VOFFF><![CDATA[="Total "&§A¿0,1,0,1,52,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bt Drawdown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1,1,52,2,1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1,1,52,1</STLI>
                              <R>2</R>
                            </SubTtlHdgRowProps>
                          </SubTtlHdgRow>
                          <TtlSpcrRow>
                            <TtlSpcrRowProps>
                              <RSN>1</RSN>
                            </TtlSpcrRowProps>
                          </TtlSpcrRow>
                          <Ctgs>
                            <Ctg>
                              <CtgProps>
                                <R>5</R>
                              </CtgProps>
                              <LnkIn>
                                <LnkInProps>
                                  <MN>6</MN>
                                  <CLI>1,1,52,False,1</CLI>
                                  <ELN>1</ELN>
                                  <LOOT>2</LOOT>
                                  <LOMN>42</LOMN>
                                  <LOMCN>1</LOMCN>
                                  <LOSN>1</LOSN>
                                  <LOEN>5</LOEN>
                                  <LOCN>0</LOCN>
                                </LnkInProps>
                              </LnkIn>
                            </Ctg>
                            <Ctg>
                              <CtgProps>
                                <R>5</R>
                              </CtgProps>
                              <LnkIn>
                                <LnkInProps>
                                  <MN>6</MN>
                                  <CLI>1,1,52,False,2</CLI>
                                  <ELN>1</ELN>
                                  <LOOT>2</LOOT>
                                  <LOMN>43</LOMN>
                                  <LOMCN>1</LOMCN>
                                  <LOSN>1</LOSN>
                                  <LOEN>5</LOEN>
                                  <LOCN>0</LOCN>
                                </LnkInProps>
                              </LnkIn>
                            </Ctg>
                          </Ctgs>
                        </SubTtl>
                      </SubTtls>
                      <TtlCtg>
                        <TtlCtgProps>
                          <R>3</R>
                        </TtlCtgProps>
                        <TtlSpcrRow>
                          <TtlSpcrRowProps>
                            <RSN>1</RSN>
                          </TtlSpcrRowProps>
                        </TtlSpcrRow>
                      </TtlCtg>
                      <ElmtLnksOut>
                        <ElmtLnk>
                          <ElmtLnkProps>
                            <ELI>1,1,52</ELI>
                            <ELN>1</ELN>
                            <ELGN>16</ELGN>
                            <MLG>16038B07-05D5-4FFC-9566-57A68BDAA93B</MLG>
                            <ICBI>1,2</ICBI>
                            <ILBN>1,2</ILBN>
                            <LIBN>0</LIBN>
                          </ElmtLnkProps>
                        </ElmtLnk>
                      </ElmtLnksOut>
                      <ElmtLnksIn>
                        <ElmtLnk>
                          <ElmtLnkProps>
                            <ELI>1,1,52</ELI>
                            <ELN>1</ELN>
                            <ELGN>16</ELGN>
                            <MLG>CD54AFFC-385F-4FFD-ADA7-9E42D002FA05</MLG>
                            <ICBI>1,2</ICBI>
                            <ILBN/>
                            <LIBN>0</LIBN>
                          </ElmtLnkProps>
                        </ElmtLnk>
                      </ElmtLnksIn>
                    </Elmt>
                    <Elmt>
                      <ElmtProps>
                        <CPT>2</CPT>
                      </ElmtProps>
                      <TtlCtg>
                        <TtlCtgProps>
                          <R>1</R>
                        </TtlCtgProps>
                      </TtlCtg>
                    </Elmt>
                    <Elmt>
                      <ElmtProps>
                        <CPT>0</CPT>
                        <TOT>False</TOT>
                        <EGN>14</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1,1,54,1,1</CBPLI>
                                    <ELN>1</ELN>
                                    <FFF><![CDATA[=§A¿10,FALSE,0,1,0,FALSE§Z¿]]></FFF>
                                  </LnkInFormProps>
                                </LnkInForm>
                              </LnkInForms>
                            </ClmnBlkPt>
                            <ClmnBlkPt>
                              <ClmnBlkPtProps>
                                <CBPT>1</CBPT>
                                <ST>6</ST>
                                <VOFFF><![CDATA[="Total "&§A¿0,1,0,1,54,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Debt Repayment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1,1,54,2,1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1,1,54,1</STLI>
                              <R>2</R>
                            </SubTtlHdgRowProps>
                          </SubTtlHdgRow>
                          <TtlSpcrRow>
                            <TtlSpcrRowProps>
                              <RSN>1</RSN>
                            </TtlSpcrRowProps>
                          </TtlSpcrRow>
                          <Ctgs>
                            <Ctg>
                              <CtgProps>
                                <R>5</R>
                              </CtgProps>
                              <LnkIn>
                                <LnkInProps>
                                  <MN>6</MN>
                                  <CLI>1,1,54,False,1</CLI>
                                  <ELN>1</ELN>
                                  <LOOT>2</LOOT>
                                  <LOMN>42</LOMN>
                                  <LOMCN>1</LOMCN>
                                  <LOSN>1</LOSN>
                                  <LOEN>7</LOEN>
                                  <LOCN>0</LOCN>
                                </LnkInProps>
                              </LnkIn>
                            </Ctg>
                            <Ctg>
                              <CtgProps>
                                <R>5</R>
                              </CtgProps>
                              <LnkIn>
                                <LnkInProps>
                                  <MN>6</MN>
                                  <CLI>1,1,54,False,2</CLI>
                                  <ELN>1</ELN>
                                  <LOOT>2</LOOT>
                                  <LOMN>43</LOMN>
                                  <LOMCN>1</LOMCN>
                                  <LOSN>1</LOSN>
                                  <LOEN>7</LOEN>
                                  <LOCN>0</LOCN>
                                </LnkInProps>
                              </LnkIn>
                            </Ctg>
                          </Ctgs>
                        </SubTtl>
                      </SubTtls>
                      <TtlCtg>
                        <TtlCtgProps>
                          <R>3</R>
                        </TtlCtgProps>
                        <TtlSpcrRow>
                          <TtlSpcrRowProps>
                            <RSN>1</RSN>
                          </TtlSpcrRowProps>
                        </TtlSpcrRow>
                      </TtlCtg>
                      <ElmtLnksOut>
                        <ElmtLnk>
                          <ElmtLnkProps>
                            <ELI>1,1,54</ELI>
                            <ELN>1</ELN>
                            <ELGN>17</ELGN>
                            <MLG>9BAC1506-CC42-43A7-B973-56612F0A3F07</MLG>
                            <ICBI>1,2</ICBI>
                            <ILBN>1,2</ILBN>
                            <LIBN>0</LIBN>
                          </ElmtLnkProps>
                        </ElmtLnk>
                      </ElmtLnksOut>
                      <ElmtLnksIn>
                        <ElmtLnk>
                          <ElmtLnkProps>
                            <ELI>1,1,54</ELI>
                            <ELN>1</ELN>
                            <ELGN>17</ELGN>
                            <MLG>406A587D-3812-4BD6-A5D5-FE775926562B</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rdinary Equity Raising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1,1,56,2,1</CBPLI>
                                    <ELN>1</ELN>
                                    <FFF><![CDATA[=§A¿10,FALSE,0,2,0,FALSE§Z¿]]></FFF>
                                  </LnkInFormProps>
                                </LnkInForm>
                              </LnkInForms>
                            </ClmnBlkPt>
                          </ClmnBlkPts>
                        </ClmnBlk>
                      </ClmnBlks>
                      <TtlCtg>
                        <TtlCtgProps>
                          <R>3</R>
                        </TtlCtgProps>
                        <LnkIn>
                          <LnkInProps>
                            <MN>6</MN>
                            <CLI>1,1,56,True,0</CLI>
                            <ELN>1</ELN>
                            <LOOT>2</LOOT>
                            <LOMN>44</LOMN>
                            <LOMCN>1</LOMCN>
                            <LOSN>1</LOSN>
                            <LOEN>73</LOEN>
                            <LOCN>0</LOCN>
                          </LnkInProps>
                        </LnkIn>
                      </TtlCtg>
                      <ElmtLnksOut>
                        <ElmtLnk>
                          <ElmtLnkProps>
                            <ELI>1,1,56</ELI>
                            <ELN>1</ELN>
                            <ELGN>4</ELGN>
                            <MLG>3D7E1EF9-2F98-420D-8FD6-4C106C474F44</MLG>
                            <ICBI>1,2</ICBI>
                            <ILBN>1,2</ILBN>
                            <LIBN>0</LIBN>
                          </ElmtLnkProps>
                        </ElmtLnk>
                      </ElmtLnksOut>
                      <ElmtLnksIn>
                        <ElmtLnk>
                          <ElmtLnkProps>
                            <ELI>1,1,56</ELI>
                            <ELN>1</ELN>
                            <ELGN>10</ELGN>
                            <MLG>6EEC30FD-B5E9-4595-841A-BC9F0D54AB7F</MLG>
                            <ICBI>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rdinary Equity Buyback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1,1,58,2,1</CBPLI>
                                    <ELN>1</ELN>
                                    <FFF><![CDATA[=§A¿10,FALSE,0,2,0,FALSE§Z¿]]></FFF>
                                  </LnkInFormProps>
                                </LnkInForm>
                              </LnkInForms>
                            </ClmnBlkPt>
                          </ClmnBlkPts>
                        </ClmnBlk>
                      </ClmnBlks>
                      <TtlCtg>
                        <TtlCtgProps>
                          <R>3</R>
                        </TtlCtgProps>
                        <LnkIn>
                          <LnkInProps>
                            <MN>6</MN>
                            <CLI>1,1,58,True,0</CLI>
                            <ELN>1</ELN>
                            <LOOT>2</LOOT>
                            <LOMN>44</LOMN>
                            <LOMCN>1</LOMCN>
                            <LOSN>1</LOSN>
                            <LOEN>74</LOEN>
                            <LOCN>0</LOCN>
                          </LnkInProps>
                        </LnkIn>
                      </TtlCtg>
                      <ElmtLnksOut>
                        <ElmtLnk>
                          <ElmtLnkProps>
                            <ELI>1,1,58</ELI>
                            <ELN>1</ELN>
                            <ELGN>4</ELGN>
                            <MLG>DBB678FE-8F79-44C7-8ED7-AFB588E3FB74</MLG>
                            <ICBI>1,2</ICBI>
                            <ILBN>1,2</ILBN>
                            <LIBN>0</LIBN>
                          </ElmtLnkProps>
                        </ElmtLnk>
                      </ElmtLnksOut>
                      <ElmtLnksIn>
                        <ElmtLnk>
                          <ElmtLnkProps>
                            <ELI>1,1,58</ELI>
                            <ELN>1</ELN>
                            <ELGN>10</ELGN>
                            <MLG>A0DDF613-C9B1-4167-BACE-E5032B763D4F</MLG>
                            <ICBI>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rdinary Equity Dividends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0]]></VOFFF>
                              </ClmnBlkPtProps>
                              <LnkInForms>
                                <LnkInForm>
                                  <LnkInFormProps>
                                    <CBPLI>1,1,60,2,1</CBPLI>
                                    <ELN>1</ELN>
                                    <FFF><![CDATA[=§A¿10,FALSE,0,2,0,FALSE§Z¿]]></FFF>
                                  </LnkInFormProps>
                                </LnkInForm>
                              </LnkInForms>
                            </ClmnBlkPt>
                          </ClmnBlkPts>
                        </ClmnBlk>
                      </ClmnBlks>
                      <TtlCtg>
                        <TtlCtgProps>
                          <R>3</R>
                        </TtlCtgProps>
                        <LnkIn>
                          <LnkInProps>
                            <MN>6</MN>
                            <CLI>1,1,60,True,0</CLI>
                            <ELN>1</ELN>
                            <LOOT>2</LOOT>
                            <LOMN>44</LOMN>
                            <LOMCN>1</LOMCN>
                            <LOSN>1</LOSN>
                            <LOEN>82</LOEN>
                            <LOCN>0</LOCN>
                          </LnkInProps>
                        </LnkIn>
                      </TtlCtg>
                      <ElmtLnksOut>
                        <ElmtLnk>
                          <ElmtLnkProps>
                            <ELI>1,1,60</ELI>
                            <ELN>1</ELN>
                            <ELGN>4</ELGN>
                            <MLG>92F43D09-F8AF-4D78-846C-35FA77DD9ECB</MLG>
                            <ICBI>1,2</ICBI>
                            <ILBN>1,2</ILBN>
                            <LIBN>0</LIBN>
                          </ElmtLnkProps>
                        </ElmtLnk>
                      </ElmtLnksOut>
                      <ElmtLnksIn>
                        <ElmtLnk>
                          <ElmtLnkProps>
                            <ELI>1,1,60</ELI>
                            <ELN>1</ELN>
                            <ELGN>10</ELGN>
                            <MLG>53FEE166-3029-4EA9-A700-ABC9206E2191</MLG>
                            <ICBI>2</ICBI>
                            <ILBN/>
                            <LIBN>0</LIBN>
                          </ElmtLnkProps>
                        </ElmtLnk>
                      </ElmtLnksIn>
                    </Elmt>
                    <Elmt>
                      <ElmtProps>
                        <CPT>2</CPT>
                      </ElmtProps>
                      <TtlCtg>
                        <TtlCtgProps>
                          <R>1</R>
                        </TtlCtgProps>
                      </TtlCtg>
                    </Elmt>
                    <Elmt>
                      <ElmtProps>
                        <CPT>0</CPT>
                        <TOT>False</TOT>
                        <EGN>15</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y <CategoryNumber>]]></UDAV>
                              </ClmnBlkPtProps>
                              <LnkInForms>
                                <LnkInForm>
                                  <LnkInFormProps>
                                    <CBPLI>1,1,62,1,1</CBPLI>
                                    <ELN>1</ELN>
                                    <FFF><![CDATA[=§A¿10,FALSE,0,1,0,FALSE§Z¿]]></FFF>
                                  </LnkInFormProps>
                                </LnkInForm>
                              </LnkInForms>
                            </ClmnBlkPt>
                            <ClmnBlkPt>
                              <ClmnBlkPtProps>
                                <CBPT>1</CBPT>
                                <ST>6</ST>
                                <VOFFF><![CDATA[="Total "&§A¿0,1,0,1,62,1,3,0,0,0,FALSE,FALSE§Z¿]]></VOFFF>
                                <UDAV><![CDATA[<CategoriesGroupName> Sub-Total <SubTotalNumber>]]></UDAV>
                              </ClmnBlkPtProps>
                            </ClmnBlkPt>
                            <ClmnBlkPt>
                              <ClmnBlkPtProps>
                                <CBPT>2</CBPT>
                                <ST>7</ST>
                                <SON>11</SON>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Other Financing Cash Flows]]></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8</SON>
                                <VOFFF><![CDATA[0]]></VOFFF>
                              </ClmnBlkPtProps>
                              <LnkInForms>
                                <LnkInForm>
                                  <LnkInFormProps>
                                    <CBPLI>1,1,62,2,1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SON>1</SON>
                                <VOFFF/>
                              </ClmnBlkPtProps>
                            </ClmnBlkPt>
                            <ClmnBlkPt>
                              <ClmnBlkPtProps>
                                <CBPT>5</CBPT>
                                <ST>18</ST>
                                <VOFFF><![CDATA[=§A¿3§Z¿]]></VOFFF>
                              </ClmnBlkPtProps>
                            </ClmnBlkPt>
                          </ClmnBlkPts>
                        </ClmnBlk>
                      </ClmnBlks>
                      <SubTtls>
                        <SubTtl>
                          <SubTtlProps>
                            <R>2</R>
                          </SubTtlProps>
                          <SubTtlHdgRow>
                            <SubTtlHdgRowProps>
                              <STLI>1,1,62,1</STLI>
                              <R>2</R>
                            </SubTtlHdgRowProps>
                          </SubTtlHdgRow>
                          <TtlSpcrRow>
                            <TtlSpcrRowProps>
                              <RSN>1</RSN>
                            </TtlSpcrRowProps>
                          </TtlSpcrRow>
                          <Ctgs>
                            <Ctg>
                              <CtgProps>
                                <R>5</R>
                              </CtgProps>
                              <LnkIn>
                                <LnkInProps>
                                  <MN>6</MN>
                                  <CLI>1,1,62,False,1</CLI>
                                  <ELN>1</ELN>
                                  <LOOT>2</LOOT>
                                  <LOMN>54</LOMN>
                                  <LOMCN>3</LOMCN>
                                  <LOSN>1</LOSN>
                                  <LOEN>3</LOEN>
                                  <LOCN>0</LOCN>
                                </LnkInProps>
                              </LnkIn>
                            </Ctg>
                            <Ctg>
                              <CtgProps>
                                <R>5</R>
                              </CtgProps>
                              <LnkIn>
                                <LnkInProps>
                                  <MN>6</MN>
                                  <CLI>1,1,62,False,2</CLI>
                                  <ELN>1</ELN>
                                  <LOOT>2</LOOT>
                                  <LOMN>56</LOMN>
                                  <LOMCN>3</LOMCN>
                                  <LOSN>1</LOSN>
                                  <LOEN>3</LOEN>
                                  <LOCN>0</LOCN>
                                </LnkInProps>
                              </LnkIn>
                            </Ctg>
                          </Ctgs>
                        </SubTtl>
                      </SubTtls>
                      <TtlCtg>
                        <TtlCtgProps>
                          <R>3</R>
                        </TtlCtgProps>
                        <TtlSpcrRow>
                          <TtlSpcrRowProps>
                            <RSN>1</RSN>
                          </TtlSpcrRowProps>
                        </TtlSpcrRow>
                      </TtlCtg>
                      <ElmtLnksOut>
                        <ElmtLnk>
                          <ElmtLnkProps>
                            <ELI>1,1,62</ELI>
                            <ELN>1</ELN>
                            <ELGN>18</ELGN>
                            <MLG>22FB6B54-864E-46E6-B4D6-15B56052053F</MLG>
                            <ICBI>1,2</ICBI>
                            <ILBN>1,2</ILBN>
                            <LIBN>0</LIBN>
                          </ElmtLnkProps>
                        </ElmtLnk>
                      </ElmtLnksOut>
                      <ElmtLnksIn>
                        <ElmtLnk>
                          <ElmtLnkProps>
                            <ELI>1,1,62</ELI>
                            <ELN>1</ELN>
                            <ELGN>18</ELGN>
                            <MLG>33E2464B-8311-499B-8558-5BCDBB94FC53</MLG>
                            <ICBI>1,2</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Cash Flow from Financing Activiti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52,2,6,-1,0,0,FALSE,FALSE§Z¿+§A¿0,1,0,1,54,2,6,-1,0,0,FALSE,FALSE§Z¿+§A¿0,1,0,1,56,2,1,-1,0,0,FALSE,FALSE§Z¿+§A¿0,1,0,1,58,2,1,-1,0,0,FALSE,FALSE§Z¿+§A¿0,1,0,1,60,2,1,-1,0,0,FALSE,FALSE§Z¿+§A¿0,1,0,1,62,2,6,-1,0,0,FALSE,FALSE§Z¿]]></VOFFF>
                              </ClmnBlkPtProps>
                            </ClmnBlkPt>
                          </ClmnBlkPts>
                        </ClmnBlk>
                      </ClmnBlks>
                      <TtlCtg>
                        <TtlCtgProps>
                          <R>3</R>
                        </TtlCtgProps>
                      </TtlCtg>
                      <ElmtLnksOut>
                        <ElmtLnk>
                          <ElmtLnkProps>
                            <ELI>1,1,64</ELI>
                            <ELN>1</ELN>
                            <ELGN>4</ELGN>
                            <MLG>756FDCAB-CC4D-446A-B013-D0F853A20904</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Increase/(Decrease) in Cash Hel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A¿0,1,0,1,44,2,1,-1,0,0,FALSE,FALSE§Z¿+§A¿0,1,0,1,50,2,1,-1,0,0,FALSE,FALSE§Z¿+§A¿0,1,0,1,64,2,1,-1,0,0,FALSE,FALSE§Z¿]]></VOFFF>
                              </ClmnBlkPtProps>
                            </ClmnBlkPt>
                          </ClmnBlkPts>
                        </ClmnBlk>
                      </ClmnBlks>
                      <TtlCtg>
                        <TtlCtgProps>
                          <R>3</R>
                        </TtlCtgProps>
                      </TtlCtg>
                      <ElmtLnksOut>
                        <ElmtLnk>
                          <ElmtLnkProps>
                            <ELI>1,1,66</ELI>
                            <ELN>1</ELN>
                            <ELGN>4</ELGN>
                            <MLG>938BE67B-8FA9-442F-804A-3418909D0EB0</MLG>
                            <ICBI>1,2</ICBI>
                            <ILBN>1,2</ILBN>
                            <LIBN>0</LIBN>
                          </ElmtLnkProps>
                        </ElmtLnk>
                      </ElmtLnksOut>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Cash Flow to Capital Provider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4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44,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0,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dd Back) Net Interest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8,2,1,-1,0,0,FALSE,FALSE§Z¿-§A¿0,1,0,1,38,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Available To Capital Providers (CFACP)]]></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9</SON>
                                <VOFFF><![CDATA[=SUM(§A¿0,1,1,1,70,2,1,-1,0,0,FALSE,FALSE,1,72,2,1,-1,0,0,FALSE,FALSE§Z¿)]]></VOFFF>
                              </ClmnBlkPtProps>
                            </ClmnBlkPt>
                          </ClmnBlkPts>
                        </ClmnBlk>
                      </ClmnBlks>
                      <TtlCtg>
                        <TtlCtgProps>
                          <R>3</R>
                        </TtlCtgProps>
                      </TtlCtg>
                      <ElmtLnksOut>
                        <ElmtLnk>
                          <ElmtLnkProps>
                            <ELI>1,1,73</ELI>
                            <ELN>1</ELN>
                            <ELGN>4</ELGN>
                            <MLG>F97114BF-D4A7-4233-B08D-C544D81B1233</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Interest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72,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2,1,6,-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2,2,6,-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4,1,6,-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4,2,6,-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62,1,6,-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62,2,6,-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Available to Equity (CFA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9</SON>
                                <VOFFF><![CDATA[=SUM(§A¿0,1,1,1,73,2,1,-1,0,0,FALSE,FALSE,1,77,2,1,-1,0,0,FALSE,FALSE§Z¿)]]></VOFFF>
                              </ClmnBlkPtProps>
                            </ClmnBlkPt>
                          </ClmnBlkPts>
                        </ClmnBlk>
                      </ClmnBlks>
                      <TtlCtg>
                        <TtlCtgProps>
                          <R>3</R>
                        </TtlCtgProps>
                      </TtlCtg>
                      <ElmtLnksOut>
                        <ElmtLnk>
                          <ElmtLnkProps>
                            <ELI>1,1,78</ELI>
                            <ELN>1</ELN>
                            <ELGN>4</ELGN>
                            <MLG>04DE8370-70F7-4B5B-B660-4D93B9C07062</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6,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8,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Available for Dividends (CFA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SUM(§A¿0,1,1,1,78,2,1,-1,0,0,FALSE,FALSE,1,80,2,1,-1,0,0,FALSE,FALSE§Z¿)]]></VOFFF>
                              </ClmnBlkPtProps>
                            </ClmnBlkPt>
                          </ClmnBlkPts>
                        </ClmnBlk>
                      </ClmnBlks>
                      <TtlCtg>
                        <TtlCtgProps>
                          <R>3</R>
                        </TtlCtgProps>
                      </TtlCtg>
                      <ElmtLnksOut>
                        <ElmtLnk>
                          <ElmtLnkProps>
                            <ELI>1,1,81</ELI>
                            <ELN>1</ELN>
                            <ELGN>4</ELGN>
                            <MLG>A9F1CFBD-8C03-4C56-8C4E-9F9C15EBAB0F</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6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60,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6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SUM(§A¿0,1,1,1,81,2,1,-1,0,0,FALSE,FALSE,1,82,2,1,-1,0,0,FALSE,FALSE§Z¿)]]></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1,0,1,66,2,1,-1,0,0,FALSE,FALSE§Z¿+§A¿0,1,0,1,83,2,1,-1,0,0,FALSE,FALSE§Z¿),1,0)]]></VOFFF>
                              </ClmnBlkPtProps>
                              <FmtCnds>
                                <FmtCnd>
                                  <FmtCndProps>
                                    <CBPLI>1,1,85,2,1</CBPLI>
                                    <FCN>1</FCN>
                                    <FCT>1</FCT>
                                    <FCO>4</FCO>
                                    <F1FFF><![CDATA[=0]]></F1FFF>
                                    <F2FFF/>
                                    <SIT>False</SIT>
                                    <BSV>True</BSV>
                                    <BCT>0</BCT>
                                    <CNBCN>0</CNBCN>
                                    <BTAS>0</BTAS>
                                    <IST>1</IST>
                                    <RO>False</RO>
                                    <SIO>False</SIO>
                                    <TO>0</TO>
                                    <TS/>
                                    <DO>1</DO>
                                    <TB>1</TB>
                                    <R>10</R>
                                    <P>False</P>
                                    <AB>0</AB>
                                    <NSD>1</NSD>
                                    <DU>1</DU>
                                    <INF>False</INF>
                                    <NT>0</NT>
                                    <DP>0</DP>
                                    <CNF/>
                                  </FmtCndProps>
                                  <FntOvly>
                                    <FntOvlyProps>
                                      <PT>2</PT>
                                      <SON>0</SON>
                                      <CBPLI>1,1,85,2,1</CBPLI>
                                      <FCN>1</FCN>
                                      <CN>0</CN>
                                      <IB>True</IB>
                                      <IC>True</IC>
                                      <B>True</B>
                                      <CT>2</CT>
                                      <CNU>3</CNU>
                                      <CPR>0</CPR>
                                      <TAS>0</TAS>
                                    </FntOvlyProps>
                                  </FntOvly>
                                </FmtCnd>
                              </FmtCnds>
                            </ClmnBlkPt>
                          </ClmnBlkPts>
                        </ClmnBlk>
                      </ClmnBlk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2,1,1,-1,0,0,FALSE,FALSE§Z¿&" -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85,2,1,-1,0,0,FALSE,FALSE§Z¿<>0,0,(ROUND(§A¿0,1,0,1,44,2,1,-1,0,0,FALSE,FALSE§Z¿+§A¿0,1,0,1,50,2,1,-1,0,0,FALSE,FALSE§Z¿+§A¿0,1,0,1,64,2,1,-1,0,0,FALSE,FALSE§Z¿-§A¿0,1,0,1,66,2,1,-1,0,0,FALSE,FALSE§Z¿,5)<>0)*1)]]></VOFFF>
                              </ClmnBlkPtProps>
                              <FmtCnds>
                                <FmtCnd>
                                  <FmtCndProps>
                                    <CBPLI>1,1,86,2,1</CBPLI>
                                    <FCN>1</FCN>
                                    <FCT>1</FCT>
                                    <FCO>4</FCO>
                                    <F1FFF><![CDATA[=0]]></F1FFF>
                                    <F2FFF/>
                                    <SIT>False</SIT>
                                    <BSV>True</BSV>
                                    <BCT>0</BCT>
                                    <CNBCN>0</CNBCN>
                                    <BTAS>0</BTAS>
                                    <IST>1</IST>
                                    <RO>False</RO>
                                    <SIO>False</SIO>
                                    <TO>0</TO>
                                    <TS/>
                                    <DO>1</DO>
                                    <TB>1</TB>
                                    <R>10</R>
                                    <P>False</P>
                                    <AB>0</AB>
                                    <NSD>1</NSD>
                                    <DU>1</DU>
                                    <INF>False</INF>
                                    <NT>0</NT>
                                    <DP>0</DP>
                                    <CNF/>
                                  </FmtCndProps>
                                  <FntOvly>
                                    <FntOvlyProps>
                                      <PT>2</PT>
                                      <SON>0</SON>
                                      <CBPLI>1,1,86,2,1</CBPLI>
                                      <FCN>1</FCN>
                                      <CN>0</CN>
                                      <IB>True</IB>
                                      <IC>True</IC>
                                      <B>True</B>
                                      <CT>2</CT>
                                      <CNU>3</CNU>
                                      <CPR>0</CPR>
                                      <TAS>0</TAS>
                                    </FntOvlyProps>
                                  </FntOvly>
                                </FmtCnd>
                              </FmtCnds>
                            </ClmnBlkPt>
                          </ClmnBlkPts>
                        </ClmnBlk>
                      </ClmnBlk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68,1,1,-1,0,0,FALSE,FALSE§Z¿&" -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85,2,1,-1,0,0,FALSE,FALSE§Z¿<>0,0,(ROUND(§A¿0,1,0,1,66,2,1,-1,0,0,FALSE,FALSE§Z¿-§A¿0,1,0,1,83,2,1,-1,0,0,FALSE,FALSE§Z¿,5)<>0)*1)]]></VOFFF>
                              </ClmnBlkPtProps>
                              <FmtCnds>
                                <FmtCnd>
                                  <FmtCndProps>
                                    <CBPLI>1,1,87,2,1</CBPLI>
                                    <FCN>1</FCN>
                                    <FCT>1</FCT>
                                    <FCO>4</FCO>
                                    <F1FFF><![CDATA[=0]]></F1FFF>
                                    <F2FFF/>
                                    <SIT>False</SIT>
                                    <BSV>True</BSV>
                                    <BCT>0</BCT>
                                    <CNBCN>0</CNBCN>
                                    <BTAS>0</BTAS>
                                    <IST>1</IST>
                                    <RO>False</RO>
                                    <SIO>False</SIO>
                                    <TO>0</TO>
                                    <TS/>
                                    <DO>1</DO>
                                    <TB>1</TB>
                                    <R>10</R>
                                    <P>False</P>
                                    <AB>0</AB>
                                    <NSD>1</NSD>
                                    <DU>1</DU>
                                    <INF>False</INF>
                                    <NT>0</NT>
                                    <DP>0</DP>
                                    <CNF/>
                                  </FmtCndProps>
                                  <FntOvly>
                                    <FntOvlyProps>
                                      <PT>2</PT>
                                      <SON>0</SON>
                                      <CBPLI>1,1,87,2,1</CBPLI>
                                      <FCN>1</FCN>
                                      <CN>0</CN>
                                      <IB>True</IB>
                                      <IC>True</IC>
                                      <B>True</B>
                                      <CT>2</CT>
                                      <CNU>3</CNU>
                                      <CPR>0</CPR>
                                      <TAS>0</TAS>
                                    </FntOvlyProps>
                                  </FntOvly>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7</SON>
                                <VOFFF><![CDATA[=IF(ISERROR(SUM(§A¿0,1,1,1,88,3,1,0,0,0,FALSE,FALSE,1,88,3,1,0,1,0,FALSE,FALSE§Z¿)),1,MIN(SUM(§A¿0,1,1,1,88,3,1,0,0,0,FALSE,FALSE,1,88,3,1,0,1,0,FALSE,FALSE§Z¿),1))]]></VOFFF>
                              </ClmnBlkPtProps>
                              <Chk>
                                <ChkProps>
                                  <CBPLI>1,1,88,2,1</CBPLI>
                                  <CT>0</CT>
                                  <CN>3</CN>
                                  <HST>1</HST>
                                  <CHT/>
                                  <HCBPLI>1,1,2,1,1</HCBPLI>
                                </ChkProps>
                              </Chk>
                              <Cmts>
                                <Cmt>
                                  <CmtProps>
                                    <CBPLI>1,1,88,2,1</CBPLI>
                                    <WRN>1</WRN>
                                    <ERT>5</ERT>
                                    <COSTN>0</COSTN>
                                    <OC>0</OC>
                                    <HT><![CDATA[Error Check]]></HT>
                                    <HFS>0</HFS>
                                    <BT><![CDATA[Flags the existence of errors.]]></BT>
                                    <BFS>0</BFS>
                                    <H>69</H>
                                    <W>128</W>
                                  </CmtProps>
                                </Cmt>
                              </Cmts>
                              <FmtCnds>
                                <FmtCnd>
                                  <FmtCndProps>
                                    <CBPLI>1,1,88,2,1</CBPLI>
                                    <FCN>1</FCN>
                                    <FCT>1</FCT>
                                    <FCO>4</FCO>
                                    <F1FFF><![CDATA[=0]]></F1FFF>
                                    <F2FFF/>
                                    <SIT>False</SIT>
                                    <BSV>True</BSV>
                                    <BCT>0</BCT>
                                    <CNBCN>0</CNBCN>
                                    <BTAS>0</BTAS>
                                    <IST>1</IST>
                                    <RO>False</RO>
                                    <SIO>False</SIO>
                                    <TO>0</TO>
                                    <TS/>
                                    <DO>1</DO>
                                    <TB>1</TB>
                                    <R>10</R>
                                    <P>False</P>
                                    <AB>0</AB>
                                    <NSD>1</NSD>
                                    <DU>1</DU>
                                    <INF>False</INF>
                                    <NT>0</NT>
                                    <DP>0</DP>
                                    <CNF/>
                                  </FmtCndProps>
                                  <FntOvly>
                                    <FntOvlyProps>
                                      <PT>2</PT>
                                      <SON>0</SON>
                                      <CBPLI>1,1,88,2,1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6</SON>
                                <VOFFF><![CDATA[=MIN(SUM(§A¿0,1,1,1,85,2,1,-1,0,0,FALSE,FALSE,1,87,2,1,-1,0,0,FALSE,FALSE§Z¿),1)]]></VOFFF>
                              </ClmnBlkPtProps>
                              <FmtCnds>
                                <FmtCnd>
                                  <FmtCndProps>
                                    <CBPLI>1,1,88,3,1</CBPLI>
                                    <FCN>1</FCN>
                                    <FCT>1</FCT>
                                    <FCO>4</FCO>
                                    <F1FFF><![CDATA[=0]]></F1FFF>
                                    <F2FFF/>
                                    <SIT>False</SIT>
                                    <BSV>True</BSV>
                                    <BCT>0</BCT>
                                    <CNBCN>0</CNBCN>
                                    <BTAS>0</BTAS>
                                    <IST>1</IST>
                                    <RO>False</RO>
                                    <SIO>False</SIO>
                                    <TO>0</TO>
                                    <TS/>
                                    <DO>1</DO>
                                    <TB>1</TB>
                                    <R>10</R>
                                    <P>False</P>
                                    <AB>0</AB>
                                    <NSD>1</NSD>
                                    <DU>1</DU>
                                    <INF>False</INF>
                                    <NT>0</NT>
                                    <DP>0</DP>
                                    <CNF/>
                                  </FmtCndProps>
                                  <FntOvly>
                                    <FntOvlyProps>
                                      <PT>2</PT>
                                      <SON>0</SON>
                                      <CBPLI>1,1,88,3,1</CBPLI>
                                      <FCN>1</FCN>
                                      <CN>0</CN>
                                      <IB>True</IB>
                                      <IC>True</IC>
                                      <B>True</B>
                                      <CT>2</CT>
                                      <CNU>3</CNU>
                                      <CPR>0</CPR>
                                      <TAS>0</TAS>
                                    </FntOvlyProps>
                                  </FntOvly>
                                </FmtCnd>
                              </FmtCnds>
                            </ClmnBlkPt>
                          </ClmnBlkPts>
                        </ClmnBlk>
                      </ClmnBlks>
                      <TtlCtg>
                        <TtlCtgProps>
                          <R>3</R>
                        </TtlCtgProps>
                      </TtlCtg>
                    </Elmt>
                  </Elmts>
                </Sect>
              </Sects>
            </ModComp>
          </ModComps>
        </Mod>
        <Mod>
          <ModProps>
            <MVS>14.0.5.0</MVS>
            <RAV/>
            <RXV>0</RXV>
            <FV>3</FV>
            <MT>0</MT>
            <SCT>-1</SCT>
            <P><![CDATA[Vol]]></P>
            <OI>100</OI>
            <MN>0</MN>
            <MAG>E72A3FD0-52CB-410C-9CE7-3A25AE62CEAD</MAG>
            <BN><![CDATA[Volumes]]></BN>
            <N><![CDATA[Volumes]]></N>
            <TS><![CDATA[Scenarios & Monthly]]></TS>
            <D><![CDATA[Calculates volumes for a number of volumes categories over a number of time series periods.]]></D>
            <FS><![CDATA[Collects volumes assumptions for each category as an amount in the first time series period followed by growth rates in each subsequent period. Includes all periods category-based percentage change scenario assumptions to be included within a central scenario manager.]]></FS>
            <R><![CDATA[Any]]></R>
            <GE><![CDATA[Volumes]]></GE>
            <CA><![CDATA[Amount & Growth Rates, Percentage Change Scenarios]]></CA>
            <VA><![CDATA[Single Component]]></VA>
            <GST><![CDATA[None]]></GST>
            <DE><![CDATA[Modano]]></DE>
            <E><![CDATA[info@modano.com]]></E>
            <C><![CDATA[Modano]]></C>
            <W><![CDATA[www.modano.com]]></W>
            <K/>
            <CO/>
            <V>10.16.1.0.</V>
            <AX>2</AX>
            <SX/>
            <PMLO>False</PMLO>
            <IPMLO>False</IPMLO>
            <MACA>0</MACA>
            <HP>False</HP>
            <DR>False</DR>
            <RTSM>True</RTSM>
            <CC>True</CC>
            <X>False</X>
            <G>4E33872A-7D4B-45BC-A8B1-DC8BDE39FBAB</G>
          </ModProps>
          <RowStgs>
            <RowStg>
              <RowStgProps>
                <RSN>1</RSN>
                <RHST>0</RHST>
                <HS>0</HS>
                <OL>2</OL>
                <RH>False</RH>
              </RowStgProps>
            </RowStg>
            <RowStg>
              <RowStgProps>
                <RSN>2</RSN>
                <RHST>0</RHST>
                <HS>0</HS>
                <OL>3</OL>
                <RH>False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StlOvlyProps>
              <BdrOvlys>
                <BdrOvly>
                  <BdrOvlyProps>
                    <PT>1</PT>
                    <SON>6</SON>
                    <CBPLI/>
                    <FCN>0</FCN>
                    <I>True</I>
                    <BI>10</BI>
                    <LS>1</LS>
                    <W>2</W>
                  </BdrOvlyProps>
                </BdrOvly>
              </BdrOvlys>
            </StlOvly>
            <StlOvly>
              <StlOvlyProps>
                <SON>7</SON>
              </StlOvlyProps>
              <BdrOvlys>
                <BdrOvly>
                  <BdrOvlyProps>
                    <PT>1</PT>
                    <SON>7</SON>
                    <CBPLI/>
                    <FCN>0</FCN>
                    <I>True</I>
                    <BI>7</BI>
                    <LS>1</LS>
                    <W>2</W>
                  </BdrOvlyProps>
                </BdrOvly>
              </BdrOvlys>
            </StlOvly>
            <StlOvly>
              <StlOvlyProps>
                <SON>8</SON>
                <IHA>True</IHA>
                <HA>-4108</HA>
              </StlOvlyProps>
            </StlOvly>
            <StlOvly>
              <StlOvlyProps>
                <SON>9</SON>
                <INF>True</INF>
                <IHA>True</IHA>
                <NT>-2</NT>
                <DP>0</DP>
                <CNF><![CDATA[_(###0_);(###0);_(" - "_);_)@_)]]></CNF>
                <HA>-4152</HA>
              </StlOvlyProps>
              <BdrOvlys>
                <BdrOvly>
                  <BdrOvlyProps>
                    <PT>1</PT>
                    <SON>9</SON>
                    <CBPLI/>
                    <FCN>0</FCN>
                    <I>True</I>
                    <BI>7</BI>
                    <LS>1</LS>
                    <W>2</W>
                    <CT>3</CT>
                    <CN>2</CN>
                    <TAS>0.4999542</TAS>
                  </BdrOvlyProps>
                </BdrOvly>
                <BdrOvly>
                  <BdrOvlyProps>
                    <PT>1</PT>
                    <SON>9</SON>
                    <CBPLI/>
                    <FCN>0</FCN>
                    <I>True</I>
                    <BI>10</BI>
                    <LS>1</LS>
                    <W>2</W>
                    <CT>3</CT>
                    <CN>2</CN>
                    <TAS>0.4999542</TAS>
                  </BdrOvlyProps>
                </BdrOvly>
                <BdrOvly>
                  <BdrOvlyProps>
                    <PT>1</PT>
                    <SON>9</SON>
                    <CBPLI/>
                    <FCN>0</FCN>
                    <I>True</I>
                    <BI>8</BI>
                    <LS>1</LS>
                    <W>2</W>
                    <CT>3</CT>
                    <CN>2</CN>
                    <TAS>0.4999542</TAS>
                  </BdrOvlyProps>
                </BdrOvly>
                <BdrOvly>
                  <BdrOvlyProps>
                    <PT>1</PT>
                    <SON>9</SON>
                    <CBPLI/>
                    <FCN>0</FCN>
                    <I>True</I>
                    <BI>9</BI>
                    <LS>1</LS>
                    <W>2</W>
                    <CT>3</CT>
                    <CN>2</CN>
                    <TAS>0.4999542</TAS>
                  </BdrOvlyProps>
                </BdrOvly>
              </BdrOvlys>
            </StlOvly>
            <StlOvly>
              <StlOvlyProps>
                <SON>10</SON>
                <INF>True</INF>
                <NT>0</NT>
                <DP>0</DP>
                <CNF/>
              </StlOvlyProps>
              <BdrOvlys>
                <BdrOvly>
                  <BdrOvlyProps>
                    <PT>1</PT>
                    <SON>10</SON>
                    <CBPLI/>
                    <FCN>0</FCN>
                    <I>True</I>
                    <BI>10</BI>
                    <LS>1</LS>
                    <W>2</W>
                    <CT>3</CT>
                    <CN>2</CN>
                    <TAS>0.4999542</TAS>
                  </BdrOvlyProps>
                </BdrOvly>
              </BdrOvlys>
            </StlOvly>
            <StlOvly>
              <StlOvlyProps>
                <SON>11</SON>
                <INF>True</INF>
                <IHA>True</IHA>
                <NT>-2</NT>
                <DP>0</DP>
                <CNF><![CDATA[_(#,##0_);(#,##0);_("-"_);_)@_)]]></CNF>
                <HA>-4108</HA>
              </StlOvlyProps>
              <BdrOvlys>
                <BdrOvly>
                  <BdrOvlyProps>
                    <PT>1</PT>
                    <SON>11</SON>
                    <CBPLI/>
                    <FCN>0</FCN>
                    <I>True</I>
                    <BI>7</BI>
                    <LS>1</LS>
                    <W>2</W>
                    <CT>3</CT>
                    <CN>2</CN>
                    <TAS>0.4999542</TAS>
                  </BdrOvlyProps>
                </BdrOvly>
                <BdrOvly>
                  <BdrOvlyProps>
                    <PT>1</PT>
                    <SON>11</SON>
                    <CBPLI/>
                    <FCN>0</FCN>
                    <I>True</I>
                    <BI>10</BI>
                    <LS>1</LS>
                    <W>2</W>
                    <CT>3</CT>
                    <CN>2</CN>
                    <TAS>0.4999542</TAS>
                  </BdrOvlyProps>
                </BdrOvly>
                <BdrOvly>
                  <BdrOvlyProps>
                    <PT>1</PT>
                    <SON>11</SON>
                    <CBPLI/>
                    <FCN>0</FCN>
                    <I>True</I>
                    <BI>8</BI>
                    <LS>1</LS>
                    <W>2</W>
                    <CT>3</CT>
                    <CN>2</CN>
                    <TAS>0.4999542</TAS>
                  </BdrOvlyProps>
                </BdrOvly>
                <BdrOvly>
                  <BdrOvlyProps>
                    <PT>1</PT>
                    <SON>11</SON>
                    <CBPLI/>
                    <FCN>0</FCN>
                    <I>True</I>
                    <BI>9</BI>
                    <LS>1</LS>
                    <W>2</W>
                    <CT>3</CT>
                    <CN>2</CN>
                    <TAS>0.4999542</TAS>
                  </BdrOvlyProps>
                </BdrOvly>
              </BdrOvlys>
            </StlOvly>
            <StlOvly>
              <StlOvlyProps>
                <SON>12</SON>
                <IHA>True</IHA>
                <HA>-4108</HA>
              </StlOvlyProps>
              <FntOvly>
                <FntOvlyProps>
                  <PT>1</PT>
                  <SON>12</SON>
                  <CBPLI>0,0,0,0,0</CBPLI>
                  <FCN>0</FCN>
                  <CN>0</CN>
                  <IC>True</IC>
                  <CT>-3</CT>
                  <CNU>2</CNU>
                  <CPR>8421504</CPR>
                  <TAS>0.4999542</TAS>
                </FntOvlyProps>
              </FntOvly>
            </StlOvly>
            <StlOvly>
              <StlOvlyProps>
                <SON>13</SON>
              </StlOvlyProps>
              <BdrOvlys>
                <BdrOvly>
                  <BdrOvlyProps>
                    <PT>1</PT>
                    <SON>13</SON>
                    <CBPLI/>
                    <FCN>0</FCN>
                    <I>True</I>
                    <BI>7</BI>
                    <LS>1</LS>
                    <W>2</W>
                    <CT>3</CT>
                    <CN>2</CN>
                    <TAS>0.4999542</TAS>
                  </BdrOvlyProps>
                </BdrOvly>
                <BdrOvly>
                  <BdrOvlyProps>
                    <PT>1</PT>
                    <SON>13</SON>
                    <CBPLI/>
                    <FCN>0</FCN>
                    <I>True</I>
                    <BI>10</BI>
                    <LS>1</LS>
                    <W>2</W>
                    <CT>3</CT>
                    <CN>2</CN>
                    <TAS>0.4999542</TAS>
                  </BdrOvlyProps>
                </BdrOvly>
                <BdrOvly>
                  <BdrOvlyProps>
                    <PT>1</PT>
                    <SON>13</SON>
                    <CBPLI/>
                    <FCN>0</FCN>
                    <I>True</I>
                    <BI>8</BI>
                    <LS>1</LS>
                    <W>2</W>
                    <CT>3</CT>
                    <CN>2</CN>
                    <TAS>0.4999542</TAS>
                  </BdrOvlyProps>
                </BdrOvly>
                <BdrOvly>
                  <BdrOvlyProps>
                    <PT>1</PT>
                    <SON>13</SON>
                    <CBPLI/>
                    <FCN>0</FCN>
                    <I>True</I>
                    <BI>9</BI>
                    <LS>1</LS>
                    <W>2</W>
                    <CT>3</CT>
                    <CN>2</CN>
                    <TAS>0.4999542</TAS>
                  </BdrOvlyProps>
                </BdrOvly>
                <BdrOvly>
                  <BdrOvlyProps>
                    <PT>1</PT>
                    <SON>13</SON>
                    <CBPLI/>
                    <FCN>0</FCN>
                    <I>True</I>
                    <BI>12</BI>
                    <LS>1</LS>
                    <W>2</W>
                    <CT>3</CT>
                    <CN>2</CN>
                    <TAS>0.4999542</TAS>
                  </BdrOvlyProps>
                </BdrOvly>
              </BdrOvlys>
            </StlOvly>
          </StlOvlys>
          <ElmtsGrps>
            <ElmtsGrp>
              <ElmtsGrpProps>
                <NU>1</NU>
                <NA><![CDATA[Volumes]]></NA>
                <EGT>0</EGT>
                <DCC>6</DCC>
                <AST>False</AST>
                <ISTH>True</ISTH>
                <PTMCN>0</PTMCN>
                <PTBN>0</PTBN>
                <PTBI>0</PTBI>
                <GLN/>
                <CLOT>0</CLOT>
                <CLIT>0</CLIT>
                <PMLO>0</PMLO>
                <IPMLO>0</IPMLO>
              </ElmtsGrpProps>
            </ElmtsGrp>
          </ElmtsGrps>
          <ModComps>
            <ModComp>
              <ModCompProps>
                <MN>7</MN>
                <MCN>1</MCN>
                <MCTK>BaseCase</MCTK>
                <RT><![CDATA[<ModuleName> - Scenarios]]></RT>
                <ERN>MODMC76</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45</CTHN>
                                <ST>5</ST>
                                <VOFFF><![CDATA[<ModuleName>]]></VOFFF>
                              </ClmnBlkPtProps>
                              <RgeNmes>
                                <RgeNme>
                                  <RgeNmeProps>
                                    <CBPLI>1,1,2,2,1</CBPLI>
                                    <MCN>1</MCN>
                                    <SN>1</SN>
                                    <EN>2</EN>
                                    <CN>0</CN>
                                    <CBN>2</CBN>
                                    <CBPN>1</CBPN>
                                    <PT>1</PT>
                                    <CBPRNT>6</CBPRNT>
                                    <NT>12</NT>
                                    <SP1><![CDATA[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10</SON>
                                <VOFFF><![CDATA[=IF(COUNTIF(§A¿0,1,1,1,5,3,1,1,0,0,FALSE,FALSE,1,5,3,1,2,0,0,FALSE,FALSE§Z¿,"<>0")=0,0,1)]]></VOFFF>
                              </ClmnBlkPtProps>
                              <Chk>
                                <ChkProps>
                                  <CBPLI>1,1,3,2,1</CBPLI>
                                  <CT>1</CT>
                                  <CN>6</CN>
                                  <HST>1</HST>
                                  <CHT/>
                                  <HCBPLI>1,1,2,2,1</HCBPLI>
                                </ChkProps>
                              </Chk>
                              <Cmts>
                                <Cmt>
                                  <CmtProps>
                                    <CBPLI>1,1,3,2,1</CBPLI>
                                    <WRN>1</WRN>
                                    <ERT>5</ERT>
                                    <COSTN>0</COSTN>
                                    <OC>0</OC>
                                    <HT><![CDATA[Sensitivity Check]]></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2</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11</SON>
                                <VOFFF><![CDATA[1]]></VOFFF>
                                <UDAV><![CDATA[1]]></UDAV>
                              </ClmnBlkPtProps>
                              <Vdtn>
                                <VdtnProps>
                                  <CBPLI>1,1,4,2,1</CBPLI>
                                  <ADVT>0</ADVT>
                                  <VT>7</VT>
                                </VdtnProps>
                              </Vdtn>
                              <RgeNmes>
                                <RgeNme>
                                  <RgeNmeProps>
                                    <CBPLI>1,1,4,2,1</CBPLI>
                                    <MCN>1</MCN>
                                    <SN>1</SN>
                                    <EN>4</EN>
                                    <CN>0</CN>
                                    <CBN>2</CBN>
                                    <CBPN>1</CBPN>
                                    <PT>1</PT>
                                    <CBPRNT>6</CBPRNT>
                                    <NT>-1</NT>
                                    <SP1><![CDATA[Active_Scenario]]></SP1>
                                    <SP2/>
                                    <FFF/>
                                    <CMT/>
                                  </RgeNmeProps>
                                </RgeNme>
                              </RgeNmes>
                              <LnkInForms>
                                <LnkInForm>
                                  <LnkInFormProps>
                                    <CBPLI>1,1,4,2,1</CBPLI>
                                    <ELN>1</ELN>
                                    <FFF><![CDATA[=§A¿10,FALSE,0,2,0,FALSE§Z¿]]></FFF>
                                  </LnkInFormProps>
                                </LnkInForm>
                              </LnkInForms>
                            </ClmnBlkPt>
                          </ClmnBlkPts>
                        </ClmnBlk>
                      </ClmnBlks>
                      <TtlCtg>
                        <TtlCtgProps>
                          <R>2</R>
                        </TtlCtgProps>
                        <LnkIn>
                          <LnkInProps>
                            <MN>7</MN>
                            <CLI>1,1,4,True,0</CLI>
                            <ELN>1</ELN>
                            <LOOT>2</LOOT>
                            <LOMN>2</LOMN>
                            <LOMCN>1</LOMCN>
                            <LOSN>1</LOSN>
                            <LOEN>9</LOEN>
                            <LOCN>0</LOCN>
                          </LnkInProps>
                        </LnkIn>
                      </TtlCtg>
                      <ElmtLnksIn>
                        <ElmtLnk>
                          <ElmtLnkProps>
                            <ELI>1,1,4</ELI>
                            <ELN>1</ELN>
                            <ELGN>1</ELGN>
                            <MLG>D4DCC3F9-35E2-4238-8D02-A3DB30F01813</MLG>
                            <ICBI>2</ICBI>
                            <ILBN/>
                            <LIBN>0</LIBN>
                          </ElmtLnkProps>
                        </ElmtLnk>
                      </ElmtLnksIn>
                    </Elmt>
                    <Elmt>
                      <ElmtProps>
                        <CPT>1</CPT>
                        <TOT>False</TOT>
                        <EGN>1</EGN>
                      </ElmtProps>
                      <ClmnBlks>
                        <ClmnBlk>
                          <ClmnBlkProps>
                            <FCPT>3</FCPT>
                            <FCN>2</FCN>
                            <FCOT>0</FCOT>
                            <FCOC>0</FCOC>
                            <FCPTBMCN>3</FCPTBMCN>
                            <FCPTBN>1</FCPTBN>
                            <LCPT>3</LCPT>
                            <LCN>2</LCN>
                            <LCOT>1</LCOT>
                            <LCOC>0</LCOC>
                            <LCPTBMCN>3</LCPTBMCN>
                            <LCPTBN>1</LCPTBN>
                          </ClmnBlkProps>
                          <ClmnBlkPts>
                            <ClmnBlkPt>
                              <ClmnBlkPtProps>
                                <CBPT>0</CBPT>
                                <ST>6</ST>
                                <VOFFF><![CDATA[=§A¿0,2,0,1,5,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8</FCN>
                            <FCOT>0</FCOT>
                            <FCOC>5</FCOC>
                            <FCPTBMCN>3</FCPTBMCN>
                            <FCPTBN>2</FCPTBN>
                            <LCPT>3</LCPT>
                            <LCN>8</LCN>
                            <LCOT>0</LCOT>
                            <LCOC>5</LCOC>
                            <LCPTBMCN>3</LCPTBMCN>
                            <LCPTBN>2</LCPTBN>
                          </ClmnBlkProps>
                          <ClmnBlkPts>
                            <ClmnBlkPt>
                              <ClmnBlkPtProps>
                                <CBPT>0</CBPT>
                                <ST>40</ST>
                                <SON>12</SON>
                                <VOFFF><![CDATA[Y+X/mth]]></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3</FCPTBMCN>
                            <FCPTBN>2</FCPTBN>
                            <LCPT>3</LCPT>
                            <LCN>9</LCN>
                            <LCOT>1</LCOT>
                            <LCOC>0</LCOC>
                            <LCPTBMCN>3</LCPTBMCN>
                            <LCPTBN>2</LCPTBN>
                          </ClmnBlkProps>
                          <ClmnBlkPts>
                            <ClmnBlkPt>
                              <ClmnBlkPtProps>
                                <CBPT>0</CBPT>
                                <ST>11</ST>
                                <VOFFF/>
                                <UDAV><![CDATA[0]]></UDAV>
                              </ClmnBlkPtProps>
                              <Vdtn>
                                <VdtnProps>
                                  <CBPLI>1,1,5,3,1</CBPLI>
                                  <ADVT>0</ADVT>
                                  <VT>7</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3</FCPTBMCN>
                            <FCPTBN>3</FCPTBN>
                            <LCPT>3</LCPT>
                            <LCN>12</LCN>
                            <LCOT>1</LCOT>
                            <LCOC>0</LCOC>
                            <LCPTBMCN>3</LCPTBMCN>
                            <LCPTBN>3</LCPTBN>
                          </ClmnBlkProps>
                          <ClmnBlkPts>
                            <ClmnBlkPt>
                              <ClmnBlkPtProps>
                                <CBPT>0</CBPT>
                                <ST>11</ST>
                                <VOFFF><![CDATA[0]]></VOFFF>
                                <UDAV><![CDATA[0]]></UDAV>
                              </ClmnBlkPtProps>
                              <Vdtn>
                                <VdtnProps>
                                  <CBPLI>1,1,5,4,1</CBPLI>
                                  <ADVT>0</ADVT>
                                  <VT>7</VT>
                                </VdtnProps>
                              </Vdtn>
                              <FmtCnds>
                                <FmtCnd>
                                  <FmtCndProps>
                                    <CBPLI>1,1,5,4,1</CBPLI>
                                    <FCN>1</FCN>
                                    <FCT>2</FCT>
                                    <FCO>1</FCO>
                                    <F1FFF><![CDATA[=§A¿1,1,1,1,4,0,2,1,1§Z¿=§A¿9,3,1,0,1,2,3,1,-1,0,0,TRUE,FALSE§Z¿]]></F1FFF>
                                    <F2FFF/>
                                    <SIT>False</SIT>
                                    <BSV>True</BSV>
                                    <BCT>0</BCT>
                                    <CNBCN>0</CNBCN>
                                    <BTAS>0</BTAS>
                                    <IST>1</IST>
                                    <RO>False</RO>
                                    <SIO>False</SIO>
                                    <TO>0</TO>
                                    <TS/>
                                    <DO>1</DO>
                                    <TB>1</TB>
                                    <R>10</R>
                                    <P>False</P>
                                    <AB>0</AB>
                                    <NSD>1</NSD>
                                    <DU>1</DU>
                                    <INF>False</INF>
                                    <NT>0</NT>
                                    <DP>0</DP>
                                    <CNF/>
                                  </FmtCndProps>
                                  <IntOvly>
                                    <IntOvlyProps>
                                      <PT>2</PT>
                                      <SON>0</SON>
                                      <CBPLI>1,1,5,4,1</CBPLI>
                                      <FCN>1</FCN>
                                      <IC>True</IC>
                                      <CT>3</CT>
                                      <CN>5</CN>
                                      <TAS>0.5999634</TAS>
                                    </IntOvlyProps>
                                  </IntOvly>
                                </FmtCnd>
                              </FmtCnd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tgs>
                            <Ctg>
                              <CtgProps>
                                <R>1</R>
                              </CtgProps>
                            </Ctg>
                          </Ctgs>
                        </SubTtl>
                      </SubTtls>
                      <TtlCtg/>
                    </Elmt>
                  </Elmts>
                </Sect>
              </Sects>
            </ModComp>
            <ModComp>
              <ModCompProps>
                <MN>7</MN>
                <MCN>2</MCN>
                <MCTK>BaseCase</MCTK>
                <RT><![CDATA[<ModuleName> - Assumptions & Outputs]]></RT>
                <ERN>MODMC77</ERN>
                <MCST>1</MCST>
                <IPMC>False</IPMC>
                <SN>10</SN>
                <LODS>False</LODS>
                <LST>False</LST>
                <RSTF>False</RSTF>
                <STRA>0</STRA>
                <HS>False</HS>
                <IBOA>0</IBOA>
                <IB>False</IB>
                <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FCPTBMCN>4</FCPTBMCN>
                            <FCPTBN>1</FCPTBN>
                            <LCPT>3</LCPT>
                            <LCN>2</LCN>
                            <LCOT>1</LCOT>
                            <LCOC>0</LCOC>
                            <LCPTBMCN>4</LCPTBMCN>
                            <LCPTBN>1</LCPTBN>
                          </ClmnBlkProps>
                          <ClmnBlkPts>
                            <ClmnBlkPt>
                              <ClmnBlkPtProps>
                                <CBPT>5</CBPT>
                                <HCTHR>True</HCTHR>
                                <CTHN>48</CTHN>
                                <ST>3</ST>
                                <VOFFF><![CDATA[Membership]]></VOFFF>
                              </ClmnBlkPtProps>
                              <RgeNmes>
                                <RgeNme>
                                  <RgeNmeProps>
                                    <CBPLI>2,1,2,2,1</CBPLI>
                                    <MCN>2</MCN>
                                    <SN>1</SN>
                                    <EN>2</EN>
                                    <CN>0</CN>
                                    <CBN>2</CBN>
                                    <CBPN>1</CBPN>
                                    <PT>1</PT>
                                    <CBPRNT>6</CBPRNT>
                                    <NT>12</NT>
                                    <SP1><![CDATA[Ass_A]]></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tegories]]></VOFFF>
                              </ClmnBlkPtProps>
                            </ClmnBlkPt>
                          </ClmnBlkPts>
                        </ClmnBlk>
                        <ClmnBlk>
                          <ClmnBlkProps>
                            <FCPT>3</FCPT>
                            <FCN>10</FCN>
                            <FCOT>0</FCOT>
                            <FCOC>0</FCOC>
                            <FCPTBMCN>4</FCPTBMCN>
                            <FCPTBN>3</FCPTBN>
                            <LCPT>3</LCPT>
                            <LCN>10</LCN>
                            <LCOT>0</LCOT>
                            <LCOC>0</LCOC>
                            <LCPTBMCN>4</LCPTBMCN>
                            <LCPTBN>3</LCPTBN>
                          </ClmnBlkProps>
                          <ClmnBlkPts>
                            <ClmnBlkPt>
                              <ClmnBlkPtProps>
                                <CBPT>5</CBPT>
                                <ST>5</ST>
                                <SON>8</SON>
                                <VOFFF><![CDATA[Amount]]></VOFFF>
                              </ClmnBlkPtProps>
                            </ClmnBlkPt>
                          </ClmnBlkPts>
                        </ClmnBlk>
                        <ClmnBlk>
                          <ClmnBlkProps>
                            <FCPT>3</FCPT>
                            <FCN>11</FCN>
                            <FCOT>0</FCOT>
                            <FCOC>1</FCOC>
                            <FCPTBMCN>4</FCPTBMCN>
                            <FCPTBN>3</FCPTBN>
                            <LCPT>3</LCPT>
                            <LCN>11</LCN>
                            <LCOT>0</LCOT>
                            <LCOC>1</LCOC>
                            <LCPTBMCN>4</LCPTBMCN>
                            <LCPTBN>3</LCPTBN>
                          </ClmnBlkProps>
                          <ClmnBlkPts>
                            <ClmnBlkPt>
                              <ClmnBlkPtProps>
                                <CBPT>5</CBPT>
                                <ST>5</ST>
                                <SON>7</SON>
                                <VOFFF><![CDATA[ Growth Rates]]></VOFFF>
                              </ClmnBlkPtProps>
                            </ClmnBlkPt>
                          </ClmnBlkPts>
                        </ClmnBlk>
                      </ClmnBlks>
                      <TtlCtg>
                        <TtlCtgProps>
                          <R>1</R>
                        </TtlCtgProps>
                      </TtlCtg>
                    </Elmt>
                    <Elmt>
                      <ElmtProps>
                        <CPT>1</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ClmnBlkPt>
                            <ClmnBlkPt>
                              <ClmnBlkPtProps>
                                <CBPT>1</CBPT>
                                <ST>6</ST>
                                <MC>True</MC>
                                <VOFFF><![CDATA[=§A¿0,2,0,1,5,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ModuleGenericName>]]></VOFFF>
                                <UDAV><![CDATA[Total]]></UDAV>
                              </ClmnBlkPtProps>
                            </ClmnBlkPt>
                          </ClmnBlkPts>
                        </ClmnBlk>
                        <ClmnBlk>
                          <ClmnBlkProps>
                            <FCPT>3</FCPT>
                            <FCN>10</FCN>
                            <FCOT>0</FCOT>
                            <FCOC>0</FCOC>
                            <FCPTBMCN>4</FCPTBMCN>
                            <FCPTBN>3</FCPTBN>
                            <LCPT>3</LCPT>
                            <LCN>10</LCN>
                            <LCOT>0</LCOT>
                            <LCOC>0</LCOC>
                            <LCPTBMCN>4</LCPTBMCN>
                            <LCPTBN>3</LCPTBN>
                          </ClmnBlkProps>
                          <ClmnBlkPts>
                            <ClmnBlkPt>
                              <ClmnBlkPtProps>
                                <CBPT>0</CBPT>
                                <ST>11</ST>
                                <SON>6</SON>
                                <VOFFF><![CDATA[0]]></VOFFF>
                                <UDAV><![CDATA[0]]></UDAV>
                              </ClmnBlkPtProps>
                              <Vdtn>
                                <VdtnProps>
                                  <CBPLI>2,1,5,2,1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
                          <ClmnBlkProps>
                            <FCPT>3</FCPT>
                            <FCN>11</FCN>
                            <FCOT>0</FCOT>
                            <FCOC>1</FCOC>
                            <FCPTBMCN>4</FCPTBMCN>
                            <FCPTBN>3</FCPTBN>
                            <LCPT>3</LCPT>
                            <LCN>45</LCN>
                            <LCOT>1</LCOT>
                            <LCOC>0</LCOC>
                            <LCPTBMCN>4</LCPTBMCN>
                            <LCPTBN>3</LCPTBN>
                          </ClmnBlkProps>
                          <ClmnBlkPts>
                            <ClmnBlkPt>
                              <ClmnBlkPtProps>
                                <CBPT>0</CBPT>
                                <ST>11</ST>
                                <VOFFF><![CDATA[0]]></VOFFF>
                                <UDAV><![CDATA[0]]></UDAV>
                              </ClmnBlkPtProps>
                              <Vdtn>
                                <VdtnProps>
                                  <CBPLI>2,1,5,3,1</CBPLI>
                                  <ADVT>0</ADVT>
                                  <VT>7</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VOFFF/>
                              </ClmnBlkPtProps>
                            </ClmnBlkPt>
                          </ClmnBlkPts>
                        </ClmnBlk>
                      </ClmnBlks>
                      <SubTtls>
                        <SubTtl>
                          <SubTtlHdgRow>
                            <SubTtlHdgRowProps>
                              <STLI>2,1,5,1</STLI>
                              <R>0</R>
                            </SubTtlHdgRowProps>
                          </SubTtlHdgRow>
                          <Ctgs>
                            <Ctg>
                              <CtgProps>
                                <R>1</R>
                              </CtgProps>
                            </Ctg>
                          </Ctgs>
                        </SubTtl>
                      </SubTtls>
                      <TtlCtg/>
                    </Elmt>
                    <Elmt>
                      <ElmtProps>
                        <CPT>2</CPT>
                      </ElmtProps>
                      <ClmnBlks>
                        <ClmnBlk>
                          <ClmnBlkProps>
                            <FCPT>3</FCPT>
                            <FCN>8</FCN>
                            <FCOT>0</FCOT>
                            <FCOC>5</FCOC>
                            <FCPTBMCN>4</FCPTBMCN>
                            <FCPTBN>2</FCPTBN>
                            <LCPT>3</LCPT>
                            <LCN>8</LCN>
                            <LCOT>0</LCOT>
                            <LCOC>5</LCOC>
                            <LCPTBMCN>4</LCPTBMCN>
                            <LCPTBN>2</LCPTBN>
                          </ClmnBlkProps>
                          <ClmnBlkPts>
                            <ClmnBlkPt>
                              <ClmnBlkPtProps>
                                <CBPT>5</CBPT>
                                <ST>5</ST>
                                <SON>9</SON>
                                <VOFFF><![CDATA[Scenarios]]></VOFFF>
                              </ClmnBlkPtProps>
                            </ClmnBlkPt>
                          </ClmnBlkPts>
                        </ClmnBlk>
                      </ClmnBlks>
                      <TtlCtg>
                        <TtlCtgProps>
                          <R>1</R>
                        </TtlCtgProp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2,0,1,5,1,1,0,0,0,FALSE,FALSE§Z¿]]></VOFFF>
                                <UDAV><![CDATA[Category <CategoryNumber>]]></UDAV>
                              </ClmnBlkPtProps>
                            </ClmnBlkPt>
                            <ClmnBlkPt>
                              <ClmnBlkPtProps>
                                <CBPT>1</CBPT>
                                <ST>6</ST>
                                <VOFFF><![CDATA[=§A¿0,2,0,1,7,1,3,0,0,0,FALSE,FALSE§Z¿]]></VOFFF>
                                <UDAV><![CDATA[<CategoriesGroupName> Sub-Total <SubTotalNumber>]]></UDAV>
                              </ClmnBlkPtProps>
                            </ClmnBlkPt>
                            <ClmnBlkPt>
                              <ClmnBlkPtProps>
                                <CBPT>2</CBPT>
                                <ST>5</ST>
                                <VOFFF><![CDATA[=§A¿0,2,0,1,5,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ModuleGenericName>]]></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18</ST>
                                <SON>13</SON>
                                <VOFFF><![CDATA[=§A¿0,1,0,1,5,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 §A¿9,4,2,0,1,6,3,1,-1,0,0,TRUE,FALSE§Z¿ = 1, §A¿0,2,0,1,5,2,1,0,0,0,FALSE,FALSE§Z¿, §A¿0,2,0,1,7,3,1,0,0,0,FALSE,FALSE§Z¿+§A¿0,2,0,1,7,2,1,0,0,0,FALSE,TRUE§Z¿+§A¿0,2,0,1,5,2,1,0,0,0,FALSE,FALSE§Z¿ )]]></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SubTtlHdgRow>
                            <SubTtlHdgRowProps>
                              <STLI>2,1,7,1</STLI>
                              <R>0</R>
                            </SubTtlHdgRowProps>
                          </SubTtlHdgRow>
                          <Ctgs>
                            <Ctg>
                              <CtgProps>
                                <R>1</R>
                              </CtgProps>
                            </Ctg>
                          </Ctgs>
                        </SubTtl>
                      </SubTtls>
                      <TtlCtg/>
                      <ElmtLnksOut>
                        <ElmtLnk>
                          <ElmtLnkProps>
                            <ELI>2,1,7</ELI>
                            <ELN>1</ELN>
                            <ELGN>1</ELGN>
                            <MLG>7AB854AD-82D6-4A6E-B517-5DEC3CD15055</MLG>
                            <ICBI>1,4</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rror Check]]></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3</SON>
                                <VOFFF><![CDATA[=IF(ISERROR(SUM(§A¿0,2,1,1,9,3,1,0,0,0,FALSE,FALSE,1,9,3,1,0,1,0,FALSE,FALSE§Z¿)),1,MIN(SUM(§A¿0,2,1,1,9,3,1,0,0,0,FALSE,FALSE,1,9,3,1,0,1,0,FALSE,FALSE§Z¿),1))]]></VOFFF>
                              </ClmnBlkPtProps>
                              <Chk>
                                <ChkProps>
                                  <CBPLI>2,1,9,2,1</CBPLI>
                                  <CT>0</CT>
                                  <CN>29</CN>
                                  <HST>1</HST>
                                  <CHT/>
                                  <HCBPLI>2,1,2,2,1</HCBPLI>
                                </ChkProps>
                              </Chk>
                              <Cmts>
                                <Cmt>
                                  <CmtProps>
                                    <CBPLI>2,1,9,2,1</CBPLI>
                                    <WRN>1</WRN>
                                    <ERT>5</ERT>
                                    <COSTN>0</COSTN>
                                    <OC>0</OC>
                                    <HT><![CDATA[Error Check]]></HT>
                                    <HFS>0</HFS>
                                    <BT><![CDATA[Flags the existence of errors.]]></BT>
                                    <BFS>0</BFS>
                                    <H>1</H>
                                    <W>128</W>
                                  </CmtProps>
                                </Cmt>
                              </Cmts>
                              <FmtCnds>
                                <FmtCnd>
                                  <FmtCndProps>
                                    <CBPLI>2,1,9,2,1</CBPLI>
                                    <FCN>1</FCN>
                                    <FCT>1</FCT>
                                    <FCO>4</FCO>
                                    <F1FFF><![CDATA[=0]]></F1FFF>
                                    <F2FFF/>
                                    <SIT>False</SIT>
                                    <BSV>True</BSV>
                                    <BCT>0</BCT>
                                    <CNBCN>0</CNBCN>
                                    <BTAS>0</BTAS>
                                    <IST>1</IST>
                                    <RO>False</RO>
                                    <SIO>False</SIO>
                                    <TO>0</TO>
                                    <TS/>
                                    <DO>1</DO>
                                    <TB>1</TB>
                                    <R>10</R>
                                    <P>False</P>
                                    <AB>0</AB>
                                    <NSD>1</NSD>
                                    <DU>1</DU>
                                    <INF>False</INF>
                                    <NT>0</NT>
                                    <DP>0</DP>
                                    <CNF/>
                                  </FmtCndProps>
                                  <FntOvly>
                                    <FntOvlyProps>
                                      <PT>2</PT>
                                      <SON>0</SON>
                                      <CBPLI>2,1,9,2,1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SUM(§A¿0,2,1,1,7,4,1,1,0,0,FALSE,FALSE,1,7,4,1,2,0,0,FALSE,FALSE§Z¿)),1,0)]]></VOFFF>
                              </ClmnBlkPtProps>
                              <FmtCnds>
                                <FmtCnd>
                                  <FmtCndProps>
                                    <CBPLI>2,1,9,3,1</CBPLI>
                                    <FCN>1</FCN>
                                    <FCT>1</FCT>
                                    <FCO>4</FCO>
                                    <F1FFF><![CDATA[=0]]></F1FFF>
                                    <F2FFF/>
                                    <SIT>False</SIT>
                                    <BSV>True</BSV>
                                    <BCT>0</BCT>
                                    <CNBCN>0</CNBCN>
                                    <BTAS>0</BTAS>
                                    <IST>1</IST>
                                    <RO>False</RO>
                                    <SIO>False</SIO>
                                    <TO>0</TO>
                                    <TS/>
                                    <DO>1</DO>
                                    <TB>1</TB>
                                    <R>10</R>
                                    <P>False</P>
                                    <AB>0</AB>
                                    <NSD>1</NSD>
                                    <DU>1</DU>
                                    <INF>False</INF>
                                    <NT>0</NT>
                                    <DP>0</DP>
                                    <CNF/>
                                  </FmtCndProps>
                                  <FntOvly>
                                    <FntOvlyProps>
                                      <PT>2</PT>
                                      <SON>0</SON>
                                      <CBPLI>2,1,9,3,1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ert Check (Negative <ModuleGenericName>)]]></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2</SON>
                                <VOFFF><![CDATA[=IF(ISERROR(SUM(§A¿0,2,1,1,10,3,1,0,0,0,FALSE,FALSE,1,10,3,1,0,1,0,FALSE,FALSE§Z¿)),1,MIN(SUM(§A¿0,2,1,1,10,3,1,0,0,0,FALSE,FALSE,1,10,3,1,0,1,0,FALSE,FALSE§Z¿),1))]]></VOFFF>
                              </ClmnBlkPtProps>
                              <Chk>
                                <ChkProps>
                                  <CBPLI>2,1,10,2,1</CBPLI>
                                  <CT>2</CT>
                                  <CN>16</CN>
                                  <HST>1</HST>
                                  <CHT/>
                                  <HCBPLI>2,1,2,2,1</HCBPLI>
                                </ChkProps>
                              </Chk>
                              <Cmts>
                                <Cmt>
                                  <CmtProps>
                                    <CBPLI>2,1,10,2,1</CBPLI>
                                    <WRN>1</WRN>
                                    <ERT>5</ERT>
                                    <COSTN>0</COSTN>
                                    <OC>0</OC>
                                    <HT><![CDATA[Alert Check]]></HT>
                                    <HFS>0</HFS>
                                    <BT><![CDATA[Flags the occurrence of designated events.]]></BT>
                                    <BFS>0</BFS>
                                    <H>325</H>
                                    <W>128</W>
                                  </CmtProps>
                                </Cmt>
                              </Cmts>
                              <FmtCnds>
                                <FmtCnd>
                                  <FmtCndProps>
                                    <CBPLI>2,1,10,2,1</CBPLI>
                                    <FCN>1</FCN>
                                    <FCT>1</FCT>
                                    <FCO>4</FCO>
                                    <F1FFF><![CDATA[=0]]></F1FFF>
                                    <F2FFF/>
                                    <SIT>False</SIT>
                                    <BSV>True</BSV>
                                    <BCT>0</BCT>
                                    <CNBCN>0</CNBCN>
                                    <BTAS>0</BTAS>
                                    <IST>1</IST>
                                    <RO>False</RO>
                                    <SIO>False</SIO>
                                    <TO>0</TO>
                                    <TS/>
                                    <DO>1</DO>
                                    <TB>1</TB>
                                    <R>10</R>
                                    <P>False</P>
                                    <AB>0</AB>
                                    <NSD>1</NSD>
                                    <DU>1</DU>
                                    <INF>False</INF>
                                    <NT>0</NT>
                                    <DP>0</DP>
                                    <CNF/>
                                  </FmtCndProps>
                                  <FntOvly>
                                    <FntOvlyProps>
                                      <PT>2</PT>
                                      <SON>0</SON>
                                      <CBPLI>2,1,10,2,1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2,0,1,9,3,1,-1,0,0,FALSE,FALSE§Z¿=1,0,IF(MIN(§A¿0,2,1,1,7,4,1,1,0,0,FALSE,FALSE,1,7,4,1,2,0,0,FALSE,FALSE§Z¿)<0,1,0))]]></VOFFF>
                              </ClmnBlkPtProps>
                              <FmtCnds>
                                <FmtCnd>
                                  <FmtCndProps>
                                    <CBPLI>2,1,10,3,1</CBPLI>
                                    <FCN>1</FCN>
                                    <FCT>1</FCT>
                                    <FCO>4</FCO>
                                    <F1FFF><![CDATA[=0]]></F1FFF>
                                    <F2FFF/>
                                    <SIT>False</SIT>
                                    <BSV>True</BSV>
                                    <BCT>0</BCT>
                                    <CNBCN>0</CNBCN>
                                    <BTAS>0</BTAS>
                                    <IST>1</IST>
                                    <RO>False</RO>
                                    <SIO>False</SIO>
                                    <TO>0</TO>
                                    <TS/>
                                    <DO>1</DO>
                                    <TB>1</TB>
                                    <R>10</R>
                                    <P>False</P>
                                    <AB>0</AB>
                                    <NSD>1</NSD>
                                    <DU>1</DU>
                                    <INF>False</INF>
                                    <NT>0</NT>
                                    <DP>0</DP>
                                    <CNF/>
                                  </FmtCndProps>
                                  <FntOvly>
                                    <FntOvlyProps>
                                      <PT>2</PT>
                                      <SON>0</SON>
                                      <CBPLI>2,1,10,3,1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Vol]]></P>
            <OI>100</OI>
            <MN>2</MN>
            <MAG>E72A3FD0-52CB-410C-9CE7-3A25AE62CEAD</MAG>
            <BN><![CDATA[Volumes]]></BN>
            <N><![CDATA[Volumes (2)]]></N>
            <TS><![CDATA[Scenarios & Monthly]]></TS>
            <D><![CDATA[Calculates volumes for a number of volumes categories over a number of time series periods.]]></D>
            <FS><![CDATA[Collects volumes assumptions for each category as amounts for each time series period. Includes all periods category-based absolute change scenario assumptions to be included within a central scenario manager.]]></FS>
            <R><![CDATA[Any]]></R>
            <GE><![CDATA[Volumes]]></GE>
            <CA><![CDATA[Amounts, Absolute Change Scenarios]]></CA>
            <VA><![CDATA[Single Component]]></VA>
            <GST><![CDATA[None]]></GST>
            <DE><![CDATA[Modano]]></DE>
            <E><![CDATA[info@modano.com]]></E>
            <C><![CDATA[Modano]]></C>
            <W><![CDATA[www.modano.com]]></W>
            <K/>
            <CO/>
            <V>10.16.1.0.</V>
            <AX>2</AX>
            <SX/>
            <PMLO>False</PMLO>
            <IPMLO>False</IPMLO>
            <MACA>0</MACA>
            <HP>False</HP>
            <DR>False</DR>
            <RTSM>True</RTSM>
            <CC>True</CC>
            <X>False</X>
            <G>27BC5E06-266A-4B4C-900F-5E96F1198D5A</G>
          </ModProps>
          <RowStgs>
            <RowStg>
              <RowStgProps>
                <RSN>1</RSN>
                <RHST>0</RHST>
                <HS>0</HS>
                <OL>2</OL>
                <RH>False</RH>
              </RowStgProps>
            </RowStg>
            <RowStg>
              <RowStgProps>
                <RSN>2</RSN>
                <RHST>0</RHST>
                <HS>0</HS>
                <OL>3</OL>
                <RH>False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NF>True</INF>
                <IHA>True</IHA>
                <NT>-2</NT>
                <DP>0</DP>
                <CNF><![CDATA[_(###0_);(###0);_(" - "_);_)@_)]]></CNF>
                <HA>-4152</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NT>-2</NT>
                <DP>0</DP>
                <CNF><![CDATA[_("+"#,##0.0_);(#,##0.0);_("-"_);_)@_)]]></CNF>
              </StlOvlyProps>
              <BdrOvlys>
                <BdrOvly>
                  <BdrOvlyProps>
                    <PT>1</PT>
                    <SON>7</SON>
                    <CBPLI/>
                    <FCN>0</FCN>
                    <I>True</I>
                    <BI>7</BI>
                    <LS>1</LS>
                    <W>2</W>
                    <CT>3</CT>
                    <CN>2</CN>
                    <TAS>0.4999542</TAS>
                  </BdrOvlyProps>
                </BdrOvly>
                <BdrOvly>
                  <BdrOvlyProps>
                    <PT>1</PT>
                    <SON>7</SON>
                    <CBPLI/>
                    <FCN>0</FCN>
                    <I>True</I>
                    <BI>10</BI>
                    <LS>1</LS>
                    <W>2</W>
                    <CT>3</CT>
                    <CN>2</CN>
                    <TAS>0.4999542</TAS>
                  </BdrOvlyProps>
                </BdrOvly>
                <BdrOvly>
                  <BdrOvlyProps>
                    <PT>1</PT>
                    <SON>7</SON>
                    <CBPLI/>
                    <FCN>0</FCN>
                    <I>True</I>
                    <BI>8</BI>
                    <LS>1</LS>
                    <W>2</W>
                    <CT>3</CT>
                    <CN>2</CN>
                    <TAS>0.4999542</TAS>
                  </BdrOvlyProps>
                </BdrOvly>
                <BdrOvly>
                  <BdrOvlyProps>
                    <PT>1</PT>
                    <SON>7</SON>
                    <CBPLI/>
                    <FCN>0</FCN>
                    <I>True</I>
                    <BI>9</BI>
                    <LS>1</LS>
                    <W>2</W>
                    <CT>3</CT>
                    <CN>2</CN>
                    <TAS>0.4999542</TAS>
                  </BdrOvlyProps>
                </BdrOvly>
                <BdrOvly>
                  <BdrOvlyProps>
                    <PT>1</PT>
                    <SON>7</SON>
                    <CBPLI/>
                    <FCN>0</FCN>
                    <I>True</I>
                    <BI>12</BI>
                    <LS>1</LS>
                    <W>2</W>
                    <CT>3</CT>
                    <CN>2</CN>
                    <TAS>0.4999542</TAS>
                  </BdrOvlyProps>
                </BdrOvly>
              </BdrOvlys>
            </StlOvly>
            <StlOvly>
              <StlOvlyProps>
                <SON>8</SON>
                <INF>True</INF>
                <NT>0</NT>
                <DP>0</DP>
                <CNF/>
              </StlOvlyProps>
              <BdrOvlys>
                <BdrOvly>
                  <BdrOvlyProps>
                    <PT>1</PT>
                    <SON>8</SON>
                    <CBPLI/>
                    <FCN>0</FCN>
                    <I>True</I>
                    <BI>10</BI>
                    <LS>1</LS>
                    <W>2</W>
                    <CT>3</CT>
                    <CN>2</CN>
                    <TAS>0.4999542</TAS>
                  </BdrOvlyProps>
                </BdrOvly>
              </BdrOvlys>
            </StlOvly>
            <StlOvly>
              <StlOvlyProps>
                <SON>9</SON>
                <INF>True</INF>
                <IHA>True</IHA>
                <NT>-2</NT>
                <DP>0</DP>
                <CNF><![CDATA[_(#,##0_);(#,##0);_("-"_);_)@_)]]></CNF>
                <HA>-4108</HA>
              </StlOvlyProps>
              <BdrOvlys>
                <BdrOvly>
                  <BdrOvlyProps>
                    <PT>1</PT>
                    <SON>9</SON>
                    <CBPLI/>
                    <FCN>0</FCN>
                    <I>True</I>
                    <BI>7</BI>
                    <LS>1</LS>
                    <W>2</W>
                    <CT>3</CT>
                    <CN>2</CN>
                    <TAS>0.4999542</TAS>
                  </BdrOvlyProps>
                </BdrOvly>
                <BdrOvly>
                  <BdrOvlyProps>
                    <PT>1</PT>
                    <SON>9</SON>
                    <CBPLI/>
                    <FCN>0</FCN>
                    <I>True</I>
                    <BI>10</BI>
                    <LS>1</LS>
                    <W>2</W>
                    <CT>3</CT>
                    <CN>2</CN>
                    <TAS>0.4999542</TAS>
                  </BdrOvlyProps>
                </BdrOvly>
                <BdrOvly>
                  <BdrOvlyProps>
                    <PT>1</PT>
                    <SON>9</SON>
                    <CBPLI/>
                    <FCN>0</FCN>
                    <I>True</I>
                    <BI>8</BI>
                    <LS>1</LS>
                    <W>2</W>
                    <CT>3</CT>
                    <CN>2</CN>
                    <TAS>0.4999542</TAS>
                  </BdrOvlyProps>
                </BdrOvly>
                <BdrOvly>
                  <BdrOvlyProps>
                    <PT>1</PT>
                    <SON>9</SON>
                    <CBPLI/>
                    <FCN>0</FCN>
                    <I>True</I>
                    <BI>9</BI>
                    <LS>1</LS>
                    <W>2</W>
                    <CT>3</CT>
                    <CN>2</CN>
                    <TAS>0.4999542</TAS>
                  </BdrOvlyProps>
                </BdrOvly>
              </BdrOvlys>
            </StlOvly>
            <StlOvly>
              <StlOvlyProps>
                <SON>10</SON>
                <IHA>True</IHA>
                <HA>-4108</HA>
              </StlOvlyProps>
              <FntOvly>
                <FntOvlyProps>
                  <PT>1</PT>
                  <SON>10</SON>
                  <CBPLI>0,0,0,0,0</CBPLI>
                  <FCN>0</FCN>
                  <CN>0</CN>
                  <IC>True</IC>
                  <CT>-3</CT>
                  <CNU>2</CNU>
                  <CPR>8421504</CPR>
                  <TAS>0.4999542</TAS>
                </FntOvlyProps>
              </FntOvly>
            </StlOvly>
            <StlOvly>
              <StlOvlyProps>
                <SON>11</SON>
                <INF>True</INF>
                <IHA>True</IHA>
                <NT>-2</NT>
                <DP>0</DP>
                <CNF><![CDATA[_("+"#,##0.0_);(#,##0.0);_("-"_);_)@_)]]></CNF>
                <HA>-4108</HA>
              </StlOvlyProps>
            </StlOvly>
            <StlOvly>
              <StlOvlyProps>
                <SON>12</SON>
                <INF>True</INF>
                <IHA>True</IHA>
                <NT>-2</NT>
                <DP>0</DP>
                <CNF><![CDATA[_("+"#,##0.0_);(#,##0.0);_("-"_);_)@_)]]></CNF>
                <HA>-4108</HA>
              </StlOvlyProps>
              <BdrOvlys>
                <BdrOvly>
                  <BdrOvlyProps>
                    <PT>1</PT>
                    <SON>12</SON>
                    <CBPLI/>
                    <FCN>0</FCN>
                    <I>True</I>
                    <BI>7</BI>
                    <LS>1</LS>
                    <W>2</W>
                    <CT>3</CT>
                    <CN>2</CN>
                    <TAS>0.4999542</TAS>
                  </BdrOvlyProps>
                </BdrOvly>
                <BdrOvly>
                  <BdrOvlyProps>
                    <PT>1</PT>
                    <SON>12</SON>
                    <CBPLI/>
                    <FCN>0</FCN>
                    <I>True</I>
                    <BI>10</BI>
                    <LS>1</LS>
                    <W>2</W>
                    <CT>3</CT>
                    <CN>2</CN>
                    <TAS>0.4999542</TAS>
                  </BdrOvlyProps>
                </BdrOvly>
                <BdrOvly>
                  <BdrOvlyProps>
                    <PT>1</PT>
                    <SON>12</SON>
                    <CBPLI/>
                    <FCN>0</FCN>
                    <I>True</I>
                    <BI>8</BI>
                    <LS>1</LS>
                    <W>2</W>
                    <CT>3</CT>
                    <CN>2</CN>
                    <TAS>0.4999542</TAS>
                  </BdrOvlyProps>
                </BdrOvly>
                <BdrOvly>
                  <BdrOvlyProps>
                    <PT>1</PT>
                    <SON>12</SON>
                    <CBPLI/>
                    <FCN>0</FCN>
                    <I>True</I>
                    <BI>9</BI>
                    <LS>1</LS>
                    <W>2</W>
                    <CT>3</CT>
                    <CN>2</CN>
                    <TAS>0.4999542</TAS>
                  </BdrOvlyProps>
                </BdrOvly>
                <BdrOvly>
                  <BdrOvlyProps>
                    <PT>1</PT>
                    <SON>12</SON>
                    <CBPLI/>
                    <FCN>0</FCN>
                    <I>True</I>
                    <BI>12</BI>
                    <LS>1</LS>
                    <W>2</W>
                    <CT>3</CT>
                    <CN>2</CN>
                    <TAS>0.4999542</TAS>
                  </BdrOvlyProps>
                </BdrOvly>
              </BdrOvlys>
            </StlOvly>
            <StlOvly>
              <StlOvlyProps>
                <SON>13</SON>
                <INF>True</INF>
                <NT>0</NT>
                <DP>2</DP>
                <CNF/>
              </StlOvlyProps>
            </StlOvly>
          </StlOvlys>
          <ElmtsGrps>
            <ElmtsGrp>
              <ElmtsGrpProps>
                <NU>1</NU>
                <NA><![CDATA[Volumes]]></NA>
                <EGT>0</EGT>
                <DCC>6</DCC>
                <AST>False</AST>
                <ISTH>True</ISTH>
                <PTMCN>0</PTMCN>
                <PTBN>0</PTBN>
                <PTBI>0</PTBI>
                <GLN/>
                <CLOT>0</CLOT>
                <CLIT>0</CLIT>
                <PMLO>0</PMLO>
                <IPMLO>0</IPMLO>
              </ElmtsGrpProps>
            </ElmtsGrp>
          </ElmtsGrps>
          <ModComps>
            <ModComp>
              <ModCompProps>
                <MN>8</MN>
                <MCN>1</MCN>
                <MCTK>BaseCase</MCTK>
                <RT><![CDATA[<ModuleName> - Scenarios]]></RT>
                <ERN>MODMC30</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46</CTHN>
                                <ST>5</ST>
                                <VOFFF><![CDATA[<ModuleName>]]></VOFFF>
                              </ClmnBlkPtProps>
                              <RgeNmes>
                                <RgeNme>
                                  <RgeNmeProps>
                                    <CBPLI>1,1,2,2,1</CBPLI>
                                    <MCN>1</MCN>
                                    <SN>1</SN>
                                    <EN>2</EN>
                                    <CN>0</CN>
                                    <CBN>2</CBN>
                                    <CBPN>1</CBPN>
                                    <PT>1</PT>
                                    <CBPRNT>6</CBPRNT>
                                    <NT>12</NT>
                                    <SP1><![CDATA[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COUNTIF(§A¿0,1,1,1,5,3,1,1,0,0,FALSE,FALSE,1,5,3,1,2,0,0,FALSE,FALSE§Z¿,"<>0")=0,0,1)]]></VOFFF>
                              </ClmnBlkPtProps>
                              <Chk>
                                <ChkProps>
                                  <CBPLI>1,1,3,2,1</CBPLI>
                                  <CT>1</CT>
                                  <CN>5</CN>
                                  <HST>1</HST>
                                  <CHT/>
                                  <HCBPLI>1,1,2,2,1</HCBPLI>
                                </ChkProps>
                              </Chk>
                              <Cmts>
                                <Cmt>
                                  <CmtProps>
                                    <CBPLI>1,1,3,2,1</CBPLI>
                                    <WRN>1</WRN>
                                    <ERT>5</ERT>
                                    <COSTN>0</COSTN>
                                    <OC>0</OC>
                                    <HT><![CDATA[Sensitivity Check]]></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2</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9</SON>
                                <VOFFF><![CDATA[1]]></VOFFF>
                                <UDAV><![CDATA[1]]></UDAV>
                              </ClmnBlkPtProps>
                              <Vdtn>
                                <VdtnProps>
                                  <CBPLI>1,1,4,2,1</CBPLI>
                                  <ADVT>0</ADVT>
                                  <VT>7</VT>
                                </VdtnProps>
                              </Vdtn>
                              <RgeNmes>
                                <RgeNme>
                                  <RgeNmeProps>
                                    <CBPLI>1,1,4,2,1</CBPLI>
                                    <MCN>1</MCN>
                                    <SN>1</SN>
                                    <EN>4</EN>
                                    <CN>0</CN>
                                    <CBN>2</CBN>
                                    <CBPN>1</CBPN>
                                    <PT>1</PT>
                                    <CBPRNT>6</CBPRNT>
                                    <NT>-1</NT>
                                    <SP1><![CDATA[Active_Scenario]]></SP1>
                                    <SP2/>
                                    <FFF/>
                                    <CMT/>
                                  </RgeNmeProps>
                                </RgeNme>
                              </RgeNmes>
                              <LnkInForms>
                                <LnkInForm>
                                  <LnkInFormProps>
                                    <CBPLI>1,1,4,2,1</CBPLI>
                                    <ELN>1</ELN>
                                    <FFF><![CDATA[=§A¿10,FALSE,0,2,0,FALSE§Z¿]]></FFF>
                                  </LnkInFormProps>
                                </LnkInForm>
                              </LnkInForms>
                            </ClmnBlkPt>
                          </ClmnBlkPts>
                        </ClmnBlk>
                      </ClmnBlks>
                      <TtlCtg>
                        <TtlCtgProps>
                          <R>2</R>
                        </TtlCtgProps>
                        <LnkIn>
                          <LnkInProps>
                            <MN>8</MN>
                            <CLI>1,1,4,True,0</CLI>
                            <ELN>1</ELN>
                            <LOOT>2</LOOT>
                            <LOMN>2</LOMN>
                            <LOMCN>1</LOMCN>
                            <LOSN>1</LOSN>
                            <LOEN>9</LOEN>
                            <LOCN>0</LOCN>
                          </LnkInProps>
                        </LnkIn>
                      </TtlCtg>
                      <ElmtLnksIn>
                        <ElmtLnk>
                          <ElmtLnkProps>
                            <ELI>1,1,4</ELI>
                            <ELN>1</ELN>
                            <ELGN>1</ELGN>
                            <MLG>D4DCC3F9-35E2-4238-8D02-A3DB30F01813</MLG>
                            <ICBI>2</ICBI>
                            <ILBN/>
                            <LIBN>0</LIBN>
                          </ElmtLnkProps>
                        </ElmtLnk>
                      </ElmtLnksIn>
                    </Elmt>
                    <Elmt>
                      <ElmtProps>
                        <CPT>1</CPT>
                        <TOT>False</TOT>
                        <EGN>1</EGN>
                      </ElmtProps>
                      <ClmnBlks>
                        <ClmnBlk>
                          <ClmnBlkProps>
                            <FCPT>3</FCPT>
                            <FCN>2</FCN>
                            <FCOT>0</FCOT>
                            <FCOC>0</FCOC>
                            <FCPTBMCN>3</FCPTBMCN>
                            <FCPTBN>1</FCPTBN>
                            <LCPT>3</LCPT>
                            <LCN>2</LCN>
                            <LCOT>1</LCOT>
                            <LCOC>0</LCOC>
                            <LCPTBMCN>3</LCPTBMCN>
                            <LCPTBN>1</LCPTBN>
                          </ClmnBlkProps>
                          <ClmnBlkPts>
                            <ClmnBlkPt>
                              <ClmnBlkPtProps>
                                <CBPT>0</CBPT>
                                <ST>6</ST>
                                <VOFFF><![CDATA[=§A¿0,2,0,1,4,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8</FCN>
                            <FCOT>0</FCOT>
                            <FCOC>5</FCOC>
                            <FCPTBMCN>3</FCPTBMCN>
                            <FCPTBN>2</FCPTBN>
                            <LCPT>3</LCPT>
                            <LCN>8</LCN>
                            <LCOT>0</LCOT>
                            <LCOC>5</LCOC>
                            <LCPTBMCN>3</LCPTBMCN>
                            <LCPTBN>2</LCPTBN>
                          </ClmnBlkProps>
                          <ClmnBlkPts>
                            <ClmnBlkPt>
                              <ClmnBlkPtProps>
                                <CBPT>0</CBPT>
                                <ST>40</ST>
                                <SON>10</SON>
                                <VOFFF><![CDATA[Y+X]]></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3</FCPTBMCN>
                            <FCPTBN>2</FCPTBN>
                            <LCPT>3</LCPT>
                            <LCN>9</LCN>
                            <LCOT>1</LCOT>
                            <LCOC>0</LCOC>
                            <LCPTBMCN>3</LCPTBMCN>
                            <LCPTBN>2</LCPTBN>
                          </ClmnBlkProps>
                          <ClmnBlkPts>
                            <ClmnBlkPt>
                              <ClmnBlkPtProps>
                                <CBPT>0</CBPT>
                                <ST>18</ST>
                                <SON>12</SON>
                                <VOFFF><![CDATA[=INDEX(§A¿0,1,1,1,5,4,1,0,0,0,FALSE,TRUE,1,5,4,1,0,1,0,FALSE,TRUE§Z¿,0,§A¿1,1,1,1,4,0,2,1,1§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3</FCPTBMCN>
                            <FCPTBN>3</FCPTBN>
                            <LCPT>3</LCPT>
                            <LCN>12</LCN>
                            <LCOT>1</LCOT>
                            <LCOC>0</LCOC>
                            <LCPTBMCN>3</LCPTBMCN>
                            <LCPTBN>3</LCPTBN>
                          </ClmnBlkProps>
                          <ClmnBlkPts>
                            <ClmnBlkPt>
                              <ClmnBlkPtProps>
                                <CBPT>0</CBPT>
                                <ST>11</ST>
                                <SON>11</SON>
                                <VOFFF><![CDATA[0]]></VOFFF>
                                <UDAV><![CDATA[0]]></UDAV>
                              </ClmnBlkPtProps>
                              <Vdtn>
                                <VdtnProps>
                                  <CBPLI>1,1,5,4,1</CBPLI>
                                  <ADVT>0</ADVT>
                                  <VT>7</VT>
                                </VdtnProps>
                              </Vdtn>
                              <FmtCnds>
                                <FmtCnd>
                                  <FmtCndProps>
                                    <CBPLI>1,1,5,4,1</CBPLI>
                                    <FCN>1</FCN>
                                    <FCT>2</FCT>
                                    <FCO>1</FCO>
                                    <F1FFF><![CDATA[=§A¿1,1,1,1,4,0,2,1,1§Z¿=§A¿9,3,1,0,1,2,3,1,-1,0,0,TRUE,FALSE§Z¿]]></F1FFF>
                                    <F2FFF/>
                                    <SIT>False</SIT>
                                    <BSV>True</BSV>
                                    <BCT>0</BCT>
                                    <CNBCN>0</CNBCN>
                                    <BTAS>0</BTAS>
                                    <IST>1</IST>
                                    <RO>False</RO>
                                    <SIO>False</SIO>
                                    <TO>0</TO>
                                    <TS/>
                                    <DO>1</DO>
                                    <TB>1</TB>
                                    <R>10</R>
                                    <P>False</P>
                                    <AB>0</AB>
                                    <NSD>1</NSD>
                                    <DU>1</DU>
                                    <INF>False</INF>
                                    <NT>0</NT>
                                    <DP>0</DP>
                                    <CNF/>
                                  </FmtCndProps>
                                  <IntOvly>
                                    <IntOvlyProps>
                                      <PT>2</PT>
                                      <SON>0</SON>
                                      <CBPLI>1,1,5,4,1</CBPLI>
                                      <FCN>1</FCN>
                                      <IC>True</IC>
                                      <CT>3</CT>
                                      <CN>5</CN>
                                      <TAS>0.5999634</TAS>
                                    </IntOvlyProps>
                                  </IntOvly>
                                </FmtCnd>
                              </FmtCnd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6</CC>
                              <R>1</R>
                            </CatSpanProps>
                          </CatSpan>
                        </SubTtl>
                      </SubTtls>
                      <TtlCtg/>
                    </Elmt>
                  </Elmts>
                </Sect>
              </Sects>
            </ModComp>
            <ModComp>
              <ModCompProps>
                <MN>8</MN>
                <MCN>2</MCN>
                <MCTK>BaseCase</MCTK>
                <RT><![CDATA[<ModuleName> - Assumptions & Outputs]]></RT>
                <ERN>MODMC31</ERN>
                <MCST>1</MCST>
                <IPMC>False</IPMC>
                <SN>10</SN>
                <LODS>False</LODS>
                <LST>False</LST>
                <RSTF>False</RSTF>
                <STRA>0</STRA>
                <HS>False</HS>
                <IBOA>0</IBOA>
                <IB>False</IB>
                <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FCPTBMCN>4</FCPTBMCN>
                            <FCPTBN>1</FCPTBN>
                            <LCPT>3</LCPT>
                            <LCN>2</LCN>
                            <LCOT>1</LCOT>
                            <LCOC>0</LCOC>
                            <LCPTBMCN>4</LCPTBMCN>
                            <LCPTBN>1</LCPTBN>
                          </ClmnBlkProps>
                          <ClmnBlkPts>
                            <ClmnBlkPt>
                              <ClmnBlkPtProps>
                                <CBPT>5</CBPT>
                                <HCTHR>True</HCTHR>
                                <CTHN>47</CTHN>
                                <ST>3</ST>
                                <VOFFF><![CDATA[Membership & Utilisation]]></VOFFF>
                              </ClmnBlkPtProps>
                              <RgeNmes>
                                <RgeNme>
                                  <RgeNmeProps>
                                    <CBPLI>2,1,2,2,1</CBPLI>
                                    <MCN>2</MCN>
                                    <SN>1</SN>
                                    <EN>2</EN>
                                    <CN>0</CN>
                                    <CBN>2</CBN>
                                    <CBPN>1</CBPN>
                                    <PT>1</PT>
                                    <CBPRNT>6</CBPRNT>
                                    <NT>12</NT>
                                    <SP1><![CDATA[Ass_A]]></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1</CPT>
                        <TOT>False</TOT>
                        <EGN>1</EGN>
                      </ElmtProps>
                      <ClmnBlks>
                        <ClmnBlk>
                          <ClmnBlkProps>
                            <FCPT>3</FCPT>
                            <FCN>2</FCN>
                            <FCOT>0</FCOT>
                            <FCOC>0</FCOC>
                            <FCPTBMCN>4</FCPTBMCN>
                            <FCPTBN>1</FCPTBN>
                            <LCPT>3</LCPT>
                            <LCN>7</LCN>
                            <LCOT>0</LCOT>
                            <LCOC>4</LCOC>
                            <LCPTBMCN>4</LCPTBMCN>
                            <LCPTBN>2</LCPTBN>
                          </ClmnBlkProps>
                          <ClmnBlkPts>
                            <ClmnBlkPt>
                              <ClmnBlkPtProps>
                                <CBPT>0</CBPT>
                                <ST>8</ST>
                                <SON>13</SON>
                                <MC>True</MC>
                                <VOFFF><![CDATA[<ModuleName> Category <CategoryNumber>]]></VOFFF>
                                <UDAV><![CDATA[<ModuleName> Category <CategoryNumber>]]></UDAV>
                              </ClmnBlkPtProps>
                            </ClmnBlkPt>
                            <ClmnBlkPt>
                              <ClmnBlkPtProps>
                                <CBPT>1</CBPT>
                                <ST>6</ST>
                                <MC>True</MC>
                                <VOFFF><![CDATA[=§A¿0,2,0,1,4,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ModuleGeneric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11</ST>
                                <SON>13</SON>
                                <VOFFF><![CDATA[0]]></VOFFF>
                                <UDAV><![CDATA[0]]></UDAV>
                              </ClmnBlkPtProps>
                              <Vdtn>
                                <VdtnProps>
                                  <CBPLI>2,1,4,2,1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SubTtlHdgRow>
                            <SubTtlHdgRowProps>
                              <STLI>2,1,4,1</STLI>
                              <R>0</R>
                            </SubTtlHdgRowProps>
                          </SubTtlHdgRow>
                          <CatSpan>
                            <CatSpanProps>
                              <CC>6</CC>
                              <R>1</R>
                            </CatSpanProps>
                          </CatSpan>
                        </SubTtl>
                      </SubTtls>
                      <TtlCtg/>
                    </Elmt>
                    <Elmt>
                      <ElmtProps>
                        <CPT>2</CPT>
                      </ElmtProps>
                      <ClmnBlks>
                        <ClmnBlk>
                          <ClmnBlkProps>
                            <FCPT>3</FCPT>
                            <FCN>8</FCN>
                            <FCOT>0</FCOT>
                            <FCOC>5</FCOC>
                            <FCPTBMCN>4</FCPTBMCN>
                            <FCPTBN>2</FCPTBN>
                            <LCPT>3</LCPT>
                            <LCN>8</LCN>
                            <LCOT>0</LCOT>
                            <LCOC>5</LCOC>
                            <LCPTBMCN>4</LCPTBMCN>
                            <LCPTBN>2</LCPTBN>
                          </ClmnBlkProps>
                          <ClmnBlkPts>
                            <ClmnBlkPt>
                              <ClmnBlkPtProps>
                                <CBPT>5</CBPT>
                                <ST>5</ST>
                                <SON>6</SON>
                                <VOFFF><![CDATA[Scenarios]]></VOFFF>
                              </ClmnBlkPtProps>
                            </ClmnBlkPt>
                          </ClmnBlkPts>
                        </ClmnBlk>
                      </ClmnBlks>
                      <TtlCtg>
                        <TtlCtgProps>
                          <R>1</R>
                        </TtlCtgProp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2,0,1,4,1,1,0,0,0,FALSE,FALSE§Z¿]]></VOFFF>
                                <UDAV><![CDATA[Category <CategoryNumber>]]></UDAV>
                              </ClmnBlkPtProps>
                            </ClmnBlkPt>
                            <ClmnBlkPt>
                              <ClmnBlkPtProps>
                                <CBPT>1</CBPT>
                                <ST>6</ST>
                                <VOFFF><![CDATA[=§A¿0,2,0,1,6,1,3,0,0,0,FALSE,FALSE§Z¿]]></VOFFF>
                                <UDAV><![CDATA[<CategoriesGroupName> Sub-Total <SubTotalNumber>]]></UDAV>
                              </ClmnBlkPtProps>
                            </ClmnBlkPt>
                            <ClmnBlkPt>
                              <ClmnBlkPtProps>
                                <CBPT>2</CBPT>
                                <ST>5</ST>
                                <VOFFF><![CDATA[=§A¿0,2,0,1,4,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ModuleGenericName>]]></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18</ST>
                                <SON>7</SON>
                                <VOFFF><![CDATA[=§A¿0,1,0,1,5,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2,0,1,4,2,1,0,0,0,FALSE,FALSE§Z¿+§A¿0,2,0,1,6,2,1,0,0,0,FALSE,TRU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SubTtlHdgRow>
                            <SubTtlHdgRowProps>
                              <STLI>2,1,6,1</STLI>
                              <R>0</R>
                            </SubTtlHdgRowProps>
                          </SubTtlHdgRow>
                          <CatSpan>
                            <CatSpanProps>
                              <CC>6</CC>
                              <R>1</R>
                            </CatSpanProps>
                          </CatSpan>
                        </SubTtl>
                      </SubTtls>
                      <TtlCtg/>
                      <ElmtLnksOut>
                        <ElmtLnk>
                          <ElmtLnkProps>
                            <ELI>2,1,6</ELI>
                            <ELN>1</ELN>
                            <ELGN>1</ELGN>
                            <MLG>7AB854AD-82D6-4A6E-B517-5DEC3CD15055</MLG>
                            <ICBI>1,3</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rror Check]]></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3</SON>
                                <VOFFF><![CDATA[=IF(ISERROR(SUM(§A¿0,2,1,1,8,3,1,0,0,0,FALSE,FALSE,1,8,3,1,0,1,0,FALSE,FALSE§Z¿)),1,MIN(SUM(§A¿0,2,1,1,8,3,1,0,0,0,FALSE,FALSE,1,8,3,1,0,1,0,FALSE,FALSE§Z¿),1))]]></VOFFF>
                              </ClmnBlkPtProps>
                              <Chk>
                                <ChkProps>
                                  <CBPLI>2,1,8,2,1</CBPLI>
                                  <CT>0</CT>
                                  <CN>30</CN>
                                  <HST>1</HST>
                                  <CHT/>
                                  <HCBPLI>2,1,2,2,1</HCBPLI>
                                </ChkProps>
                              </Chk>
                              <Cmts>
                                <Cmt>
                                  <CmtProps>
                                    <CBPLI>2,1,8,2,1</CBPLI>
                                    <WRN>1</WRN>
                                    <ERT>5</ERT>
                                    <COSTN>0</COSTN>
                                    <OC>0</OC>
                                    <HT><![CDATA[Error Check]]></HT>
                                    <HFS>0</HFS>
                                    <BT><![CDATA[Flags the existence of errors.]]></BT>
                                    <BFS>0</BFS>
                                    <H>108</H>
                                    <W>128</W>
                                  </CmtProps>
                                </Cmt>
                              </Cmts>
                              <FmtCnds>
                                <FmtCnd>
                                  <FmtCndProps>
                                    <CBPLI>2,1,8,2,1</CBPLI>
                                    <FCN>1</FCN>
                                    <FCT>1</FCT>
                                    <FCO>4</FCO>
                                    <F1FFF><![CDATA[=0]]></F1FFF>
                                    <F2FFF/>
                                    <SIT>False</SIT>
                                    <BSV>True</BSV>
                                    <BCT>0</BCT>
                                    <CNBCN>0</CNBCN>
                                    <BTAS>0</BTAS>
                                    <IST>1</IST>
                                    <RO>False</RO>
                                    <SIO>False</SIO>
                                    <TO>0</TO>
                                    <TS/>
                                    <DO>1</DO>
                                    <TB>1</TB>
                                    <R>10</R>
                                    <P>False</P>
                                    <AB>0</AB>
                                    <NSD>1</NSD>
                                    <DU>1</DU>
                                    <INF>False</INF>
                                    <NT>0</NT>
                                    <DP>0</DP>
                                    <CNF/>
                                  </FmtCndProps>
                                  <FntOvly>
                                    <FntOvlyProps>
                                      <PT>2</PT>
                                      <SON>0</SON>
                                      <CBPLI>2,1,8,2,1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SUM(§A¿0,2,1,1,6,3,1,1,0,0,FALSE,FALSE,1,6,3,1,2,0,0,FALSE,FALSE§Z¿)),1,0)]]></VOFFF>
                              </ClmnBlkPtProps>
                              <FmtCnds>
                                <FmtCnd>
                                  <FmtCndProps>
                                    <CBPLI>2,1,8,3,1</CBPLI>
                                    <FCN>1</FCN>
                                    <FCT>1</FCT>
                                    <FCO>4</FCO>
                                    <F1FFF><![CDATA[=0]]></F1FFF>
                                    <F2FFF/>
                                    <SIT>False</SIT>
                                    <BSV>True</BSV>
                                    <BCT>0</BCT>
                                    <CNBCN>0</CNBCN>
                                    <BTAS>0</BTAS>
                                    <IST>1</IST>
                                    <RO>False</RO>
                                    <SIO>False</SIO>
                                    <TO>0</TO>
                                    <TS/>
                                    <DO>1</DO>
                                    <TB>1</TB>
                                    <R>10</R>
                                    <P>False</P>
                                    <AB>0</AB>
                                    <NSD>1</NSD>
                                    <DU>1</DU>
                                    <INF>False</INF>
                                    <NT>0</NT>
                                    <DP>0</DP>
                                    <CNF/>
                                  </FmtCndProps>
                                  <FntOvly>
                                    <FntOvlyProps>
                                      <PT>2</PT>
                                      <SON>0</SON>
                                      <CBPLI>2,1,8,3,1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ert Check (Negative <ModuleGenericName>)]]></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2</SON>
                                <VOFFF><![CDATA[=IF(ISERROR(SUM(§A¿0,2,1,1,9,3,1,0,0,0,FALSE,FALSE,1,9,3,1,0,1,0,FALSE,FALSE§Z¿)),1,MIN(SUM(§A¿0,2,1,1,9,3,1,0,0,0,FALSE,FALSE,1,9,3,1,0,1,0,FALSE,FALSE§Z¿),1))]]></VOFFF>
                              </ClmnBlkPtProps>
                              <Chk>
                                <ChkProps>
                                  <CBPLI>2,1,9,2,1</CBPLI>
                                  <CT>2</CT>
                                  <CN>17</CN>
                                  <HST>1</HST>
                                  <CHT/>
                                  <HCBPLI>2,1,2,2,1</HCBPLI>
                                </ChkProps>
                              </Chk>
                              <Cmts>
                                <Cmt>
                                  <CmtProps>
                                    <CBPLI>2,1,9,2,1</CBPLI>
                                    <WRN>1</WRN>
                                    <ERT>5</ERT>
                                    <COSTN>0</COSTN>
                                    <OC>0</OC>
                                    <HT><![CDATA[Alert Check]]></HT>
                                    <HFS>0</HFS>
                                    <BT><![CDATA[Flags the occurrence of designated events.]]></BT>
                                    <BFS>0</BFS>
                                    <H>94</H>
                                    <W>128</W>
                                  </CmtProps>
                                </Cmt>
                              </Cmts>
                              <FmtCnds>
                                <FmtCnd>
                                  <FmtCndProps>
                                    <CBPLI>2,1,9,2,1</CBPLI>
                                    <FCN>1</FCN>
                                    <FCT>1</FCT>
                                    <FCO>4</FCO>
                                    <F1FFF><![CDATA[=0]]></F1FFF>
                                    <F2FFF/>
                                    <SIT>False</SIT>
                                    <BSV>True</BSV>
                                    <BCT>0</BCT>
                                    <CNBCN>0</CNBCN>
                                    <BTAS>0</BTAS>
                                    <IST>1</IST>
                                    <RO>False</RO>
                                    <SIO>False</SIO>
                                    <TO>0</TO>
                                    <TS/>
                                    <DO>1</DO>
                                    <TB>1</TB>
                                    <R>10</R>
                                    <P>False</P>
                                    <AB>0</AB>
                                    <NSD>1</NSD>
                                    <DU>1</DU>
                                    <INF>False</INF>
                                    <NT>0</NT>
                                    <DP>0</DP>
                                    <CNF/>
                                  </FmtCndProps>
                                  <FntOvly>
                                    <FntOvlyProps>
                                      <PT>2</PT>
                                      <SON>0</SON>
                                      <CBPLI>2,1,9,2,1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2,0,1,8,3,1,-1,0,0,FALSE,FALSE§Z¿=1,0,IF(MIN(§A¿0,2,1,1,6,3,1,1,0,0,FALSE,FALSE,1,6,3,1,2,0,0,FALSE,FALSE§Z¿)<0,1,0))]]></VOFFF>
                              </ClmnBlkPtProps>
                              <FmtCnds>
                                <FmtCnd>
                                  <FmtCndProps>
                                    <CBPLI>2,1,9,3,1</CBPLI>
                                    <FCN>1</FCN>
                                    <FCT>1</FCT>
                                    <FCO>4</FCO>
                                    <F1FFF><![CDATA[=0]]></F1FFF>
                                    <F2FFF/>
                                    <SIT>False</SIT>
                                    <BSV>True</BSV>
                                    <BCT>0</BCT>
                                    <CNBCN>0</CNBCN>
                                    <BTAS>0</BTAS>
                                    <IST>1</IST>
                                    <RO>False</RO>
                                    <SIO>False</SIO>
                                    <TO>0</TO>
                                    <TS/>
                                    <DO>1</DO>
                                    <TB>1</TB>
                                    <R>10</R>
                                    <P>False</P>
                                    <AB>0</AB>
                                    <NSD>1</NSD>
                                    <DU>1</DU>
                                    <INF>False</INF>
                                    <NT>0</NT>
                                    <DP>0</DP>
                                    <CNF/>
                                  </FmtCndProps>
                                  <FntOvly>
                                    <FntOvlyProps>
                                      <PT>2</PT>
                                      <SON>0</SON>
                                      <CBPLI>2,1,9,3,1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Rev]]></P>
            <OI>500</OI>
            <MN>0</MN>
            <MAG>E72A3FD0-52CB-410C-9CE7-3A25AE62CEAD</MAG>
            <BN><![CDATA[Revenue]]></BN>
            <N><![CDATA[Revenue]]></N>
            <TS><![CDATA[Scenarios & Monthly]]></TS>
            <D><![CDATA[Calculates revenue for a number of revenue categories over a number of time series periods.]]></D>
            <FS><![CDATA[Allows for a separate module for each revenue category to facilitate variable drivers functionalities.&#13;&#10;Allows for scenario assumptions to be included within a central scenario manager.]]></FS>
            <R><![CDATA[Any]]></R>
            <GE><![CDATA[Revenue]]></GE>
            <CA><![CDATA[Variable Drivers, Scenarios]]></CA>
            <VA><![CDATA[Single Component]]></VA>
            <GST><![CDATA[None]]></GST>
            <DE><![CDATA[Modano]]></DE>
            <E><![CDATA[info@modano.com]]></E>
            <C><![CDATA[Modano]]></C>
            <W><![CDATA[www.modano.com]]></W>
            <K/>
            <CO/>
            <V>11.0.1.0.</V>
            <AX>2</AX>
            <SX/>
            <PMLO>False</PMLO>
            <IPMLO>False</IPMLO>
            <MACA>0</MACA>
            <HP>False</HP>
            <DR>False</DR>
            <RTSM>True</RTSM>
            <CC>True</CC>
            <X>False</X>
            <G>FF4928F5-7E53-4BF0-96A7-1C96FF5AE66C</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
              <RowStgProps>
                <RSN>6</RSN>
                <RHST>1</RHST>
                <HS>25</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
              <StlOvlyProps>
                <SON>8</SON>
                <INF>True</INF>
                <NT>0</NT>
                <DP>0</DP>
                <CNF><![CDATA[_(#,##0.0_);(#,##0.0);_-"-"_-;_)@_)]]></CNF>
              </StlOvlyProps>
              <FntOvly>
                <FntOvlyProps>
                  <PT>1</PT>
                  <SON>8</SON>
                  <CBPLI>0,0,0,0,0</CBPLI>
                  <FCN>0</FCN>
                  <CN>0</CN>
                  <IB>True</IB>
                  <B>True</B>
                </FntOvlyProps>
              </FntOvly>
              <BdrOvlys>
                <BdrOvly>
                  <BdrOvlyProps>
                    <PT>1</PT>
                    <SON>8</SON>
                    <CBPLI/>
                    <FCN>0</FCN>
                    <I>True</I>
                    <BI>10</BI>
                    <LS>1</LS>
                    <W>2</W>
                  </BdrOvlyProps>
                </BdrOvly>
              </BdrOvlys>
            </StlOvly>
            <StlOvly>
              <StlOvlyProps>
                <SON>9</SON>
                <INF>True</INF>
                <NT>-2</NT>
                <DP>0</DP>
                <CNF><![CDATA[_(#,##0_);(#,##0);_("-"_);_)@_)]]></CNF>
              </StlOvlyProps>
              <FntOvly>
                <FntOvlyProps>
                  <PT>1</PT>
                  <SON>9</SON>
                  <CBPLI>0,0,0,0,0</CBPLI>
                  <FCN>0</FCN>
                  <CN>0</CN>
                  <IB>True</IB>
                  <B>True</B>
                </FntOvlyProps>
              </FntOvly>
              <BdrOvlys>
                <BdrOvly>
                  <BdrOvlyProps>
                    <PT>1</PT>
                    <SON>9</SON>
                    <CBPLI/>
                    <FCN>0</FCN>
                    <I>True</I>
                    <BI>8</BI>
                    <LS>1</LS>
                    <W>2</W>
                  </BdrOvlyProps>
                </BdrOvly>
              </BdrOvlys>
            </StlOvly>
          </StlOvlys>
          <ElmtsGrps>
            <ElmtsGrp>
              <ElmtsGrpProps>
                <NU>1</NU>
                <NA><![CDATA[Revenue]]></NA>
                <EGT>0</EGT>
                <DCC>6</DCC>
                <AST>False</AST>
                <ISTH>True</ISTH>
                <PTMCN>0</PTMCN>
                <PTBN>0</PTBN>
                <PTBI>0</PTBI>
                <GLN/>
                <CLOT>0</CLOT>
                <CLIT>0</CLIT>
                <PMLO>0</PMLO>
                <IPMLO>0</IPMLO>
              </ElmtsGrpProps>
            </ElmtsGrp>
          </ElmtsGrps>
          <ModComps>
            <ModComp>
              <ModCompProps>
                <MN>9</MN>
                <MCN>1</MCN>
                <MCTK>BaseCase</MCTK>
                <RT><![CDATA[<ModuleName> - Scenarios]]></RT>
                <ERN>MODMC21</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28</CTHN>
                                <ST>5</ST>
                                <VOFFF><![CDATA[<ModuleName>]]></VOFFF>
                              </ClmnBlkPtProps>
                              <RgeNmes>
                                <RgeNme>
                                  <RgeNmeProps>
                                    <CBPLI>1,1,2,2,1</CBPLI>
                                    <MCN>1</MCN>
                                    <SN>1</SN>
                                    <EN>2</EN>
                                    <CN>0</CN>
                                    <CBN>2</CBN>
                                    <CBPN>1</CBPN>
                                    <PT>1</PT>
                                    <CBPRNT>6</CBPRNT>
                                    <NT>12</NT>
                                    <SP1><![CDATA[Scen_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ROWS(§A¿0,3|4,1,1,2,2,1,-1,0,0,TRUE,TRUE,1,1,2,1,-1,0,0,TRUE,TRUE§Z¿)=2,0,IF(COUNTIF(OFFSET(§A¿0,3,0,1,2,2,1,-1,0,0,TRUE,TRUE§Z¿,1,0,ROWS(§A¿0,3|4,1,1,2,2,1,-1,0,0,TRUE,TRUE,1,1,2,1,-1,0,0,TRUE,TRUE§Z¿)-2,1),"<>0")-COUNTBLANK(OFFSET(§A¿0,3,0,1,2,2,1,-1,0,0,TRUE,TRUE§Z¿,1,0,ROWS(§A¿0,3|4,1,1,2,2,1,-1,0,0,TRUE,TRUE,1,1,2,1,-1,0,0,TRUE,TRUE§Z¿)-2,1))>0,1,0))]]></VOFFF>
                              </ClmnBlkPtProps>
                              <Chk>
                                <ChkProps>
                                  <CBPLI>1,1,3,2,1</CBPLI>
                                  <CT>1</CT>
                                  <CN>1</CN>
                                  <HST>1</HST>
                                  <CHT/>
                                  <HCBPLI>1,1,2,2,1</HCBPLI>
                                </ChkProps>
                              </Chk>
                              <Cmts>
                                <Cmt>
                                  <CmtProps>
                                    <CBPLI>1,1,3,2,1</CBPLI>
                                    <WRN>1</WRN>
                                    <ERT>5</ERT>
                                    <COSTN>0</COSTN>
                                    <OC>0</OC>
                                    <HT><![CDATA[Sensitivity]]></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4</R>
                        </TtlCtgProps>
                      </TtlCtg>
                    </Elmt>
                    <Elmt>
                      <ElmtProps>
                        <CPT>2</CPT>
                      </ElmtProps>
                      <TtlCtg>
                        <TtlCtgProps>
                          <R>6</R>
                        </TtlCtgProps>
                      </TtlCtg>
                    </Elmt>
                  </Elmts>
                </Sect>
              </Sects>
            </ModComp>
            <ModComp>
              <ModCompProps>
                <MN>9</MN>
                <MCN>2</MCN>
                <MCTK>BaseCase</MCTK>
                <RT><![CDATA[<ModuleName> - Top]]></RT>
                <ERN>MODMC22</ERN>
                <MCST>1</MCST>
                <IPMC>False</IPMC>
                <SN>10</SN>
                <LODS>False</LODS>
                <LST>False</LST>
                <RSTF>False</RSTF>
                <STRA>0</STRA>
                <HS>False</HS>
                <IBOA>0</IBOA>
                <IB>True</IB>
                <CI><![CDATA[Revenue Assumptions]]></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LCPT>3</LCPT>
                            <LCN>2</LCN>
                            <LCOT>1</LCOT>
                            <LCOC>0</LCOC>
                          </ClmnBlkProps>
                          <ClmnBlkPts>
                            <ClmnBlkPt>
                              <ClmnBlkPtProps>
                                <CBPT>5</CBPT>
                                <HCTHR>True</HCTHR>
                                <CTHN>34</CTHN>
                                <ST>3</ST>
                                <VOFFF><![CDATA[<ModuleName>]]></VOFFF>
                              </ClmnBlkPtProps>
                              <RgeNmes>
                                <RgeNme>
                                  <RgeNmeProps>
                                    <CBPLI>2,1,2,2,1</CBPLI>
                                    <MCN>2</MCN>
                                    <SN>1</SN>
                                    <EN>2</EN>
                                    <CN>0</CN>
                                    <CBN>2</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9</MN>
                <MCN>3</MCN>
                <MCTK>BaseCase</MCTK>
                <RT><![CDATA[<ModuleName> - Middle]]></RT>
                <ERN>MODMC47</ERN>
                <MCST>1</MCST>
                <IPMC>False</IPMC>
                <SN>10</SN>
                <LODS>False</LODS>
                <LST>False</LST>
                <RSTF>False</RSTF>
                <STRA>0</STRA>
                <HS>False</HS>
                <IBOA>0</IBOA>
                <IB>True</IB>
                <CI><![CDATA[Revenue Outputs]]></CI>
                <PTI/>
                <PTP>False</PTP>
                <PTD><![CDATA[Monthly time series periods.]]></PTD>
                <PTMCN>4</PTMCN>
                <CROL>0</CROL>
                <CCOL>0</CCOL>
                <AMFN>0</AMFN>
              </ModCompProps>
              <Sects>
                <Sect>
                  <SectProps>
                    <LI>3,1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Scenarios]]></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9</MN>
                <MCN>4</MCN>
                <MCTK>BaseCase</MCTK>
                <RT><![CDATA[<ModuleName> - Bottom]]></RT>
                <ERN>MODMC48</ERN>
                <MCST>1</MCST>
                <IPMC>False</IPMC>
                <SN>10</SN>
                <LODS>False</LODS>
                <LST>False</LST>
                <RSTF>False</RSTF>
                <STRA>0</STRA>
                <HS>False</HS>
                <IBOA>4</IBOA>
                <IB>True</IB>
                <CI/>
                <PTI/>
                <PTP>False</PTP>
                <PTD><![CDATA[Monthly time series periods.]]></PTD>
                <PTMCN>4</PTMCN>
                <CROL>0</CROL>
                <CCOL>0</CCOL>
                <AMFN>0</AMFN>
              </ModCompProps>
              <Sects>
                <Sect>
                  <SectProps>
                    <LI>4,1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9</SON>
                                <VOFFF><![CDATA[=IF(ROWS(§A¿0,3|4,1,1,2,3,1,-1,0,0,TRUE,FALSE,1,1,3,1,-1,0,0,TRUE,FALSE§Z¿)=2,0,SUM(OFFSET(§A¿0,3,0,1,2,3,1,-1,0,0,TRUE,FALSE§Z¿,1,0,ROWS(§A¿0,3|4,1,1,2,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2,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4,1,4,1,1</CBPLI>
                                    <ELN>1</ELN>
                                    <FFF><![CDATA[=§A¿10,FALSE,0,1,0,FALSE§Z¿]]></FFF>
                                  </LnkInFormProps>
                                </LnkInForm>
                              </LnkInForms>
                            </ClmnBlkPt>
                            <ClmnBlkPt>
                              <ClmnBlkPtProps>
                                <CBPT>1</CBPT>
                                <ST>6</ST>
                                <VOFFF><![CDATA[=§A¿0,4,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4,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4,1,4,2,1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9</MN>
                                  <CLI>4,1,4,False,1</CLI>
                                  <ELN>1</ELN>
                                  <LOOT>2</LOOT>
                                  <LOMN>10</LOMN>
                                  <LOMCN>3</LOMCN>
                                  <LOSN>1</LOSN>
                                  <LOEN>1</LOEN>
                                  <LOCN>0</LOCN>
                                </LnkInProps>
                              </LnkIn>
                            </Ctg>
                            <Ctg>
                              <CtgProps>
                                <R>4</R>
                              </CtgProps>
                              <LnkIn>
                                <LnkInProps>
                                  <MN>9</MN>
                                  <CLI>4,1,4,False,2</CLI>
                                  <ELN>1</ELN>
                                  <LOOT>2</LOOT>
                                  <LOMN>11</LOMN>
                                  <LOMCN>2</LOMCN>
                                  <LOSN>1</LOSN>
                                  <LOEN>1</LOEN>
                                  <LOCN>0</LOCN>
                                </LnkInProps>
                              </LnkIn>
                            </Ctg>
                            <Ctg>
                              <CtgProps>
                                <R>4</R>
                              </CtgProps>
                              <LnkIn>
                                <LnkInProps>
                                  <MN>9</MN>
                                  <CLI>4,1,4,False,3</CLI>
                                  <ELN>1</ELN>
                                  <LOOT>2</LOOT>
                                  <LOMN>12</LOMN>
                                  <LOMCN>3</LOMCN>
                                  <LOSN>1</LOSN>
                                  <LOEN>1</LOEN>
                                  <LOCN>0</LOCN>
                                </LnkInProps>
                              </LnkIn>
                            </Ctg>
                            <Ctg>
                              <CtgProps>
                                <R>4</R>
                              </CtgProps>
                              <LnkIn>
                                <LnkInProps>
                                  <MN>9</MN>
                                  <CLI>4,1,4,False,4</CLI>
                                  <ELN>1</ELN>
                                  <LOOT>2</LOOT>
                                  <LOMN>13</LOMN>
                                  <LOMCN>3</LOMCN>
                                  <LOSN>1</LOSN>
                                  <LOEN>1</LOEN>
                                  <LOCN>0</LOCN>
                                </LnkInProps>
                              </LnkIn>
                            </Ctg>
                            <Ctg>
                              <CtgProps>
                                <R>4</R>
                              </CtgProps>
                              <LnkIn>
                                <LnkInProps>
                                  <MN>9</MN>
                                  <CLI>4,1,4,False,5</CLI>
                                  <ELN>1</ELN>
                                  <LOOT>2</LOOT>
                                  <LOMN>14</LOMN>
                                  <LOMCN>3</LOMCN>
                                  <LOSN>1</LOSN>
                                  <LOEN>1</LOEN>
                                  <LOCN>0</LOCN>
                                </LnkInProps>
                              </LnkIn>
                            </Ctg>
                          </Ctgs>
                        </SubTtl>
                      </SubTtls>
                      <TtlCtg>
                        <TtlCtgProps>
                          <R>4</R>
                        </TtlCtgProps>
                      </TtlCtg>
                      <ElmtLnksOut>
                        <ElmtLnk>
                          <ElmtLnkProps>
                            <ELI>4,1,4</ELI>
                            <ELN>1</ELN>
                            <ELGN>1</ELGN>
                            <MLG>5BC5876E-4C28-4493-A230-4320A45C1EFE</MLG>
                            <ICBI>1,2</ICBI>
                            <ILBN>1,2</ILBN>
                            <LIBN>0</LIBN>
                          </ElmtLnkProps>
                        </ElmtLnk>
                      </ElmtLnksOut>
                      <ElmtLnksIn>
                        <ElmtLnk>
                          <ElmtLnkProps>
                            <ELI>4,1,4</ELI>
                            <ELN>1</ELN>
                            <ELGN>1</ELGN>
                            <MLG>5D403475-D128-43EE-B901-D1DA3186143C</MLG>
                            <ICBI>1,2</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4,0,1,1,3,1,-1,0,0,FALSE,FALSE§Z¿-§A¿0,4,0,1,4,2,6,-1,0,0,FALSE,FALSE§Z¿),1,0)]]></VOFFF>
                              </ClmnBlkPtProps>
                              <FmtCnds>
                                <FmtCnd>
                                  <FmtCndProps>
                                    <CBPLI>4,1,6,2,1</CBPLI>
                                    <FCN>1</FCN>
                                    <FCT>1</FCT>
                                    <FCO>4</FCO>
                                    <F1FFF><![CDATA[=0]]></F1FFF>
                                    <F2FFF/>
                                    <SIT>False</SIT>
                                    <BSV>True</BSV>
                                    <BCT>0</BCT>
                                    <CNBCN>0</CNBCN>
                                    <BTAS>0</BTAS>
                                    <IST>1</IST>
                                    <RO>False</RO>
                                    <SIO>False</SIO>
                                    <TO>0</TO>
                                    <TS/>
                                    <DO>1</DO>
                                    <TB>1</TB>
                                    <R>10</R>
                                    <P>False</P>
                                    <AB>0</AB>
                                    <NSD>1</NSD>
                                    <DU>1</DU>
                                    <INF>False</INF>
                                    <NT>0</NT>
                                    <DP>0</DP>
                                    <CNF/>
                                  </FmtCndProps>
                                  <FntOvly>
                                    <FntOvlyProps>
                                      <PT>2</PT>
                                      <SON>0</SON>
                                      <CBPLI>4,1,6,2,1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4,0,1,6,2,1,-1,0,0,FALSE,FALSE§Z¿<>0,0,IF(ROUND(§A¿0,4,0,1,1,3,1,-1,0,0,FALSE,FALSE§Z¿-§A¿0,4,0,1,4,2,6,-1,0,0,FALSE,FALSE§Z¿,5)<>0,1,0))]]></VOFFF>
                              </ClmnBlkPtProps>
                              <FmtCnds>
                                <FmtCnd>
                                  <FmtCndProps>
                                    <CBPLI>4,1,7,2,1</CBPLI>
                                    <FCN>1</FCN>
                                    <FCT>1</FCT>
                                    <FCO>4</FCO>
                                    <F1FFF><![CDATA[=0]]></F1FFF>
                                    <F2FFF/>
                                    <SIT>False</SIT>
                                    <BSV>True</BSV>
                                    <BCT>0</BCT>
                                    <CNBCN>0</CNBCN>
                                    <BTAS>0</BTAS>
                                    <IST>1</IST>
                                    <RO>False</RO>
                                    <SIO>False</SIO>
                                    <TO>0</TO>
                                    <TS/>
                                    <DO>1</DO>
                                    <TB>1</TB>
                                    <R>10</R>
                                    <P>False</P>
                                    <AB>0</AB>
                                    <NSD>1</NSD>
                                    <DU>1</DU>
                                    <INF>False</INF>
                                    <NT>0</NT>
                                    <DP>0</DP>
                                    <CNF/>
                                  </FmtCndProps>
                                  <FntOvly>
                                    <FntOvlyProps>
                                      <PT>2</PT>
                                      <SON>0</SON>
                                      <CBPLI>4,1,7,2,1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0,§A¿0,4,1,1,8,3,1,-1,0,0,FALSE,FALSE,1,8,3,1,-1,1,0,FALSE,FALSE§Z¿)),1,MIN(SUM(§A¿0,4,1,1,8,3,1,-1,0,0,FALSE,FALSE,1,8,3,1,-1,1,0,FALSE,FALSE§Z¿),1))]]></VOFFF>
                              </ClmnBlkPtProps>
                              <Chk>
                                <ChkProps>
                                  <CBPLI>4,1,8,2,1</CBPLI>
                                  <CT>0</CT>
                                  <CN>19</CN>
                                  <HST>1</HST>
                                  <CHT/>
                                  <HCBPLI>2,1,2,2,1</HCBPLI>
                                </ChkProps>
                              </Chk>
                              <Cmts>
                                <Cmt>
                                  <CmtProps>
                                    <CBPLI>4,1,8,2,1</CBPLI>
                                    <WRN>1</WRN>
                                    <ERT>5</ERT>
                                    <COSTN>0</COSTN>
                                    <OC>0</OC>
                                    <HT><![CDATA[Error Check]]></HT>
                                    <HFS>0</HFS>
                                    <BT><![CDATA[Flags the existence of errors.]]></BT>
                                    <BFS>0</BFS>
                                    <H>103</H>
                                    <W>128</W>
                                  </CmtProps>
                                </Cmt>
                              </Cmts>
                              <FmtCnds>
                                <FmtCnd>
                                  <FmtCndProps>
                                    <CBPLI>4,1,8,2,1</CBPLI>
                                    <FCN>1</FCN>
                                    <FCT>1</FCT>
                                    <FCO>4</FCO>
                                    <F1FFF><![CDATA[=0]]></F1FFF>
                                    <F2FFF/>
                                    <SIT>False</SIT>
                                    <BSV>True</BSV>
                                    <BCT>0</BCT>
                                    <CNBCN>0</CNBCN>
                                    <BTAS>0</BTAS>
                                    <IST>1</IST>
                                    <RO>False</RO>
                                    <SIO>False</SIO>
                                    <TO>0</TO>
                                    <TS/>
                                    <DO>1</DO>
                                    <TB>1</TB>
                                    <R>10</R>
                                    <P>False</P>
                                    <AB>0</AB>
                                    <NSD>1</NSD>
                                    <DU>1</DU>
                                    <INF>False</INF>
                                    <NT>0</NT>
                                    <DP>0</DP>
                                    <CNF/>
                                  </FmtCndProps>
                                  <FntOvly>
                                    <FntOvlyProps>
                                      <PT>2</PT>
                                      <SON>0</SON>
                                      <CBPLI>4,1,8,2,1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4,1,1,6,2,1,-1,0,0,FALSE,FALSE,1,7,2,1,-1,0,0,FALSE,FALSE§Z¿),1)]]></VOFFF>
                              </ClmnBlkPtProps>
                              <FmtCnds>
                                <FmtCnd>
                                  <FmtCndProps>
                                    <CBPLI>4,1,8,3,1</CBPLI>
                                    <FCN>1</FCN>
                                    <FCT>1</FCT>
                                    <FCO>4</FCO>
                                    <F1FFF><![CDATA[=0]]></F1FFF>
                                    <F2FFF/>
                                    <SIT>False</SIT>
                                    <BSV>True</BSV>
                                    <BCT>0</BCT>
                                    <CNBCN>0</CNBCN>
                                    <BTAS>0</BTAS>
                                    <IST>1</IST>
                                    <RO>False</RO>
                                    <SIO>False</SIO>
                                    <TO>0</TO>
                                    <TS/>
                                    <DO>1</DO>
                                    <TB>1</TB>
                                    <R>10</R>
                                    <P>False</P>
                                    <AB>0</AB>
                                    <NSD>1</NSD>
                                    <DU>1</DU>
                                    <INF>False</INF>
                                    <NT>0</NT>
                                    <DP>0</DP>
                                    <CNF/>
                                  </FmtCndProps>
                                  <FntOvly>
                                    <FntOvlyProps>
                                      <PT>2</PT>
                                      <SON>0</SON>
                                      <CBPLI>4,1,8,3,1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4,1,1,9,3,1,-1,0,0,FALSE,FALSE,1,9,3,1,-1,1,0,FALSE,FALSE§Z¿)),1,MIN(SUM(§A¿0,4,1,1,9,3,1,-1,0,0,FALSE,FALSE,1,9,3,1,-1,1,0,FALSE,FALSE§Z¿),1))]]></VOFFF>
                              </ClmnBlkPtProps>
                              <Chk>
                                <ChkProps>
                                  <CBPLI>4,1,9,2,1</CBPLI>
                                  <CT>2</CT>
                                  <CN>13</CN>
                                  <HST>1</HST>
                                  <CHT/>
                                  <HCBPLI>2,1,2,2,1</HCBPLI>
                                </ChkProps>
                              </Chk>
                              <Cmts>
                                <Cmt>
                                  <CmtProps>
                                    <CBPLI>4,1,9,2,1</CBPLI>
                                    <WRN>1</WRN>
                                    <ERT>5</ERT>
                                    <COSTN>0</COSTN>
                                    <OC>0</OC>
                                    <HT><![CDATA[Alert Check]]></HT>
                                    <HFS>0</HFS>
                                    <BT><![CDATA[Flags the occurrence of designated events.]]></BT>
                                    <BFS>0</BFS>
                                    <H>80</H>
                                    <W>128</W>
                                  </CmtProps>
                                </Cmt>
                              </Cmts>
                              <FmtCnds>
                                <FmtCnd>
                                  <FmtCndProps>
                                    <CBPLI>4,1,9,2,1</CBPLI>
                                    <FCN>1</FCN>
                                    <FCT>1</FCT>
                                    <FCO>4</FCO>
                                    <F1FFF><![CDATA[=0]]></F1FFF>
                                    <F2FFF/>
                                    <SIT>False</SIT>
                                    <BSV>True</BSV>
                                    <BCT>0</BCT>
                                    <CNBCN>0</CNBCN>
                                    <BTAS>0</BTAS>
                                    <IST>1</IST>
                                    <RO>False</RO>
                                    <SIO>False</SIO>
                                    <TO>0</TO>
                                    <TS/>
                                    <DO>1</DO>
                                    <TB>1</TB>
                                    <R>10</R>
                                    <P>False</P>
                                    <AB>0</AB>
                                    <NSD>1</NSD>
                                    <DU>1</DU>
                                    <INF>False</INF>
                                    <NT>0</NT>
                                    <DP>0</DP>
                                    <CNF/>
                                  </FmtCndProps>
                                  <FntOvly>
                                    <FntOvlyProps>
                                      <PT>2</PT>
                                      <SON>0</SON>
                                      <CBPLI>4,1,9,2,1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4,0,1,8,3,1,-1,0,0,FALSE,FALSE§Z¿=1,0,IF(MIN(§A¿0,4,1,1,4,2,1,1,0,0,FALSE,FALSE,1,4,2,1,2,0,0,FALSE,FALSE§Z¿)<0,1,0))]]></VOFFF>
                              </ClmnBlkPtProps>
                              <FmtCnds>
                                <FmtCnd>
                                  <FmtCndProps>
                                    <CBPLI>4,1,9,3,1</CBPLI>
                                    <FCN>1</FCN>
                                    <FCT>1</FCT>
                                    <FCO>4</FCO>
                                    <F1FFF><![CDATA[=0]]></F1FFF>
                                    <F2FFF/>
                                    <SIT>False</SIT>
                                    <BSV>True</BSV>
                                    <BCT>0</BCT>
                                    <CNBCN>0</CNBCN>
                                    <BTAS>0</BTAS>
                                    <IST>1</IST>
                                    <RO>False</RO>
                                    <SIO>False</SIO>
                                    <TO>0</TO>
                                    <TS/>
                                    <DO>1</DO>
                                    <TB>1</TB>
                                    <R>10</R>
                                    <P>False</P>
                                    <AB>0</AB>
                                    <NSD>1</NSD>
                                    <DU>1</DU>
                                    <INF>False</INF>
                                    <NT>0</NT>
                                    <DP>0</DP>
                                    <CNF/>
                                  </FmtCndProps>
                                  <FntOvly>
                                    <FntOvlyProps>
                                      <PT>2</PT>
                                      <SON>0</SON>
                                      <CBPLI>4,1,9,3,1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Rev_Cat]]></P>
            <OI>510</OI>
            <MN>0</MN>
            <MAG>E72A3FD0-52CB-410C-9CE7-3A25AE62CEAD</MAG>
            <BN><![CDATA[Revenue Category]]></BN>
            <N><![CDATA[Revenue - Membership Fees]]></N>
            <TS><![CDATA[Scenarios & Monthly]]></TS>
            <D><![CDATA[Calculates revenue for a single revenue category over a number of time series periods.]]></D>
            <FS><![CDATA[Collects unit prices and volumes assumptions for each time series period.&#10;Includes all periods absolute change scenario assumptions to be included within a central scenario manager.]]></FS>
            <R><![CDATA[Any]]></R>
            <GE><![CDATA[Revenue Category]]></GE>
            <CA><![CDATA[Unit Prices, Volumes, Absolute Change Scenarios]]></CA>
            <VA><![CDATA[Single Component]]></VA>
            <GST><![CDATA[None]]></GST>
            <DE><![CDATA[Modano]]></DE>
            <E><![CDATA[info@modano.com]]></E>
            <C><![CDATA[Modano]]></C>
            <W><![CDATA[www.modano.com]]></W>
            <K/>
            <CO/>
            <V>11.0.1.0.</V>
            <AX>2</AX>
            <SX/>
            <PMLO>False</PMLO>
            <IPMLO>False</IPMLO>
            <MACA>1</MACA>
            <HP>True</HP>
            <DR>True</DR>
            <RTSM>True</RTSM>
            <CC>False</CC>
            <X>False</X>
            <G>F338928E-8DAB-401F-92AC-F34F19E91FF1</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
              <StlOvlyProps>
                <SON>8</SON>
                <INF>True</INF>
                <NT>-2</NT>
                <DP>0</DP>
                <CNF><![CDATA[_(#,##0_);(#,##0);_("-"_);_)@_)]]></CNF>
              </StlOvlyProps>
            </StlOvly>
          </StlOvlys>
          <TrigCbps>
            <TrigCbp>
              <TrigCbpProps>
                <LI>3,1,1,1,1</LI>
                <TT>2</TT>
                <RLI/>
                <R2LI/>
                <TS/>
                <OT>0</OT>
                <FO>0</FO>
              </TrigCbpProps>
            </TrigCbp>
          </TrigCbps>
          <ModComps>
            <ModComp>
              <ModCompProps>
                <MN>10</MN>
                <MCN>1</MCN>
                <MCTK>BaseCase</MCTK>
                <RT><![CDATA[<ModuleName> - Scenarios]]></RT>
                <ERN>MODMC60</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10</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10</MN>
                <MCN>2</MCN>
                <MCTK>BaseCase</MCTK>
                <RT><![CDATA[<ModuleName> - Assumptions]]></RT>
                <ERN>MODMC65</ERN>
                <MCST>1</MCST>
                <IPMC>False</IPMC>
                <SN>10</SN>
                <LODS>False</LODS>
                <LST>False</LST>
                <RSTF>False</RSTF>
                <STRA>0</STRA>
                <HS>False</HS>
                <IBOA>0</IBOA>
                <IB>True</IB>
                <CI><![CDATA[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Price]]></VOFFF>
                                <UDAV><![CDATA[Unit Price]]></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10</MN>
                <MCN>3</MCN>
                <MCTK>BaseCase</MCTK>
                <RT><![CDATA[<ModuleName> - Outputs]]></RT>
                <ERN>MODMC66</ERN>
                <MCST>1</MCST>
                <IPMC>False</IPMC>
                <SN>10</SN>
                <LODS>False</LODS>
                <LST>False</LST>
                <RSTF>False</RSTF>
                <STRA>0</STRA>
                <HS>False</HS>
                <IBOA>0</IBOA>
                <IB>True</IB>
                <CI><![CDATA[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A¿0,2,0,1,1,3,1,-1,0,0,FALSE,FALSE§Z¿*§A¿0,2,0,1,2,2,1,-1,0,0,FALSE,FALSE§Z¿/§A¿7,1,1,1,16,0,2,1,1§Z¿+§A¿0,3,0,1,1,2,1,-1,0,0,FALSE,TRUE§Z¿]]></VOFFF>
                              </ClmnBlkPtProps>
                            </ClmnBlkPt>
                          </ClmnBlkPts>
                        </ClmnBlk>
                      </ClmnBlks>
                      <TtlCtg>
                        <TtlCtgProps>
                          <R>1</R>
                        </TtlCtgProps>
                      </TtlCtg>
                      <ElmtLnksOut>
                        <ElmtLnk>
                          <ElmtLnkProps>
                            <ELI>3,1,1</ELI>
                            <ELN>1</ELN>
                            <ELGN>1</ELGN>
                            <MLG>5D403475-D128-43EE-B901-D1DA3186143C</MLG>
                            <ICBI>1,3</ICBI>
                            <ILBN>1,2</ILBN>
                            <LIBN>0</LIBN>
                          </ElmtLnkProps>
                        </ElmtLnk>
                      </ElmtLnksOut>
                    </Elmt>
                  </Elmts>
                </Sect>
              </Sects>
            </ModComp>
          </ModComps>
        </Mod>
        <Mod>
          <ModProps>
            <MVS>14.0.5.0</MVS>
            <RAV/>
            <RXV>0</RXV>
            <FV>3</FV>
            <MT>0</MT>
            <SCT>-1</SCT>
            <P><![CDATA[Rev_Cat]]></P>
            <OI>510</OI>
            <MN>5</MN>
            <MAG>E72A3FD0-52CB-410C-9CE7-3A25AE62CEAD</MAG>
            <BN><![CDATA[Revenue Category]]></BN>
            <N><![CDATA[Revenue - PAYG Fencing]]></N>
            <TS><![CDATA[Monthly]]></TS>
            <D><![CDATA[Calculates revenue for a single revenue category over a number of time series periods.]]></D>
            <FS><![CDATA[Collects unit prices and volumes assumptions for each time series period.]]></FS>
            <R><![CDATA[Any]]></R>
            <GE><![CDATA[Revenue Category]]></GE>
            <CA><![CDATA[Unit Prices, Volumes]]></CA>
            <VA><![CDATA[Single Component]]></VA>
            <GST><![CDATA[None]]></GST>
            <DE><![CDATA[Modano]]></DE>
            <E><![CDATA[info@modano.com]]></E>
            <C><![CDATA[Modano]]></C>
            <W><![CDATA[www.modano.com]]></W>
            <K/>
            <CO/>
            <V>11.0.1.0.</V>
            <AX>2</AX>
            <SX/>
            <PMLO>False</PMLO>
            <IPMLO>False</IPMLO>
            <MACA>1</MACA>
            <HP>True</HP>
            <DR>True</DR>
            <RTSM>True</RTSM>
            <CC>False</CC>
            <X>False</X>
            <G>42681A1A-346A-4890-8EC0-F2F129D9ACF5</G>
          </ModProps>
          <RowStgs>
            <RowStg>
              <RowStgProps>
                <RSN>1</RSN>
                <RHST>0</RHST>
                <HS>100</HS>
                <OL>2</OL>
                <RH>False</RH>
              </RowStgProps>
            </RowStg>
            <RowStg>
              <RowStgProps>
                <RSN>2</RSN>
                <RHST>1</RHST>
                <HS>25</HS>
                <OL>2</OL>
                <RH>False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NT>-2</NT>
                <DP>0</DP>
                <CNF><![CDATA[_(#,##0_);(#,##0);_("-"_);_)@_)]]></CNF>
              </StlOvlyProps>
            </StlOvly>
          </StlOvlys>
          <TrigCbps>
            <TrigCbp>
              <TrigCbpProps>
                <LI>2,1,1,1,1</LI>
                <TT>2</TT>
                <RLI/>
                <R2LI/>
                <TS/>
                <OT>0</OT>
                <FO>0</FO>
              </TrigCbpProps>
            </TrigCbp>
          </TrigCbps>
          <ModComps>
            <ModComp>
              <ModCompProps>
                <MN>11</MN>
                <MCN>1</MCN>
                <MCTK>BaseCase</MCTK>
                <RT><![CDATA[<ModuleName> - Assumptions]]></RT>
                <ERN>MODMC162</ERN>
                <MCST>1</MCST>
                <IPMC>False</IPMC>
                <SN>10</SN>
                <LODS>False</LODS>
                <LST>False</LST>
                <RSTF>False</RSTF>
                <STRA>0</STRA>
                <HS>False</HS>
                <IBOA>0</IBOA>
                <IB>True</IB>
                <CI><![CDATA[Revenue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Price]]></VOFFF>
                                <UDAV><![CDATA[Unit Price]]></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1,1,1,3,1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SON>3</SON>
                                <VOFFF><![CDATA[0]]></VOFFF>
                                <UDAV><![CDATA[0]]></UDAV>
                              </ClmnBlkPtProps>
                              <Vdtn>
                                <VdtnProps>
                                  <CBPLI>1,1,2,2,1</CBPLI>
                                  <ADVT>0</ADVT>
                                  <VT>7</VT>
                                </VdtnProps>
                              </Vdtn>
                            </ClmnBlkPt>
                          </ClmnBlkPts>
                        </ClmnBlk>
                      </ClmnBlks>
                      <TtlCtg>
                        <TtlCtgProps>
                          <R>1</R>
                        </TtlCtgProps>
                      </TtlCtg>
                    </Elmt>
                    <Elmt>
                      <ElmtProps>
                        <CPT>2</CPT>
                      </ElmtProps>
                      <TtlCtg>
                        <TtlCtgProps>
                          <R>2</R>
                        </TtlCtgProps>
                      </TtlCtg>
                    </Elmt>
                  </Elmts>
                </Sect>
              </Sects>
            </ModComp>
            <ModComp>
              <ModCompProps>
                <MN>11</MN>
                <MCN>2</MCN>
                <MCTK>BaseCase</MCTK>
                <RT><![CDATA[<ModuleName> - Outputs]]></RT>
                <ERN>MODMC163</ERN>
                <MCST>1</MCST>
                <IPMC>False</IPMC>
                <SN>10</SN>
                <LODS>False</LODS>
                <LST>False</LST>
                <RSTF>False</RSTF>
                <STRA>0</STRA>
                <HS>False</HS>
                <IBOA>0</IBOA>
                <IB>True</IB>
                <CI><![CDATA[Revenue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A¿0,1,0,1,1,3,1,-1,0,0,FALSE,FALSE§Z¿*§A¿0,1,0,1,2,2,1,-1,0,0,FALSE,FALSE§Z¿/§A¿7,1,1,1,16,0,2,1,1§Z¿]]></VOFFF>
                              </ClmnBlkPtProps>
                            </ClmnBlkPt>
                          </ClmnBlkPts>
                        </ClmnBlk>
                      </ClmnBlks>
                      <TtlCtg>
                        <TtlCtgProps>
                          <R>1</R>
                        </TtlCtgProps>
                      </TtlCtg>
                      <ElmtLnksOut>
                        <ElmtLnk>
                          <ElmtLnkProps>
                            <ELI>2,1,1</ELI>
                            <ELN>1</ELN>
                            <ELGN>1</ELGN>
                            <MLG>5D403475-D128-43EE-B901-D1DA3186143C</MLG>
                            <ICBI>1,2</ICBI>
                            <ILBN>1,2</ILBN>
                            <LIBN>0</LIBN>
                          </ElmtLnkProps>
                        </ElmtLnk>
                      </ElmtLnksOut>
                    </Elmt>
                  </Elmts>
                </Sect>
              </Sects>
            </ModComp>
          </ModComps>
        </Mod>
        <Mod>
          <ModProps>
            <MVS>14.0.5.0</MVS>
            <RAV/>
            <RXV>0</RXV>
            <FV>3</FV>
            <MT>0</MT>
            <SCT>-1</SCT>
            <P><![CDATA[Rev_Cat]]></P>
            <OI>510</OI>
            <MN>6</MN>
            <MAG>E72A3FD0-52CB-410C-9CE7-3A25AE62CEAD</MAG>
            <BN><![CDATA[Revenue Category]]></BN>
            <N><![CDATA[Revenue - Private Hire]]></N>
            <TS><![CDATA[Scenarios & Monthly]]></TS>
            <D><![CDATA[Calculates revenue for a single revenue category over a number of time series periods.]]></D>
            <FS><![CDATA[Collects unit prices and volumes assumptions for each time series period.&#10;Includes all periods absolute change scenario assumptions to be included within a central scenario manager.]]></FS>
            <R><![CDATA[Any]]></R>
            <GE><![CDATA[Revenue Category]]></GE>
            <CA><![CDATA[Unit Prices, Volumes, Absolute Change Scenarios]]></CA>
            <VA><![CDATA[Single Component]]></VA>
            <GST><![CDATA[None]]></GST>
            <DE><![CDATA[Modano]]></DE>
            <E><![CDATA[info@modano.com]]></E>
            <C><![CDATA[Modano]]></C>
            <W><![CDATA[www.modano.com]]></W>
            <K/>
            <CO/>
            <V>11.0.1.0.</V>
            <AX>2</AX>
            <SX/>
            <PMLO>False</PMLO>
            <IPMLO>False</IPMLO>
            <MACA>1</MACA>
            <HP>True</HP>
            <DR>True</DR>
            <RTSM>True</RTSM>
            <CC>False</CC>
            <X>False</X>
            <G>B014C2CC-4A96-4A84-A664-DB690EC898F6</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
              <StlOvlyProps>
                <SON>8</SON>
                <INF>True</INF>
                <NT>-2</NT>
                <DP>0</DP>
                <CNF><![CDATA[_(#,##0_);(#,##0);_("-"_);_)@_)]]></CNF>
              </StlOvlyProps>
            </StlOvly>
          </StlOvlys>
          <TrigCbps>
            <TrigCbp>
              <TrigCbpProps>
                <LI>3,1,1,1,1</LI>
                <TT>2</TT>
                <RLI/>
                <R2LI/>
                <TS/>
                <OT>0</OT>
                <FO>0</FO>
              </TrigCbpProps>
            </TrigCbp>
          </TrigCbps>
          <ModComps>
            <ModComp>
              <ModCompProps>
                <MN>12</MN>
                <MCN>1</MCN>
                <MCTK>BaseCase</MCTK>
                <RT><![CDATA[<ModuleName> - Scenarios]]></RT>
                <ERN>MODMC166</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12</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12</MN>
                <MCN>2</MCN>
                <MCTK>BaseCase</MCTK>
                <RT><![CDATA[<ModuleName> - Assumptions]]></RT>
                <ERN>MODMC167</ERN>
                <MCST>1</MCST>
                <IPMC>False</IPMC>
                <SN>10</SN>
                <LODS>False</LODS>
                <LST>False</LST>
                <RSTF>False</RSTF>
                <STRA>0</STRA>
                <HS>False</HS>
                <IBOA>0</IBOA>
                <IB>True</IB>
                <CI><![CDATA[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Price]]></VOFFF>
                                <UDAV><![CDATA[Unit Price]]></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12</MN>
                <MCN>3</MCN>
                <MCTK>BaseCase</MCTK>
                <RT><![CDATA[<ModuleName> - Outputs]]></RT>
                <ERN>MODMC168</ERN>
                <MCST>1</MCST>
                <IPMC>False</IPMC>
                <SN>10</SN>
                <LODS>False</LODS>
                <LST>False</LST>
                <RSTF>False</RSTF>
                <STRA>0</STRA>
                <HS>False</HS>
                <IBOA>0</IBOA>
                <IB>True</IB>
                <CI><![CDATA[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A¿0,2,0,1,1,3,1,-1,0,0,FALSE,FALSE§Z¿*§A¿0,2,0,1,2,2,1,-1,0,0,FALSE,FALSE§Z¿/§A¿7,1,1,1,16,0,2,1,1§Z¿+§A¿0,3,0,1,1,2,1,-1,0,0,FALSE,TRUE§Z¿]]></VOFFF>
                              </ClmnBlkPtProps>
                            </ClmnBlkPt>
                          </ClmnBlkPts>
                        </ClmnBlk>
                      </ClmnBlks>
                      <TtlCtg>
                        <TtlCtgProps>
                          <R>1</R>
                        </TtlCtgProps>
                      </TtlCtg>
                      <ElmtLnksOut>
                        <ElmtLnk>
                          <ElmtLnkProps>
                            <ELI>3,1,1</ELI>
                            <ELN>1</ELN>
                            <ELGN>1</ELGN>
                            <MLG>5D403475-D128-43EE-B901-D1DA3186143C</MLG>
                            <ICBI>1,3</ICBI>
                            <ILBN>1,2</ILBN>
                            <LIBN>0</LIBN>
                          </ElmtLnkProps>
                        </ElmtLnk>
                      </ElmtLnksOut>
                    </Elmt>
                  </Elmts>
                </Sect>
              </Sects>
            </ModComp>
          </ModComps>
        </Mod>
        <Mod>
          <ModProps>
            <MVS>14.0.5.0</MVS>
            <RAV/>
            <RXV>0</RXV>
            <FV>3</FV>
            <MT>0</MT>
            <SCT>-1</SCT>
            <P><![CDATA[Rev_Cat]]></P>
            <OI>510</OI>
            <MN>2</MN>
            <MAG>E72A3FD0-52CB-410C-9CE7-3A25AE62CEAD</MAG>
            <BN><![CDATA[Revenue Category]]></BN>
            <N><![CDATA[Revenue - Book a Piste]]></N>
            <TS><![CDATA[Scenarios & Monthly]]></TS>
            <D><![CDATA[Calculates revenue for a single revenue category over a number of time series periods.]]></D>
            <FS><![CDATA[Collects unit prices and volumes assumptions for each time series period.&#10;Includes all periods absolute change scenario assumptions to be included within a central scenario manager.]]></FS>
            <R><![CDATA[Any]]></R>
            <GE><![CDATA[Revenue Category]]></GE>
            <CA><![CDATA[Unit Prices, Volumes, Absolute Change Scenarios]]></CA>
            <VA><![CDATA[Single Component]]></VA>
            <GST><![CDATA[None]]></GST>
            <DE><![CDATA[Modano]]></DE>
            <E><![CDATA[info@modano.com]]></E>
            <C><![CDATA[Modano]]></C>
            <W><![CDATA[www.modano.com]]></W>
            <K/>
            <CO/>
            <V>11.0.1.0.</V>
            <AX>2</AX>
            <SX/>
            <PMLO>False</PMLO>
            <IPMLO>False</IPMLO>
            <MACA>1</MACA>
            <HP>True</HP>
            <DR>True</DR>
            <RTSM>True</RTSM>
            <CC>False</CC>
            <X>False</X>
            <G>F7521795-4B34-4077-9975-536EADF2027A</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
              <StlOvlyProps>
                <SON>8</SON>
                <INF>True</INF>
                <NT>-2</NT>
                <DP>0</DP>
                <CNF><![CDATA[_(#,##0_);(#,##0);_("-"_);_)@_)]]></CNF>
              </StlOvlyProps>
            </StlOvly>
          </StlOvlys>
          <TrigCbps>
            <TrigCbp>
              <TrigCbpProps>
                <LI>3,1,1,1,1</LI>
                <TT>2</TT>
                <RLI/>
                <R2LI/>
                <TS/>
                <OT>0</OT>
                <FO>0</FO>
              </TrigCbpProps>
            </TrigCbp>
          </TrigCbps>
          <ModComps>
            <ModComp>
              <ModCompProps>
                <MN>13</MN>
                <MCN>1</MCN>
                <MCTK>BaseCase</MCTK>
                <RT><![CDATA[<ModuleName> - Scenarios]]></RT>
                <ERN>MODMC169</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13</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13</MN>
                <MCN>2</MCN>
                <MCTK>BaseCase</MCTK>
                <RT><![CDATA[<ModuleName> - Assumptions]]></RT>
                <ERN>MODMC170</ERN>
                <MCST>1</MCST>
                <IPMC>False</IPMC>
                <SN>10</SN>
                <LODS>False</LODS>
                <LST>False</LST>
                <RSTF>False</RSTF>
                <STRA>0</STRA>
                <HS>False</HS>
                <IBOA>0</IBOA>
                <IB>True</IB>
                <CI><![CDATA[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Price]]></VOFFF>
                                <UDAV><![CDATA[Unit Price]]></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13</MN>
                <MCN>3</MCN>
                <MCTK>BaseCase</MCTK>
                <RT><![CDATA[<ModuleName> - Outputs]]></RT>
                <ERN>MODMC171</ERN>
                <MCST>1</MCST>
                <IPMC>False</IPMC>
                <SN>10</SN>
                <LODS>False</LODS>
                <LST>False</LST>
                <RSTF>False</RSTF>
                <STRA>0</STRA>
                <HS>False</HS>
                <IBOA>0</IBOA>
                <IB>True</IB>
                <CI><![CDATA[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A¿0,2,0,1,1,3,1,-1,0,0,FALSE,FALSE§Z¿*§A¿0,2,0,1,2,2,1,-1,0,0,FALSE,FALSE§Z¿/§A¿7,1,1,1,16,0,2,1,1§Z¿+§A¿0,3,0,1,1,2,1,-1,0,0,FALSE,TRUE§Z¿]]></VOFFF>
                              </ClmnBlkPtProps>
                            </ClmnBlkPt>
                          </ClmnBlkPts>
                        </ClmnBlk>
                      </ClmnBlks>
                      <TtlCtg>
                        <TtlCtgProps>
                          <R>1</R>
                        </TtlCtgProps>
                      </TtlCtg>
                      <ElmtLnksOut>
                        <ElmtLnk>
                          <ElmtLnkProps>
                            <ELI>3,1,1</ELI>
                            <ELN>1</ELN>
                            <ELGN>1</ELGN>
                            <MLG>5D403475-D128-43EE-B901-D1DA3186143C</MLG>
                            <ICBI>1,3</ICBI>
                            <ILBN>1,2</ILBN>
                            <LIBN>0</LIBN>
                          </ElmtLnkProps>
                        </ElmtLnk>
                      </ElmtLnksOut>
                    </Elmt>
                  </Elmts>
                </Sect>
              </Sects>
            </ModComp>
          </ModComps>
        </Mod>
        <Mod>
          <ModProps>
            <MVS>14.0.5.0</MVS>
            <RAV/>
            <RXV>0</RXV>
            <FV>3</FV>
            <MT>0</MT>
            <SCT>-1</SCT>
            <P><![CDATA[Rev_Cat]]></P>
            <OI>510</OI>
            <MN>3</MN>
            <MAG>E72A3FD0-52CB-410C-9CE7-3A25AE62CEAD</MAG>
            <BN><![CDATA[Revenue Category]]></BN>
            <N><![CDATA[Revenue - Merch Sales]]></N>
            <TS><![CDATA[Scenarios & Monthly]]></TS>
            <D><![CDATA[Calculates revenue for a single revenue category over a number of time series periods.]]></D>
            <FS><![CDATA[Collects revenue assumptions as amounts for each time series period.&#13;&#10;Includes all periods percentage change scenario assumptions to be included within a central scenario manager.]]></FS>
            <R><![CDATA[Any]]></R>
            <GE><![CDATA[Revenu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68C3CABC-9848-4D29-9326-DB0F067B7419</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
              <StlOvlyProps>
                <SON>7</SON>
                <INF>True</INF>
                <NT>-2</NT>
                <DP>0</DP>
                <CNF><![CDATA[_(#,##0_);(#,##0);_("-"_);_)@_)]]></CNF>
              </StlOvlyProps>
            </StlOvly>
          </StlOvlys>
          <TrigCbps>
            <TrigCbp>
              <TrigCbpProps>
                <LI>3,1,1,1,1</LI>
                <TT>2</TT>
                <RLI/>
                <R2LI/>
                <TS/>
                <OT>0</OT>
                <FO>0</FO>
              </TrigCbpProps>
            </TrigCbp>
          </TrigCbps>
          <ModComps>
            <ModComp>
              <ModCompProps>
                <MN>14</MN>
                <MCN>1</MCN>
                <MCTK>BaseCase</MCTK>
                <RT><![CDATA[<ModuleName> - Scenarios]]></RT>
                <ERN>MODMC69</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14</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14</MN>
                <MCN>2</MCN>
                <MCTK>BaseCase</MCTK>
                <RT><![CDATA[<ModuleName> - Assumptions]]></RT>
                <ERN>MODMC70</ERN>
                <MCST>1</MCST>
                <IPMC>False</IPMC>
                <SN>10</SN>
                <LODS>False</LODS>
                <LST>False</LST>
                <RSTF>False</RSTF>
                <STRA>0</STRA>
                <HS>False</HS>
                <IBOA>0</IBOA>
                <IB>True</IB>
                <CI><![CDATA[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7</SON>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14</MN>
                <MCN>3</MCN>
                <MCTK>BaseCase</MCTK>
                <RT><![CDATA[<ModuleName> - Outputs]]></RT>
                <ERN>MODMC71</ERN>
                <MCST>1</MCST>
                <IPMC>False</IPMC>
                <SN>10</SN>
                <LODS>False</LODS>
                <LST>False</LST>
                <RSTF>False</RSTF>
                <STRA>0</STRA>
                <HS>False</HS>
                <IBOA>0</IBOA>
                <IB>True</IB>
                <CI><![CDATA[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1,3,1,-1,0,0,FALSE,FALSE§Z¿*(1+§A¿0,3,0,1,1,2,1,-1,0,0,FALSE,TRUE§Z¿)]]></VOFFF>
                              </ClmnBlkPtProps>
                            </ClmnBlkPt>
                          </ClmnBlkPts>
                        </ClmnBlk>
                      </ClmnBlks>
                      <TtlCtg>
                        <TtlCtgProps>
                          <R>1</R>
                        </TtlCtgProps>
                      </TtlCtg>
                      <ElmtLnksOut>
                        <ElmtLnk>
                          <ElmtLnkProps>
                            <ELI>3,1,1</ELI>
                            <ELN>1</ELN>
                            <ELGN>1</ELGN>
                            <MLG>5D403475-D128-43EE-B901-D1DA3186143C</MLG>
                            <ICBI>1,3</ICBI>
                            <ILBN>1,2</ILBN>
                            <LIBN>0</LIBN>
                          </ElmtLnkProps>
                        </ElmtLnk>
                      </ElmtLnksOut>
                    </Elmt>
                  </Elmts>
                </Sect>
              </Sects>
            </ModComp>
          </ModComps>
        </Mod>
        <Mod>
          <ModProps>
            <MVS>14.0.5.0</MVS>
            <RAV/>
            <RXV>0</RXV>
            <FV>3</FV>
            <MT>0</MT>
            <SCT>-1</SCT>
            <P><![CDATA[Cogs]]></P>
            <OI>600</OI>
            <MN>0</MN>
            <MAG>E72A3FD0-52CB-410C-9CE7-3A25AE62CEAD</MAG>
            <BN><![CDATA[Cost of Goods Sold]]></BN>
            <N><![CDATA[Cost of Goods Sold]]></N>
            <TS><![CDATA[Scenarios & Monthly]]></TS>
            <D><![CDATA[Calculates cost of goods sold for a number of cost of goods sold categories over a number of time series periods.]]></D>
            <FS><![CDATA[Allows for a separate module for each cost of goods sold category to facilitate variable drivers functionalities.&#13;&#10;Allows for scenario assumptions to be included within a central scenario manager.]]></FS>
            <R><![CDATA[Any]]></R>
            <GE><![CDATA[Cost of Goods Sold]]></GE>
            <CA><![CDATA[Variable Drivers, Scenarios]]></CA>
            <VA><![CDATA[Single Component]]></VA>
            <GST><![CDATA[None]]></GST>
            <DE><![CDATA[Modano]]></DE>
            <E><![CDATA[info@modano.com]]></E>
            <C><![CDATA[Modano]]></C>
            <W><![CDATA[www.modano.com]]></W>
            <K/>
            <CO/>
            <V>11.0.1.0.</V>
            <AX>2</AX>
            <SX/>
            <PMLO>False</PMLO>
            <IPMLO>False</IPMLO>
            <MACA>0</MACA>
            <HP>False</HP>
            <DR>False</DR>
            <RTSM>True</RTSM>
            <CC>True</CC>
            <X>False</X>
            <G>28053C39-E6FD-42E1-8208-7FB068E3C1B7</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
              <RowStgProps>
                <RSN>6</RSN>
                <RHST>1</RHST>
                <HS>25</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
              <StlOvlyProps>
                <SON>8</SON>
                <INF>True</INF>
                <NT>0</NT>
                <DP>0</DP>
                <CNF><![CDATA[_(#,##0.0_);(#,##0.0);_-"-"_-;_)@_)]]></CNF>
              </StlOvlyProps>
              <FntOvly>
                <FntOvlyProps>
                  <PT>1</PT>
                  <SON>8</SON>
                  <CBPLI>0,0,0,0,0</CBPLI>
                  <FCN>0</FCN>
                  <CN>0</CN>
                  <IB>True</IB>
                  <B>True</B>
                </FntOvlyProps>
              </FntOvly>
              <BdrOvlys>
                <BdrOvly>
                  <BdrOvlyProps>
                    <PT>1</PT>
                    <SON>8</SON>
                    <CBPLI/>
                    <FCN>0</FCN>
                    <I>True</I>
                    <BI>10</BI>
                    <LS>1</LS>
                    <W>2</W>
                  </BdrOvlyProps>
                </BdrOvly>
              </BdrOvlys>
            </StlOvly>
          </StlOvlys>
          <ElmtsGrps>
            <ElmtsGrp>
              <ElmtsGrpProps>
                <NU>1</NU>
                <NA><![CDATA[Cost of Goods Sold]]></NA>
                <EGT>0</EGT>
                <DCC>6</DCC>
                <AST>False</AST>
                <ISTH>True</ISTH>
                <PTMCN>0</PTMCN>
                <PTBN>0</PTBN>
                <PTBI>0</PTBI>
                <GLN/>
                <CLOT>0</CLOT>
                <CLIT>0</CLIT>
                <PMLO>0</PMLO>
                <IPMLO>0</IPMLO>
              </ElmtsGrpProps>
            </ElmtsGrp>
          </ElmtsGrps>
          <ModComps>
            <ModComp>
              <ModCompProps>
                <MN>15</MN>
                <MCN>1</MCN>
                <MCTK>BaseCase</MCTK>
                <RT><![CDATA[<ModuleName> - Scenarios]]></RT>
                <ERN>MODMC72</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10</CTHN>
                                <ST>5</ST>
                                <VOFFF><![CDATA[<ModuleName>]]></VOFFF>
                              </ClmnBlkPtProps>
                              <RgeNmes>
                                <RgeNme>
                                  <RgeNmeProps>
                                    <CBPLI>1,1,2,2,1</CBPLI>
                                    <MCN>1</MCN>
                                    <SN>1</SN>
                                    <EN>2</EN>
                                    <CN>0</CN>
                                    <CBN>2</CBN>
                                    <CBPN>1</CBPN>
                                    <PT>1</PT>
                                    <CBPRNT>6</CBPRNT>
                                    <NT>12</NT>
                                    <SP1><![CDATA[Scen_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ROWS(§A¿0,3|4,1,1,2,2,1,-1,0,0,TRUE,TRUE,1,1,2,1,-1,0,0,TRUE,TRUE§Z¿)=2,0,IF(COUNTIF(OFFSET(§A¿0,3,0,1,2,2,1,-1,0,0,TRUE,TRUE§Z¿,1,0,ROWS(§A¿0,3|4,1,1,2,2,1,-1,0,0,TRUE,TRUE,1,1,2,1,-1,0,0,TRUE,TRUE§Z¿)-2,1),"<>0")-COUNTBLANK(OFFSET(§A¿0,3,0,1,2,2,1,-1,0,0,TRUE,TRUE§Z¿,1,0,ROWS(§A¿0,3|4,1,1,2,2,1,-1,0,0,TRUE,TRUE,1,1,2,1,-1,0,0,TRUE,TRUE§Z¿)-2,1))>0,1,0))]]></VOFFF>
                              </ClmnBlkPtProps>
                              <Chk>
                                <ChkProps>
                                  <CBPLI>1,1,3,2,1</CBPLI>
                                  <CT>1</CT>
                                  <CN>2</CN>
                                  <HST>1</HST>
                                  <CHT/>
                                  <HCBPLI>1,1,2,2,1</HCBPLI>
                                </ChkProps>
                              </Chk>
                              <Cmts>
                                <Cmt>
                                  <CmtProps>
                                    <CBPLI>1,1,3,2,1</CBPLI>
                                    <WRN>1</WRN>
                                    <ERT>5</ERT>
                                    <COSTN>0</COSTN>
                                    <OC>0</OC>
                                    <HT><![CDATA[Sensitivity]]></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4</R>
                        </TtlCtgProps>
                      </TtlCtg>
                    </Elmt>
                    <Elmt>
                      <ElmtProps>
                        <CPT>2</CPT>
                      </ElmtProps>
                      <TtlCtg>
                        <TtlCtgProps>
                          <R>6</R>
                        </TtlCtgProps>
                      </TtlCtg>
                    </Elmt>
                  </Elmts>
                </Sect>
              </Sects>
            </ModComp>
            <ModComp>
              <ModCompProps>
                <MN>15</MN>
                <MCN>2</MCN>
                <MCTK>BaseCase</MCTK>
                <RT><![CDATA[<ModuleName> - Top]]></RT>
                <ERN>MODMC73</ERN>
                <MCST>1</MCST>
                <IPMC>False</IPMC>
                <SN>10</SN>
                <LODS>False</LODS>
                <LST>False</LST>
                <RSTF>False</RSTF>
                <STRA>0</STRA>
                <HS>False</HS>
                <IBOA>0</IBOA>
                <IB>True</IB>
                <CI><![CDATA[Cost of Goods Sold Assumptions]]></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LCPT>3</LCPT>
                            <LCN>2</LCN>
                            <LCOT>1</LCOT>
                            <LCOC>0</LCOC>
                          </ClmnBlkProps>
                          <ClmnBlkPts>
                            <ClmnBlkPt>
                              <ClmnBlkPtProps>
                                <CBPT>5</CBPT>
                                <HCTHR>True</HCTHR>
                                <CTHN>35</CTHN>
                                <ST>3</ST>
                                <VOFFF><![CDATA[<ModuleName>]]></VOFFF>
                              </ClmnBlkPtProps>
                              <RgeNmes>
                                <RgeNme>
                                  <RgeNmeProps>
                                    <CBPLI>2,1,2,2,1</CBPLI>
                                    <MCN>2</MCN>
                                    <SN>1</SN>
                                    <EN>2</EN>
                                    <CN>0</CN>
                                    <CBN>2</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15</MN>
                <MCN>3</MCN>
                <MCTK>BaseCase</MCTK>
                <RT><![CDATA[<ModuleName> - Middle]]></RT>
                <ERN>MODMC74</ERN>
                <MCST>1</MCST>
                <IPMC>False</IPMC>
                <SN>10</SN>
                <LODS>False</LODS>
                <LST>False</LST>
                <RSTF>False</RSTF>
                <STRA>0</STRA>
                <HS>False</HS>
                <IBOA>0</IBOA>
                <IB>True</IB>
                <CI><![CDATA[Cost of Goods Sold Outputs]]></CI>
                <PTI/>
                <PTP>False</PTP>
                <PTD><![CDATA[Monthly time series periods.]]></PTD>
                <PTMCN>4</PTMCN>
                <CROL>0</CROL>
                <CCOL>0</CCOL>
                <AMFN>0</AMFN>
              </ModCompProps>
              <Sects>
                <Sect>
                  <SectProps>
                    <LI>3,1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Scenarios]]></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15</MN>
                <MCN>4</MCN>
                <MCTK>BaseCase</MCTK>
                <RT><![CDATA[<ModuleName> - Bottom]]></RT>
                <ERN>MODMC75</ERN>
                <MCST>1</MCST>
                <IPMC>False</IPMC>
                <SN>10</SN>
                <LODS>False</LODS>
                <LST>False</LST>
                <RSTF>False</RSTF>
                <STRA>0</STRA>
                <HS>False</HS>
                <IBOA>4</IBOA>
                <IB>True</IB>
                <CI/>
                <PTI/>
                <PTP>False</PTP>
                <PTD><![CDATA[Monthly time series periods.]]></PTD>
                <PTMCN>4</PTMCN>
                <CROL>0</CROL>
                <CCOL>0</CCOL>
                <AMFN>0</AMFN>
              </ModCompProps>
              <Sects>
                <Sect>
                  <SectProps>
                    <LI>4,1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3|4,1,1,2,3,1,-1,0,0,TRUE,FALSE,1,1,3,1,-1,0,0,TRUE,FALSE§Z¿)=2,0,SUM(OFFSET(§A¿0,3,0,1,2,3,1,-1,0,0,TRUE,FALSE§Z¿,1,0,ROWS(§A¿0,3|4,1,1,2,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2,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4,1,4,1,1</CBPLI>
                                    <ELN>1</ELN>
                                    <FFF><![CDATA[=§A¿10,FALSE,0,1,0,FALSE§Z¿]]></FFF>
                                  </LnkInFormProps>
                                </LnkInForm>
                              </LnkInForms>
                            </ClmnBlkPt>
                            <ClmnBlkPt>
                              <ClmnBlkPtProps>
                                <CBPT>1</CBPT>
                                <ST>6</ST>
                                <VOFFF><![CDATA[=§A¿0,4,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4,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4,1,4,2,1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15</MN>
                                  <CLI>4,1,4,False,1</CLI>
                                  <ELN>1</ELN>
                                  <LOOT>2</LOOT>
                                  <LOMN>16</LOMN>
                                  <LOMCN>3</LOMCN>
                                  <LOSN>1</LOSN>
                                  <LOEN>1</LOEN>
                                  <LOCN>0</LOCN>
                                </LnkInProps>
                              </LnkIn>
                            </Ctg>
                            <Ctg>
                              <CtgProps>
                                <R>4</R>
                              </CtgProps>
                              <LnkIn>
                                <LnkInProps>
                                  <MN>15</MN>
                                  <CLI>4,1,4,False,2</CLI>
                                  <ELN>1</ELN>
                                  <LOOT>2</LOOT>
                                  <LOMN>17</LOMN>
                                  <LOMCN>3</LOMCN>
                                  <LOSN>1</LOSN>
                                  <LOEN>1</LOEN>
                                  <LOCN>0</LOCN>
                                </LnkInProps>
                              </LnkIn>
                            </Ctg>
                            <Ctg>
                              <CtgProps>
                                <R>4</R>
                              </CtgProps>
                              <LnkIn>
                                <LnkInProps>
                                  <MN>15</MN>
                                  <CLI>4,1,4,False,3</CLI>
                                  <ELN>1</ELN>
                                  <LOOT>2</LOOT>
                                  <LOMN>18</LOMN>
                                  <LOMCN>3</LOMCN>
                                  <LOSN>1</LOSN>
                                  <LOEN>1</LOEN>
                                  <LOCN>0</LOCN>
                                </LnkInProps>
                              </LnkIn>
                            </Ctg>
                          </Ctgs>
                        </SubTtl>
                      </SubTtls>
                      <TtlCtg>
                        <TtlCtgProps>
                          <R>4</R>
                        </TtlCtgProps>
                      </TtlCtg>
                      <ElmtLnksOut>
                        <ElmtLnk>
                          <ElmtLnkProps>
                            <ELI>4,1,4</ELI>
                            <ELN>1</ELN>
                            <ELGN>1</ELGN>
                            <MLG>5C860D93-DDC3-4B7A-BA2B-039792DD83BD</MLG>
                            <ICBI>1,2</ICBI>
                            <ILBN>1,2</ILBN>
                            <LIBN>0</LIBN>
                          </ElmtLnkProps>
                        </ElmtLnk>
                      </ElmtLnksOut>
                      <ElmtLnksIn>
                        <ElmtLnk>
                          <ElmtLnkProps>
                            <ELI>4,1,4</ELI>
                            <ELN>1</ELN>
                            <ELGN>1</ELGN>
                            <MLG>F98A0C33-E8F8-4F05-95E5-E2C4C301BA8E</MLG>
                            <ICBI>1,2</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4,0,1,1,3,1,-1,0,0,FALSE,FALSE§Z¿-§A¿0,4,0,1,4,2,6,-1,0,0,FALSE,FALSE§Z¿),1,0)]]></VOFFF>
                              </ClmnBlkPtProps>
                              <FmtCnds>
                                <FmtCnd>
                                  <FmtCndProps>
                                    <CBPLI>4,1,6,2,1</CBPLI>
                                    <FCN>1</FCN>
                                    <FCT>1</FCT>
                                    <FCO>4</FCO>
                                    <F1FFF><![CDATA[=0]]></F1FFF>
                                    <F2FFF/>
                                    <SIT>False</SIT>
                                    <BSV>True</BSV>
                                    <BCT>0</BCT>
                                    <CNBCN>0</CNBCN>
                                    <BTAS>0</BTAS>
                                    <IST>1</IST>
                                    <RO>False</RO>
                                    <SIO>False</SIO>
                                    <TO>0</TO>
                                    <TS/>
                                    <DO>1</DO>
                                    <TB>1</TB>
                                    <R>10</R>
                                    <P>False</P>
                                    <AB>0</AB>
                                    <NSD>1</NSD>
                                    <DU>1</DU>
                                    <INF>False</INF>
                                    <NT>0</NT>
                                    <DP>0</DP>
                                    <CNF/>
                                  </FmtCndProps>
                                  <FntOvly>
                                    <FntOvlyProps>
                                      <PT>2</PT>
                                      <SON>0</SON>
                                      <CBPLI>4,1,6,2,1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4,0,1,6,2,1,-1,0,0,FALSE,FALSE§Z¿<>0,0,IF(ROUND(§A¿0,4,0,1,1,3,1,-1,0,0,FALSE,FALSE§Z¿-§A¿0,4,0,1,4,2,6,-1,0,0,FALSE,FALSE§Z¿,5)<>0,1,0))]]></VOFFF>
                              </ClmnBlkPtProps>
                              <FmtCnds>
                                <FmtCnd>
                                  <FmtCndProps>
                                    <CBPLI>4,1,7,2,1</CBPLI>
                                    <FCN>1</FCN>
                                    <FCT>1</FCT>
                                    <FCO>4</FCO>
                                    <F1FFF><![CDATA[=0]]></F1FFF>
                                    <F2FFF/>
                                    <SIT>False</SIT>
                                    <BSV>True</BSV>
                                    <BCT>0</BCT>
                                    <CNBCN>0</CNBCN>
                                    <BTAS>0</BTAS>
                                    <IST>1</IST>
                                    <RO>False</RO>
                                    <SIO>False</SIO>
                                    <TO>0</TO>
                                    <TS/>
                                    <DO>1</DO>
                                    <TB>1</TB>
                                    <R>10</R>
                                    <P>False</P>
                                    <AB>0</AB>
                                    <NSD>1</NSD>
                                    <DU>1</DU>
                                    <INF>False</INF>
                                    <NT>0</NT>
                                    <DP>0</DP>
                                    <CNF/>
                                  </FmtCndProps>
                                  <FntOvly>
                                    <FntOvlyProps>
                                      <PT>2</PT>
                                      <SON>0</SON>
                                      <CBPLI>4,1,7,2,1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0,§A¿0,4,1,1,8,3,1,-1,0,0,FALSE,FALSE,1,8,3,1,-1,1,0,FALSE,FALSE§Z¿)),1,MIN(SUM(§A¿0,4,1,1,8,3,1,-1,0,0,FALSE,FALSE,1,8,3,1,-1,1,0,FALSE,FALSE§Z¿),1))]]></VOFFF>
                              </ClmnBlkPtProps>
                              <Chk>
                                <ChkProps>
                                  <CBPLI>4,1,8,2,1</CBPLI>
                                  <CT>0</CT>
                                  <CN>5</CN>
                                  <HST>1</HST>
                                  <CHT/>
                                  <HCBPLI>2,1,2,2,1</HCBPLI>
                                </ChkProps>
                              </Chk>
                              <Cmts>
                                <Cmt>
                                  <CmtProps>
                                    <CBPLI>4,1,8,2,1</CBPLI>
                                    <WRN>1</WRN>
                                    <ERT>5</ERT>
                                    <COSTN>0</COSTN>
                                    <OC>0</OC>
                                    <HT><![CDATA[Error Check]]></HT>
                                    <HFS>0</HFS>
                                    <BT><![CDATA[Flags the existence of errors.]]></BT>
                                    <BFS>0</BFS>
                                    <H>103</H>
                                    <W>128</W>
                                  </CmtProps>
                                </Cmt>
                              </Cmts>
                              <FmtCnds>
                                <FmtCnd>
                                  <FmtCndProps>
                                    <CBPLI>4,1,8,2,1</CBPLI>
                                    <FCN>1</FCN>
                                    <FCT>1</FCT>
                                    <FCO>4</FCO>
                                    <F1FFF><![CDATA[=0]]></F1FFF>
                                    <F2FFF/>
                                    <SIT>False</SIT>
                                    <BSV>True</BSV>
                                    <BCT>0</BCT>
                                    <CNBCN>0</CNBCN>
                                    <BTAS>0</BTAS>
                                    <IST>1</IST>
                                    <RO>False</RO>
                                    <SIO>False</SIO>
                                    <TO>0</TO>
                                    <TS/>
                                    <DO>1</DO>
                                    <TB>1</TB>
                                    <R>10</R>
                                    <P>False</P>
                                    <AB>0</AB>
                                    <NSD>1</NSD>
                                    <DU>1</DU>
                                    <INF>False</INF>
                                    <NT>0</NT>
                                    <DP>0</DP>
                                    <CNF/>
                                  </FmtCndProps>
                                  <FntOvly>
                                    <FntOvlyProps>
                                      <PT>2</PT>
                                      <SON>0</SON>
                                      <CBPLI>4,1,8,2,1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4,1,1,6,2,1,-1,0,0,FALSE,FALSE,1,7,2,1,-1,0,0,FALSE,FALSE§Z¿),1)]]></VOFFF>
                              </ClmnBlkPtProps>
                              <FmtCnds>
                                <FmtCnd>
                                  <FmtCndProps>
                                    <CBPLI>4,1,8,3,1</CBPLI>
                                    <FCN>1</FCN>
                                    <FCT>1</FCT>
                                    <FCO>4</FCO>
                                    <F1FFF><![CDATA[=0]]></F1FFF>
                                    <F2FFF/>
                                    <SIT>False</SIT>
                                    <BSV>True</BSV>
                                    <BCT>0</BCT>
                                    <CNBCN>0</CNBCN>
                                    <BTAS>0</BTAS>
                                    <IST>1</IST>
                                    <RO>False</RO>
                                    <SIO>False</SIO>
                                    <TO>0</TO>
                                    <TS/>
                                    <DO>1</DO>
                                    <TB>1</TB>
                                    <R>10</R>
                                    <P>False</P>
                                    <AB>0</AB>
                                    <NSD>1</NSD>
                                    <DU>1</DU>
                                    <INF>False</INF>
                                    <NT>0</NT>
                                    <DP>0</DP>
                                    <CNF/>
                                  </FmtCndProps>
                                  <FntOvly>
                                    <FntOvlyProps>
                                      <PT>2</PT>
                                      <SON>0</SON>
                                      <CBPLI>4,1,8,3,1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4,1,1,9,3,1,-1,0,0,FALSE,FALSE,1,9,3,1,-1,1,0,FALSE,FALSE§Z¿)),1,MIN(SUM(§A¿0,4,1,1,9,3,1,-1,0,0,FALSE,FALSE,1,9,3,1,-1,1,0,FALSE,FALSE§Z¿),1))]]></VOFFF>
                              </ClmnBlkPtProps>
                              <Chk>
                                <ChkProps>
                                  <CBPLI>4,1,9,2,1</CBPLI>
                                  <CT>2</CT>
                                  <CN>3</CN>
                                  <HST>1</HST>
                                  <CHT/>
                                  <HCBPLI>2,1,2,2,1</HCBPLI>
                                </ChkProps>
                              </Chk>
                              <Cmts>
                                <Cmt>
                                  <CmtProps>
                                    <CBPLI>4,1,9,2,1</CBPLI>
                                    <WRN>1</WRN>
                                    <ERT>5</ERT>
                                    <COSTN>0</COSTN>
                                    <OC>0</OC>
                                    <HT><![CDATA[Alert Check]]></HT>
                                    <HFS>0</HFS>
                                    <BT><![CDATA[Flags the occurrence of designated events.]]></BT>
                                    <BFS>0</BFS>
                                    <H>80</H>
                                    <W>128</W>
                                  </CmtProps>
                                </Cmt>
                              </Cmts>
                              <FmtCnds>
                                <FmtCnd>
                                  <FmtCndProps>
                                    <CBPLI>4,1,9,2,1</CBPLI>
                                    <FCN>1</FCN>
                                    <FCT>1</FCT>
                                    <FCO>4</FCO>
                                    <F1FFF><![CDATA[=0]]></F1FFF>
                                    <F2FFF/>
                                    <SIT>False</SIT>
                                    <BSV>True</BSV>
                                    <BCT>0</BCT>
                                    <CNBCN>0</CNBCN>
                                    <BTAS>0</BTAS>
                                    <IST>1</IST>
                                    <RO>False</RO>
                                    <SIO>False</SIO>
                                    <TO>0</TO>
                                    <TS/>
                                    <DO>1</DO>
                                    <TB>1</TB>
                                    <R>10</R>
                                    <P>False</P>
                                    <AB>0</AB>
                                    <NSD>1</NSD>
                                    <DU>1</DU>
                                    <INF>False</INF>
                                    <NT>0</NT>
                                    <DP>0</DP>
                                    <CNF/>
                                  </FmtCndProps>
                                  <FntOvly>
                                    <FntOvlyProps>
                                      <PT>2</PT>
                                      <SON>0</SON>
                                      <CBPLI>4,1,9,2,1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4,0,1,8,3,1,-1,0,0,FALSE,FALSE§Z¿=1,0,IF(MIN(§A¿0,4,1,1,4,2,1,1,0,0,FALSE,FALSE,1,4,2,1,2,0,0,FALSE,FALSE§Z¿)<0,1,0))]]></VOFFF>
                              </ClmnBlkPtProps>
                              <FmtCnds>
                                <FmtCnd>
                                  <FmtCndProps>
                                    <CBPLI>4,1,9,3,1</CBPLI>
                                    <FCN>1</FCN>
                                    <FCT>1</FCT>
                                    <FCO>4</FCO>
                                    <F1FFF><![CDATA[=0]]></F1FFF>
                                    <F2FFF/>
                                    <SIT>False</SIT>
                                    <BSV>True</BSV>
                                    <BCT>0</BCT>
                                    <CNBCN>0</CNBCN>
                                    <BTAS>0</BTAS>
                                    <IST>1</IST>
                                    <RO>False</RO>
                                    <SIO>False</SIO>
                                    <TO>0</TO>
                                    <TS/>
                                    <DO>1</DO>
                                    <TB>1</TB>
                                    <R>10</R>
                                    <P>False</P>
                                    <AB>0</AB>
                                    <NSD>1</NSD>
                                    <DU>1</DU>
                                    <INF>False</INF>
                                    <NT>0</NT>
                                    <DP>0</DP>
                                    <CNF/>
                                  </FmtCndProps>
                                  <FntOvly>
                                    <FntOvlyProps>
                                      <PT>2</PT>
                                      <SON>0</SON>
                                      <CBPLI>4,1,9,3,1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Cogs_Cat]]></P>
            <OI>610</OI>
            <MN>0</MN>
            <MAG>E72A3FD0-52CB-410C-9CE7-3A25AE62CEAD</MAG>
            <BN><![CDATA[Cost of Goods Sold Category]]></BN>
            <N><![CDATA[Cost of Goods Sold - Instructor Grants]]></N>
            <TS><![CDATA[Scenarios & Monthly]]></TS>
            <D><![CDATA[Calculates cost of goods sold for a single cost of goods sold category over a number of time series periods.]]></D>
            <FS><![CDATA[Collects unit costs and volumes assumptions for each time series period.&#10;Includes all periods absolute change scenario assumptions to be included within a central scenario manager.]]></FS>
            <R><![CDATA[Any]]></R>
            <GE><![CDATA[Cost of Goods Sold Category]]></GE>
            <CA><![CDATA[Unit Costs, Volumes, Absolute Change Scenarios]]></CA>
            <VA><![CDATA[Single Component]]></VA>
            <GST><![CDATA[None]]></GST>
            <DE><![CDATA[Modano]]></DE>
            <E><![CDATA[info@modano.com]]></E>
            <C><![CDATA[Modano]]></C>
            <W><![CDATA[www.modano.com]]></W>
            <K/>
            <CO/>
            <V>11.0.1.0.</V>
            <AX>2</AX>
            <SX/>
            <PMLO>False</PMLO>
            <IPMLO>False</IPMLO>
            <MACA>1</MACA>
            <HP>True</HP>
            <DR>True</DR>
            <RTSM>True</RTSM>
            <CC>False</CC>
            <X>False</X>
            <G>85A6B5DD-0835-49A2-9260-322BE63FBDDD</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s>
          <TrigCbps>
            <TrigCbp>
              <TrigCbpProps>
                <LI>3,1,1,1,1</LI>
                <TT>2</TT>
                <RLI/>
                <R2LI/>
                <TS/>
                <OT>0</OT>
                <FO>0</FO>
              </TrigCbpProps>
            </TrigCbp>
          </TrigCbps>
          <ModComps>
            <ModComp>
              <ModCompProps>
                <MN>16</MN>
                <MCN>1</MCN>
                <MCTK>BaseCase</MCTK>
                <RT><![CDATA[<ModuleName> - Scenarios]]></RT>
                <ERN>MODMC80</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16</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16</MN>
                <MCN>2</MCN>
                <MCTK>BaseCase</MCTK>
                <RT><![CDATA[<ModuleName> - Assumptions]]></RT>
                <ERN>MODMC81</ERN>
                <MCST>1</MCST>
                <IPMC>False</IPMC>
                <SN>10</SN>
                <LODS>False</LODS>
                <LST>False</LST>
                <RSTF>False</RSTF>
                <STRA>0</STRA>
                <HS>False</HS>
                <IBOA>0</IBOA>
                <IB>True</IB>
                <CI><![CDATA[Cost of Goods Sold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Cost]]></VOFFF>
                                <UDAV><![CDATA[Unit Cost]]></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16</MN>
                <MCN>3</MCN>
                <MCTK>BaseCase</MCTK>
                <RT><![CDATA[<ModuleName> - Outputs]]></RT>
                <ERN>MODMC101</ERN>
                <MCST>1</MCST>
                <IPMC>False</IPMC>
                <SN>10</SN>
                <LODS>False</LODS>
                <LST>False</LST>
                <RSTF>False</RSTF>
                <STRA>0</STRA>
                <HS>False</HS>
                <IBOA>0</IBOA>
                <IB>True</IB>
                <CI><![CDATA[Cost of Goods Sold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2,0,1,2,2,1,-1,0,0,FALSE,FALSE§Z¿/§A¿7,1,1,1,16,0,2,1,1§Z¿+§A¿0,3,0,1,1,2,1,-1,0,0,FALSE,TRUE§Z¿]]></VOFFF>
                              </ClmnBlkPtProps>
                            </ClmnBlkPt>
                          </ClmnBlkPts>
                        </ClmnBlk>
                      </ClmnBlks>
                      <TtlCtg>
                        <TtlCtgProps>
                          <R>1</R>
                        </TtlCtgProps>
                      </TtlCtg>
                      <ElmtLnksOut>
                        <ElmtLnk>
                          <ElmtLnkProps>
                            <ELI>3,1,1</ELI>
                            <ELN>1</ELN>
                            <ELGN>1</ELGN>
                            <MLG>F98A0C33-E8F8-4F05-95E5-E2C4C301BA8E</MLG>
                            <ICBI>1,3</ICBI>
                            <ILBN>1,2</ILBN>
                            <LIBN>0</LIBN>
                          </ElmtLnkProps>
                        </ElmtLnk>
                      </ElmtLnksOut>
                    </Elmt>
                  </Elmts>
                </Sect>
              </Sects>
            </ModComp>
          </ModComps>
        </Mod>
        <Mod>
          <ModProps>
            <MVS>14.0.5.0</MVS>
            <RAV/>
            <RXV>0</RXV>
            <FV>3</FV>
            <MT>0</MT>
            <SCT>-1</SCT>
            <P><![CDATA[Cogs_Cat]]></P>
            <OI>610</OI>
            <MN>2</MN>
            <MAG>E72A3FD0-52CB-410C-9CE7-3A25AE62CEAD</MAG>
            <BN><![CDATA[Cost of Goods Sold Category]]></BN>
            <N><![CDATA[Cost of Goods Sold - Merch CoGS]]></N>
            <TS><![CDATA[Scenarios & Monthly]]></TS>
            <D><![CDATA[Calculates cost of goods sold for a single cost of goods sold category over a number of time series periods.]]></D>
            <FS><![CDATA[Collects cost of goods sold assumptions as margins applied to assumed revenue for each time series period.&#10;Includes all periods absolute change scenario assumptions to be included within a central scenario manager.]]></FS>
            <R><![CDATA[Any]]></R>
            <GE><![CDATA[Cost of Goods Sold Category]]></GE>
            <CA><![CDATA[Margins, Assumed Revenue, Absolute Change Scenarios]]></CA>
            <VA><![CDATA[Single Component]]></VA>
            <GST><![CDATA[None]]></GST>
            <DE><![CDATA[Modano]]></DE>
            <E><![CDATA[info@modano.com]]></E>
            <C><![CDATA[Modano]]></C>
            <W><![CDATA[www.modano.com]]></W>
            <K/>
            <CO/>
            <V>11.0.1.0.</V>
            <AX>2</AX>
            <SX/>
            <PMLO>False</PMLO>
            <IPMLO>False</IPMLO>
            <MACA>1</MACA>
            <HP>True</HP>
            <DR>True</DR>
            <RTSM>True</RTSM>
            <CC>False</CC>
            <X>False</X>
            <G>20C366C2-36E0-4A5F-822D-087E4535B21A</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0</NT>
                <DP>0</DP>
                <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HA>True</IHA>
                <HA>-4108</HA>
              </StlOvlyProps>
              <FntOvly>
                <FntOvlyProps>
                  <PT>1</PT>
                  <SON>3</SON>
                  <CBPLI>0,0,0,0,0</CBPLI>
                  <FCN>0</FCN>
                  <CN>0</CN>
                  <IC>True</IC>
                  <CT>-3</CT>
                  <CNU>2</CNU>
                  <CPR>8421504</CPR>
                  <TAS>0.4999542</TAS>
                </FntOvlyProps>
              </FntOvly>
            </StlOvly>
            <StlOvly>
              <StlOvlyProps>
                <SON>4</SON>
                <INF>True</INF>
                <IHA>True</IHA>
                <NT>-2</NT>
                <DP>0</DP>
                <CNF><![CDATA[_("+"#,##0.0_);(#,##0.0);_("-"_);_)@_)]]></CNF>
                <HA>-4108</HA>
              </StlOvlyProps>
            </StlOvly>
            <StlOvly>
              <StlOvlyProps>
                <SON>5</SON>
                <INF>True</INF>
                <IHA>True</IHA>
                <NT>-2</NT>
                <DP>0</DP>
                <CNF><![CDATA[_("+"#,##0.0_);(#,##0.0);_("-"_);_)@_)]]></CNF>
                <HA>-4108</HA>
              </StlOvlyProps>
              <BdrOvlys>
                <BdrOvly>
                  <BdrOvlyProps>
                    <PT>1</PT>
                    <SON>5</SON>
                    <CBPLI/>
                    <FCN>0</FCN>
                    <I>True</I>
                    <BI>7</BI>
                    <LS>1</LS>
                    <W>2</W>
                    <CT>3</CT>
                    <CN>2</CN>
                    <TAS>0.4999542</TAS>
                  </BdrOvlyProps>
                </BdrOvly>
                <BdrOvly>
                  <BdrOvlyProps>
                    <PT>1</PT>
                    <SON>5</SON>
                    <CBPLI/>
                    <FCN>0</FCN>
                    <I>True</I>
                    <BI>10</BI>
                    <LS>1</LS>
                    <W>2</W>
                    <CT>3</CT>
                    <CN>2</CN>
                    <TAS>0.4999542</TAS>
                  </BdrOvlyProps>
                </BdrOvly>
                <BdrOvly>
                  <BdrOvlyProps>
                    <PT>1</PT>
                    <SON>5</SON>
                    <CBPLI/>
                    <FCN>0</FCN>
                    <I>True</I>
                    <BI>8</BI>
                    <LS>1</LS>
                    <W>2</W>
                    <CT>3</CT>
                    <CN>2</CN>
                    <TAS>0.4999542</TAS>
                  </BdrOvlyProps>
                </BdrOvly>
                <BdrOvly>
                  <BdrOvlyProps>
                    <PT>1</PT>
                    <SON>5</SON>
                    <CBPLI/>
                    <FCN>0</FCN>
                    <I>True</I>
                    <BI>9</BI>
                    <LS>1</LS>
                    <W>2</W>
                    <CT>3</CT>
                    <CN>2</CN>
                    <TAS>0.4999542</TAS>
                  </BdrOvlyProps>
                </BdrOvly>
              </BdrOvlys>
            </StlOvly>
            <StlOvly>
              <StlOvlyProps>
                <SON>6</SON>
                <INF>True</INF>
                <IHA>True</IHA>
                <NT>-2</NT>
                <DP>0</DP>
                <CNF><![CDATA[_("+"#,##0.0_);(#,##0.0);_("-"_);_)@_)]]></CNF>
                <HA>-4108</HA>
              </StlOvlyProps>
              <FntOvly>
                <FntOvlyProps>
                  <PT>1</PT>
                  <SON>6</SON>
                  <CBPLI>0,0,0,0,0</CBPLI>
                  <FCN>0</FCN>
                  <CN>0</CN>
                  <IC>True</IC>
                  <CT>-3</CT>
                  <CNU>2</CNU>
                  <CPR>8421504</CPR>
                  <TAS>0.4999847</TAS>
                </FntOvlyProps>
              </FntOvly>
              <BdrOvlys>
                <BdrOvly>
                  <BdrOvlyProps>
                    <PT>1</PT>
                    <SON>6</SON>
                    <CBPLI/>
                    <FCN>0</FCN>
                    <I>True</I>
                    <BI>7</BI>
                    <LS>1</LS>
                    <W>2</W>
                    <CT>3</CT>
                    <CN>2</CN>
                    <TAS>0.4999847</TAS>
                  </BdrOvlyProps>
                </BdrOvly>
                <BdrOvly>
                  <BdrOvlyProps>
                    <PT>1</PT>
                    <SON>6</SON>
                    <CBPLI/>
                    <FCN>0</FCN>
                    <I>True</I>
                    <BI>10</BI>
                    <LS>1</LS>
                    <W>2</W>
                    <CT>3</CT>
                    <CN>2</CN>
                    <TAS>0.4999847</TAS>
                  </BdrOvlyProps>
                </BdrOvly>
                <BdrOvly>
                  <BdrOvlyProps>
                    <PT>1</PT>
                    <SON>6</SON>
                    <CBPLI/>
                    <FCN>0</FCN>
                    <I>True</I>
                    <BI>8</BI>
                    <LS>1</LS>
                    <W>2</W>
                    <CT>3</CT>
                    <CN>2</CN>
                    <TAS>0.4999847</TAS>
                  </BdrOvlyProps>
                </BdrOvly>
                <BdrOvly>
                  <BdrOvlyProps>
                    <PT>1</PT>
                    <SON>6</SON>
                    <CBPLI/>
                    <FCN>0</FCN>
                    <I>True</I>
                    <BI>9</BI>
                    <LS>1</LS>
                    <W>2</W>
                    <CT>3</CT>
                    <CN>2</CN>
                    <TAS>0.4999847</TAS>
                  </BdrOvlyProps>
                </BdrOvly>
              </BdrOvlys>
            </StlOvly>
          </StlOvlys>
          <TrigCbps>
            <TrigCbp>
              <TrigCbpProps>
                <LI>3,1,1,1,1</LI>
                <TT>2</TT>
                <RLI/>
                <R2LI/>
                <TS/>
                <OT>0</OT>
                <FO>0</FO>
              </TrigCbpProps>
            </TrigCbp>
          </TrigCbps>
          <ModComps>
            <ModComp>
              <ModCompProps>
                <MN>17</MN>
                <MCN>1</MCN>
                <MCTK>BaseCase</MCTK>
                <RT><![CDATA[<ModuleName> - Scenarios]]></RT>
                <ERN>MODMC67</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2</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17</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3</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5</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4</SON>
                                <VOFFF><![CDATA[0.1]]></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17</MN>
                <MCN>2</MCN>
                <MCTK>BaseCase</MCTK>
                <RT><![CDATA[<ModuleName> - Assumptions]]></RT>
                <ERN>MODMC68</ERN>
                <MCST>1</MCST>
                <IPMC>False</IPMC>
                <SN>10</SN>
                <LODS>False</LODS>
                <LST>False</LST>
                <RSTF>False</RSTF>
                <STRA>0</STRA>
                <HS>False</HS>
                <IBOA>0</IBOA>
                <IB>True</IB>
                <CI><![CDATA[Cost of Goods Sold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1</SON>
                                <VOFFF><![CDATA[Revenue]]></VOFFF>
                                <UDAV><![CDATA[Revenu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1</SON>
                                <VOFFF><![CDATA[Margin %]]></VOFFF>
                                <UDAV><![CDATA[Margin %]]></UDAV>
                              </ClmnBlkPtProps>
                            </ClmnBlkPt>
                          </ClmnBlkPts>
                        </ClmnBlk>
                        <ClmnBlk>
                          <ClmnBlkProps>
                            <FCPT>3</FCPT>
                            <FCN>10</FCN>
                            <FCOT>0</FCOT>
                            <FCOC>0</FCOC>
                            <FCPTBMCN>4</FCPTBMCN>
                            <FCPTBN>3</FCPTBN>
                            <LCPT>3</LCPT>
                            <LCN>45</LCN>
                            <LCOT>1</LCOT>
                            <LCOC>0</LCOC>
                            <LCPTBMCN>4</LCPTBMCN>
                            <LCPTBN>3</LCPTBN>
                          </ClmnBlkProps>
                          <ClmnBlkPts>
                            <ClmnBlkPt>
                              <ClmnBlkPtProps>
                                <CBPT>5</CBPT>
                                <ST>12</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17</MN>
                <MCN>3</MCN>
                <MCTK>BaseCase</MCTK>
                <RT><![CDATA[<ModuleName> - Outputs]]></RT>
                <ERN>MODMC79</ERN>
                <MCST>1</MCST>
                <IPMC>False</IPMC>
                <SN>10</SN>
                <LODS>False</LODS>
                <LST>False</LST>
                <RSTF>False</RSTF>
                <STRA>0</STRA>
                <HS>False</HS>
                <IBOA>0</IBOA>
                <IB>True</IB>
                <CI><![CDATA[Cost of Goods Sold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6</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2,0,1,2,2,1,-1,0,0,FALSE,FALSE§Z¿)+§A¿0,3,0,1,1,2,1,-1,0,0,FALSE,TRUE§Z¿]]></VOFFF>
                              </ClmnBlkPtProps>
                            </ClmnBlkPt>
                          </ClmnBlkPts>
                        </ClmnBlk>
                      </ClmnBlks>
                      <TtlCtg>
                        <TtlCtgProps>
                          <R>1</R>
                        </TtlCtgProps>
                      </TtlCtg>
                      <ElmtLnksOut>
                        <ElmtLnk>
                          <ElmtLnkProps>
                            <ELI>3,1,1</ELI>
                            <ELN>1</ELN>
                            <ELGN>1</ELGN>
                            <MLG>F98A0C33-E8F8-4F05-95E5-E2C4C301BA8E</MLG>
                            <ICBI>1,3</ICBI>
                            <ILBN>1,2</ILBN>
                            <LIBN>0</LIBN>
                          </ElmtLnkProps>
                        </ElmtLnk>
                      </ElmtLnksOut>
                    </Elmt>
                  </Elmts>
                </Sect>
              </Sects>
            </ModComp>
          </ModComps>
        </Mod>
        <Mod>
          <ModProps>
            <MVS>14.0.5.0</MVS>
            <RAV/>
            <RXV>0</RXV>
            <FV>3</FV>
            <MT>0</MT>
            <SCT>-1</SCT>
            <P><![CDATA[Cogs_Cat]]></P>
            <OI>610</OI>
            <MN>3</MN>
            <MAG>E72A3FD0-52CB-410C-9CE7-3A25AE62CEAD</MAG>
            <BN><![CDATA[Cost of Goods Sold Category]]></BN>
            <N><![CDATA[Cost of Goods Sold - Discounts (Gift Cards)]]></N>
            <TS><![CDATA[Scenarios & Monthly]]></TS>
            <D><![CDATA[Calculates cost of goods sold for a single cost of goods sold category over a number of time series periods.]]></D>
            <FS><![CDATA[Collects cost of goods sold assumptions as a percentage of an assumed custom driver for each time series period. &#10;Includes all periods percentage of custom driver absolute change scenario assumptions to be included within a central scenario manager.]]></FS>
            <R><![CDATA[Any]]></R>
            <GE><![CDATA[Cost of Goods Sold Category]]></GE>
            <CA><![CDATA[Percentage of Custom Driver, Scenarios]]></CA>
            <VA><![CDATA[Single Component]]></VA>
            <GST><![CDATA[None]]></GST>
            <DE><![CDATA[Modano]]></DE>
            <E><![CDATA[info@modano.com]]></E>
            <C><![CDATA[Modano]]></C>
            <W><![CDATA[www.modano.com]]></W>
            <K/>
            <CO/>
            <V>11.0.1.0.</V>
            <AX>2</AX>
            <SX/>
            <PMLO>False</PMLO>
            <IPMLO>False</IPMLO>
            <MACA>1</MACA>
            <HP>True</HP>
            <DR>True</DR>
            <RTSM>True</RTSM>
            <CC>False</CC>
            <X>False</X>
            <G>853A55A4-D353-44A0-BCF6-6C851557D493</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FntOvly>
                <FntOvlyProps>
                  <PT>1</PT>
                  <SON>2</SON>
                  <CBPLI>0,0,0,0,0</CBPLI>
                  <FCN>0</FCN>
                  <CN>0</CN>
                  <IC>True</IC>
                  <CT>-3</CT>
                  <CNU>2</CNU>
                  <CPR>8421504</CPR>
                  <TAS>0.4999847</TAS>
                </FntOvlyProps>
              </FntOvly>
              <BdrOvlys>
                <BdrOvly>
                  <BdrOvlyProps>
                    <PT>1</PT>
                    <SON>2</SON>
                    <CBPLI/>
                    <FCN>0</FCN>
                    <I>True</I>
                    <BI>7</BI>
                    <LS>1</LS>
                    <W>2</W>
                    <CT>3</CT>
                    <CN>2</CN>
                    <TAS>0.4999847</TAS>
                  </BdrOvlyProps>
                </BdrOvly>
                <BdrOvly>
                  <BdrOvlyProps>
                    <PT>1</PT>
                    <SON>2</SON>
                    <CBPLI/>
                    <FCN>0</FCN>
                    <I>True</I>
                    <BI>10</BI>
                    <LS>1</LS>
                    <W>2</W>
                    <CT>3</CT>
                    <CN>2</CN>
                    <TAS>0.4999847</TAS>
                  </BdrOvlyProps>
                </BdrOvly>
                <BdrOvly>
                  <BdrOvlyProps>
                    <PT>1</PT>
                    <SON>2</SON>
                    <CBPLI/>
                    <FCN>0</FCN>
                    <I>True</I>
                    <BI>8</BI>
                    <LS>1</LS>
                    <W>2</W>
                    <CT>3</CT>
                    <CN>2</CN>
                    <TAS>0.4999847</TAS>
                  </BdrOvlyProps>
                </BdrOvly>
                <BdrOvly>
                  <BdrOvlyProps>
                    <PT>1</PT>
                    <SON>2</SON>
                    <CBPLI/>
                    <FCN>0</FCN>
                    <I>True</I>
                    <BI>9</BI>
                    <LS>1</LS>
                    <W>2</W>
                    <CT>3</CT>
                    <CN>2</CN>
                    <TAS>0.4999847</TAS>
                  </BdrOvlyProps>
                </BdrOvly>
              </BdrOvlys>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NT>-2</NT>
                <DP>0</DP>
                <CNF><![CDATA[_(#,##0_);(#,##0);_("-"_);_)@_)]]></CNF>
              </StlOvlyProps>
            </StlOvly>
          </StlOvlys>
          <TrigCbps>
            <TrigCbp>
              <TrigCbpProps>
                <LI>3,1,1,1,1</LI>
                <TT>2</TT>
                <RLI/>
                <R2LI/>
                <TS/>
                <OT>0</OT>
                <FO>0</FO>
              </TrigCbpProps>
            </TrigCbp>
          </TrigCbps>
          <ModComps>
            <ModComp>
              <ModCompProps>
                <MN>18</MN>
                <MCN>1</MCN>
                <MCTK>BaseCase</MCTK>
                <RT><![CDATA[<ModuleName> - Scenarios]]></RT>
                <ERN>MODMC175</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18</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 - % of Custom Driver"]]></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5</SON>
                                <VOFFF><![CDATA[0.1]]></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18</MN>
                <MCN>2</MCN>
                <MCTK>BaseCase</MCTK>
                <RT><![CDATA[<ModuleName> - Assumptions]]></RT>
                <ERN>MODMC176</ERN>
                <MCST>1</MCST>
                <IPMC>False</IPMC>
                <SN>10</SN>
                <LODS>False</LODS>
                <LST>False</LST>
                <RSTF>False</RSTF>
                <STRA>0</STRA>
                <HS>False</HS>
                <IBOA>0</IBOA>
                <IB>True</IB>
                <CI><![CDATA[Cost of Goods Sold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1</SON>
                                <VOFFF><![CDATA[[Driver]]]></VOFFF>
                                <UDAV><![CDATA[[Driver]]]></UDAV>
                              </ClmnBlkPtProps>
                            </ClmnBlkPt>
                          </ClmnBlkPts>
                        </ClmnBlk>
                        <ClmnBlk>
                          <ClmnBlkProps>
                            <FCPT>3</FCPT>
                            <FCN>10</FCN>
                            <FCOT>0</FCOT>
                            <FCOC>0</FCOC>
                            <FCPTBMCN>4</FCPTBMCN>
                            <FCPTBN>3</FCPTBN>
                            <LCPT>3</LCPT>
                            <LCN>45</LCN>
                            <LCOT>1</LCOT>
                            <LCOC>0</LCOC>
                            <LCPTBMCN>4</LCPTBMCN>
                            <LCPTBN>3</LCPTBN>
                          </ClmnBlkProps>
                          <ClmnBlkPts>
                            <ClmnBlkPt>
                              <ClmnBlkPtProps>
                                <CBPT>5</CBPT>
                                <ST>11</ST>
                                <SON>7</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1</SON>
                                <VOFFF><![CDATA[% of [Driver]]]></VOFFF>
                                <UDAV><![CDATA[% of [Driver]]]></UDAV>
                              </ClmnBlkPtProps>
                            </ClmnBlkPt>
                          </ClmnBlkPts>
                        </ClmnBlk>
                        <ClmnBlk>
                          <ClmnBlkProps>
                            <FCPT>3</FCPT>
                            <FCN>10</FCN>
                            <FCOT>0</FCOT>
                            <FCOC>0</FCOC>
                            <FCPTBMCN>4</FCPTBMCN>
                            <FCPTBN>3</FCPTBN>
                            <LCPT>3</LCPT>
                            <LCN>45</LCN>
                            <LCOT>1</LCOT>
                            <LCOC>0</LCOC>
                            <LCPTBMCN>4</LCPTBMCN>
                            <LCPTBN>3</LCPTBN>
                          </ClmnBlkProps>
                          <ClmnBlkPts>
                            <ClmnBlkPt>
                              <ClmnBlkPtProps>
                                <CBPT>5</CBPT>
                                <ST>12</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18</MN>
                <MCN>3</MCN>
                <MCTK>BaseCase</MCTK>
                <RT><![CDATA[<ModuleName> - Outputs]]></RT>
                <ERN>MODMC177</ERN>
                <MCST>1</MCST>
                <IPMC>False</IPMC>
                <SN>10</SN>
                <LODS>False</LODS>
                <LST>False</LST>
                <RSTF>False</RSTF>
                <STRA>0</STRA>
                <HS>False</HS>
                <IBOA>0</IBOA>
                <IB>True</IB>
                <CI><![CDATA[Cost of Goods Sold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2</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2,0,1,2,2,1,-1,0,0,FALSE,FALSE§Z¿+§A¿0,3,0,1,1,2,1,-1,0,0,FALSE,TRUE§Z¿)]]></VOFFF>
                              </ClmnBlkPtProps>
                            </ClmnBlkPt>
                          </ClmnBlkPts>
                        </ClmnBlk>
                      </ClmnBlks>
                      <TtlCtg>
                        <TtlCtgProps>
                          <R>1</R>
                        </TtlCtgProps>
                      </TtlCtg>
                      <ElmtLnksOut>
                        <ElmtLnk>
                          <ElmtLnkProps>
                            <ELI>3,1,1</ELI>
                            <ELN>1</ELN>
                            <ELGN>1</ELGN>
                            <MLG>F98A0C33-E8F8-4F05-95E5-E2C4C301BA8E</MLG>
                            <ICBI>1,3</ICBI>
                            <ILBN>1,2</ILBN>
                            <LIBN>0</LIBN>
                          </ElmtLnkProps>
                        </ElmtLnk>
                      </ElmtLnksOut>
                    </Elmt>
                  </Elmts>
                </Sect>
              </Sects>
            </ModComp>
          </ModComps>
        </Mod>
        <Mod>
          <ModProps>
            <MVS>14.0.5.0</MVS>
            <RAV/>
            <RXV>0</RXV>
            <FV>3</FV>
            <MT>0</MT>
            <SCT>-1</SCT>
            <P><![CDATA[Opex]]></P>
            <OI>800</OI>
            <MN>0</MN>
            <MAG>E72A3FD0-52CB-410C-9CE7-3A25AE62CEAD</MAG>
            <BN><![CDATA[Operating Expenditure]]></BN>
            <N><![CDATA[Operating Expenditure]]></N>
            <TS><![CDATA[Scenarios & Monthly]]></TS>
            <D><![CDATA[Calculates operating expenditure for a number of operating expenditure categories over a number of time series periods.]]></D>
            <FS><![CDATA[Allows for a separate module for each operating expenditure category to facilitate variable drivers functionalities.&#13;&#10;Allows for scenario assumptions to be included within a central scenario manager.]]></FS>
            <R><![CDATA[Any]]></R>
            <GE><![CDATA[Operating Expenditure]]></GE>
            <CA><![CDATA[Variable Drivers, Scenarios]]></CA>
            <VA><![CDATA[Single Component]]></VA>
            <GST><![CDATA[None]]></GST>
            <DE><![CDATA[Modano]]></DE>
            <E><![CDATA[info@modano.com]]></E>
            <C><![CDATA[Modano]]></C>
            <W><![CDATA[www.modano.com]]></W>
            <K/>
            <CO/>
            <V>11.0.1.0.</V>
            <AX>2</AX>
            <SX/>
            <PMLO>False</PMLO>
            <IPMLO>False</IPMLO>
            <MACA>0</MACA>
            <HP>False</HP>
            <DR>False</DR>
            <RTSM>True</RTSM>
            <CC>True</CC>
            <X>False</X>
            <G>B35CA653-8916-4A89-B468-3C0453318FA0</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
              <RowStgProps>
                <RSN>6</RSN>
                <RHST>1</RHST>
                <HS>25</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
              <StlOvlyProps>
                <SON>8</SON>
                <INF>True</INF>
                <NT>0</NT>
                <DP>0</DP>
                <CNF><![CDATA[_(#,##0.0_);(#,##0.0);_-"-"_-;_)@_)]]></CNF>
              </StlOvlyProps>
              <FntOvly>
                <FntOvlyProps>
                  <PT>1</PT>
                  <SON>8</SON>
                  <CBPLI>0,0,0,0,0</CBPLI>
                  <FCN>0</FCN>
                  <CN>0</CN>
                  <IB>True</IB>
                  <B>True</B>
                </FntOvlyProps>
              </FntOvly>
              <BdrOvlys>
                <BdrOvly>
                  <BdrOvlyProps>
                    <PT>1</PT>
                    <SON>8</SON>
                    <CBPLI/>
                    <FCN>0</FCN>
                    <I>True</I>
                    <BI>10</BI>
                    <LS>1</LS>
                    <W>2</W>
                  </BdrOvlyProps>
                </BdrOvly>
              </BdrOvlys>
            </StlOvly>
          </StlOvlys>
          <ElmtsGrps>
            <ElmtsGrp>
              <ElmtsGrpProps>
                <NU>1</NU>
                <NA><![CDATA[Operating Expenditure]]></NA>
                <EGT>0</EGT>
                <DCC>6</DCC>
                <AST>False</AST>
                <ISTH>True</ISTH>
                <PTMCN>0</PTMCN>
                <PTBN>0</PTBN>
                <PTBI>0</PTBI>
                <GLN/>
                <CLOT>0</CLOT>
                <CLIT>0</CLIT>
                <PMLO>0</PMLO>
                <IPMLO>0</IPMLO>
              </ElmtsGrpProps>
            </ElmtsGrp>
          </ElmtsGrps>
          <ModComps>
            <ModComp>
              <ModCompProps>
                <MN>19</MN>
                <MCN>1</MCN>
                <MCTK>BaseCase</MCTK>
                <RT><![CDATA[<ModuleName> - Scenarios]]></RT>
                <ERN>MODMC85</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22</CTHN>
                                <ST>5</ST>
                                <VOFFF><![CDATA[<ModuleName>]]></VOFFF>
                              </ClmnBlkPtProps>
                              <RgeNmes>
                                <RgeNme>
                                  <RgeNmeProps>
                                    <CBPLI>1,1,2,2,1</CBPLI>
                                    <MCN>1</MCN>
                                    <SN>1</SN>
                                    <EN>2</EN>
                                    <CN>0</CN>
                                    <CBN>2</CBN>
                                    <CBPN>1</CBPN>
                                    <PT>1</PT>
                                    <CBPRNT>6</CBPRNT>
                                    <NT>12</NT>
                                    <SP1><![CDATA[Scen_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ROWS(§A¿0,3|4,1,1,2,2,1,-1,0,0,TRUE,TRUE,1,1,2,1,-1,0,0,TRUE,TRUE§Z¿)=2,0,IF(COUNTIF(OFFSET(§A¿0,3,0,1,2,2,1,-1,0,0,TRUE,TRUE§Z¿,1,0,ROWS(§A¿0,3|4,1,1,2,2,1,-1,0,0,TRUE,TRUE,1,1,2,1,-1,0,0,TRUE,TRUE§Z¿)-2,1),"<>0")-COUNTBLANK(OFFSET(§A¿0,3,0,1,2,2,1,-1,0,0,TRUE,TRUE§Z¿,1,0,ROWS(§A¿0,3|4,1,1,2,2,1,-1,0,0,TRUE,TRUE,1,1,2,1,-1,0,0,TRUE,TRUE§Z¿)-2,1))>0,1,0))]]></VOFFF>
                              </ClmnBlkPtProps>
                              <Chk>
                                <ChkProps>
                                  <CBPLI>1,1,3,2,1</CBPLI>
                                  <CT>1</CT>
                                  <CN>3</CN>
                                  <HST>1</HST>
                                  <CHT/>
                                  <HCBPLI>1,1,2,2,1</HCBPLI>
                                </ChkProps>
                              </Chk>
                              <Cmts>
                                <Cmt>
                                  <CmtProps>
                                    <CBPLI>1,1,3,2,1</CBPLI>
                                    <WRN>1</WRN>
                                    <ERT>5</ERT>
                                    <COSTN>0</COSTN>
                                    <OC>0</OC>
                                    <HT><![CDATA[Sensitivity]]></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4</R>
                        </TtlCtgProps>
                      </TtlCtg>
                    </Elmt>
                    <Elmt>
                      <ElmtProps>
                        <CPT>2</CPT>
                      </ElmtProps>
                      <TtlCtg>
                        <TtlCtgProps>
                          <R>6</R>
                        </TtlCtgProps>
                      </TtlCtg>
                    </Elmt>
                  </Elmts>
                </Sect>
              </Sects>
            </ModComp>
            <ModComp>
              <ModCompProps>
                <MN>19</MN>
                <MCN>2</MCN>
                <MCTK>BaseCase</MCTK>
                <RT><![CDATA[<ModuleName> - Top]]></RT>
                <ERN>MODMC86</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LCPT>3</LCPT>
                            <LCN>2</LCN>
                            <LCOT>1</LCOT>
                            <LCOC>0</LCOC>
                          </ClmnBlkProps>
                          <ClmnBlkPts>
                            <ClmnBlkPt>
                              <ClmnBlkPtProps>
                                <CBPT>5</CBPT>
                                <HCTHR>True</HCTHR>
                                <CTHN>36</CTHN>
                                <ST>3</ST>
                                <VOFFF><![CDATA[<ModuleName>]]></VOFFF>
                              </ClmnBlkPtProps>
                              <RgeNmes>
                                <RgeNme>
                                  <RgeNmeProps>
                                    <CBPLI>2,1,2,2,1</CBPLI>
                                    <MCN>2</MCN>
                                    <SN>1</SN>
                                    <EN>2</EN>
                                    <CN>0</CN>
                                    <CBN>2</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19</MN>
                <MCN>3</MCN>
                <MCTK>BaseCase</MCTK>
                <RT><![CDATA[<ModuleName> - Middle]]></RT>
                <ERN>MODMC87</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Scenarios]]></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19</MN>
                <MCN>4</MCN>
                <MCTK>BaseCase</MCTK>
                <RT><![CDATA[<ModuleName> - Bottom]]></RT>
                <ERN>MODMC88</ERN>
                <MCST>1</MCST>
                <IPMC>False</IPMC>
                <SN>10</SN>
                <LODS>False</LODS>
                <LST>False</LST>
                <RSTF>False</RSTF>
                <STRA>0</STRA>
                <HS>False</HS>
                <IBOA>4</IBOA>
                <IB>True</IB>
                <CI/>
                <PTI/>
                <PTP>False</PTP>
                <PTD><![CDATA[Monthly time series periods.]]></PTD>
                <PTMCN>4</PTMCN>
                <CROL>0</CROL>
                <CCOL>0</CCOL>
                <AMFN>0</AMFN>
              </ModCompProps>
              <Sects>
                <Sect>
                  <SectProps>
                    <LI>4,1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3|4,1,1,2,3,1,-1,0,0,TRUE,FALSE,1,1,3,1,-1,0,0,TRUE,FALSE§Z¿)=2,0,SUM(OFFSET(§A¿0,3,0,1,2,3,1,-1,0,0,TRUE,FALSE§Z¿,1,0,ROWS(§A¿0,3|4,1,1,2,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2,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4,1,4,1,1</CBPLI>
                                    <ELN>1</ELN>
                                    <FFF><![CDATA[=§A¿10,FALSE,0,1,0,FALSE§Z¿]]></FFF>
                                  </LnkInFormProps>
                                </LnkInForm>
                              </LnkInForms>
                            </ClmnBlkPt>
                            <ClmnBlkPt>
                              <ClmnBlkPtProps>
                                <CBPT>1</CBPT>
                                <ST>6</ST>
                                <VOFFF><![CDATA[=§A¿0,4,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4,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4,1,4,2,1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19</MN>
                                  <CLI>4,1,4,False,1</CLI>
                                  <ELN>1</ELN>
                                  <LOOT>2</LOOT>
                                  <LOMN>20</LOMN>
                                  <LOMCN>3</LOMCN>
                                  <LOSN>1</LOSN>
                                  <LOEN>1</LOEN>
                                  <LOCN>0</LOCN>
                                </LnkInProps>
                              </LnkIn>
                            </Ctg>
                            <Ctg>
                              <CtgProps>
                                <R>4</R>
                              </CtgProps>
                              <LnkIn>
                                <LnkInProps>
                                  <MN>19</MN>
                                  <CLI>4,1,4,False,2</CLI>
                                  <ELN>1</ELN>
                                  <LOOT>2</LOOT>
                                  <LOMN>21</LOMN>
                                  <LOMCN>3</LOMCN>
                                  <LOSN>1</LOSN>
                                  <LOEN>1</LOEN>
                                  <LOCN>0</LOCN>
                                </LnkInProps>
                              </LnkIn>
                            </Ctg>
                            <Ctg>
                              <CtgProps>
                                <R>4</R>
                              </CtgProps>
                              <LnkIn>
                                <LnkInProps>
                                  <MN>19</MN>
                                  <CLI>4,1,4,False,3</CLI>
                                  <ELN>1</ELN>
                                  <LOOT>2</LOOT>
                                  <LOMN>22</LOMN>
                                  <LOMCN>3</LOMCN>
                                  <LOSN>1</LOSN>
                                  <LOEN>1</LOEN>
                                  <LOCN>0</LOCN>
                                </LnkInProps>
                              </LnkIn>
                            </Ctg>
                            <Ctg>
                              <CtgProps>
                                <R>4</R>
                              </CtgProps>
                              <LnkIn>
                                <LnkInProps>
                                  <MN>19</MN>
                                  <CLI>4,1,4,False,4</CLI>
                                  <ELN>1</ELN>
                                  <LOOT>2</LOOT>
                                  <LOMN>23</LOMN>
                                  <LOMCN>3</LOMCN>
                                  <LOSN>1</LOSN>
                                  <LOEN>1</LOEN>
                                  <LOCN>0</LOCN>
                                </LnkInProps>
                              </LnkIn>
                            </Ctg>
                            <Ctg>
                              <CtgProps>
                                <R>4</R>
                              </CtgProps>
                              <LnkIn>
                                <LnkInProps>
                                  <MN>19</MN>
                                  <CLI>4,1,4,False,5</CLI>
                                  <ELN>1</ELN>
                                  <LOOT>2</LOOT>
                                  <LOMN>24</LOMN>
                                  <LOMCN>3</LOMCN>
                                  <LOSN>1</LOSN>
                                  <LOEN>1</LOEN>
                                  <LOCN>0</LOCN>
                                </LnkInProps>
                              </LnkIn>
                            </Ctg>
                            <Ctg>
                              <CtgProps>
                                <R>4</R>
                              </CtgProps>
                              <LnkIn>
                                <LnkInProps>
                                  <MN>19</MN>
                                  <CLI>4,1,4,False,6</CLI>
                                  <ELN>1</ELN>
                                  <LOOT>2</LOOT>
                                  <LOMN>25</LOMN>
                                  <LOMCN>3</LOMCN>
                                  <LOSN>1</LOSN>
                                  <LOEN>1</LOEN>
                                  <LOCN>0</LOCN>
                                </LnkInProps>
                              </LnkIn>
                            </Ctg>
                            <Ctg>
                              <CtgProps>
                                <R>4</R>
                              </CtgProps>
                              <LnkIn>
                                <LnkInProps>
                                  <MN>19</MN>
                                  <CLI>4,1,4,False,7</CLI>
                                  <ELN>1</ELN>
                                  <LOOT>2</LOOT>
                                  <LOMN>26</LOMN>
                                  <LOMCN>2</LOMCN>
                                  <LOSN>1</LOSN>
                                  <LOEN>1</LOEN>
                                  <LOCN>0</LOCN>
                                </LnkInProps>
                              </LnkIn>
                            </Ctg>
                            <Ctg>
                              <CtgProps>
                                <R>4</R>
                              </CtgProps>
                              <LnkIn>
                                <LnkInProps>
                                  <MN>19</MN>
                                  <CLI>4,1,4,False,8</CLI>
                                  <ELN>1</ELN>
                                  <LOOT>2</LOOT>
                                  <LOMN>27</LOMN>
                                  <LOMCN>3</LOMCN>
                                  <LOSN>1</LOSN>
                                  <LOEN>1</LOEN>
                                  <LOCN>0</LOCN>
                                </LnkInProps>
                              </LnkIn>
                            </Ctg>
                          </Ctgs>
                        </SubTtl>
                      </SubTtls>
                      <TtlCtg>
                        <TtlCtgProps>
                          <R>4</R>
                        </TtlCtgProps>
                      </TtlCtg>
                      <ElmtLnksOut>
                        <ElmtLnk>
                          <ElmtLnkProps>
                            <ELI>4,1,4</ELI>
                            <ELN>1</ELN>
                            <ELGN>1</ELGN>
                            <MLG>38F3F5CD-EA4A-45A0-BA33-D4A1343DCA30</MLG>
                            <ICBI>1,2</ICBI>
                            <ILBN>1,2</ILBN>
                            <LIBN>0</LIBN>
                          </ElmtLnkProps>
                        </ElmtLnk>
                      </ElmtLnksOut>
                      <ElmtLnksIn>
                        <ElmtLnk>
                          <ElmtLnkProps>
                            <ELI>4,1,4</ELI>
                            <ELN>1</ELN>
                            <ELGN>1</ELGN>
                            <MLG>1C3E6E2A-9C79-4AFC-9BCC-6AA8DEACAB42</MLG>
                            <ICBI>1,2</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4,0,1,1,3,1,-1,0,0,FALSE,FALSE§Z¿-§A¿0,4,0,1,4,2,6,-1,0,0,FALSE,FALSE§Z¿),1,0)]]></VOFFF>
                              </ClmnBlkPtProps>
                              <FmtCnds>
                                <FmtCnd>
                                  <FmtCndProps>
                                    <CBPLI>4,1,6,2,1</CBPLI>
                                    <FCN>1</FCN>
                                    <FCT>1</FCT>
                                    <FCO>4</FCO>
                                    <F1FFF><![CDATA[=0]]></F1FFF>
                                    <F2FFF/>
                                    <SIT>False</SIT>
                                    <BSV>True</BSV>
                                    <BCT>0</BCT>
                                    <CNBCN>0</CNBCN>
                                    <BTAS>0</BTAS>
                                    <IST>1</IST>
                                    <RO>False</RO>
                                    <SIO>False</SIO>
                                    <TO>0</TO>
                                    <TS/>
                                    <DO>1</DO>
                                    <TB>1</TB>
                                    <R>10</R>
                                    <P>False</P>
                                    <AB>0</AB>
                                    <NSD>1</NSD>
                                    <DU>1</DU>
                                    <INF>False</INF>
                                    <NT>0</NT>
                                    <DP>0</DP>
                                    <CNF/>
                                  </FmtCndProps>
                                  <FntOvly>
                                    <FntOvlyProps>
                                      <PT>2</PT>
                                      <SON>0</SON>
                                      <CBPLI>4,1,6,2,1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4,0,1,6,2,1,-1,0,0,FALSE,FALSE§Z¿<>0,0,IF(ROUND(§A¿0,4,0,1,1,3,1,-1,0,0,FALSE,FALSE§Z¿-§A¿0,4,0,1,4,2,6,-1,0,0,FALSE,FALSE§Z¿,5)<>0,1,0))]]></VOFFF>
                              </ClmnBlkPtProps>
                              <FmtCnds>
                                <FmtCnd>
                                  <FmtCndProps>
                                    <CBPLI>4,1,7,2,1</CBPLI>
                                    <FCN>1</FCN>
                                    <FCT>1</FCT>
                                    <FCO>4</FCO>
                                    <F1FFF><![CDATA[=0]]></F1FFF>
                                    <F2FFF/>
                                    <SIT>False</SIT>
                                    <BSV>True</BSV>
                                    <BCT>0</BCT>
                                    <CNBCN>0</CNBCN>
                                    <BTAS>0</BTAS>
                                    <IST>1</IST>
                                    <RO>False</RO>
                                    <SIO>False</SIO>
                                    <TO>0</TO>
                                    <TS/>
                                    <DO>1</DO>
                                    <TB>1</TB>
                                    <R>10</R>
                                    <P>False</P>
                                    <AB>0</AB>
                                    <NSD>1</NSD>
                                    <DU>1</DU>
                                    <INF>False</INF>
                                    <NT>0</NT>
                                    <DP>0</DP>
                                    <CNF/>
                                  </FmtCndProps>
                                  <FntOvly>
                                    <FntOvlyProps>
                                      <PT>2</PT>
                                      <SON>0</SON>
                                      <CBPLI>4,1,7,2,1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0,§A¿0,4,1,1,8,3,1,-1,0,0,FALSE,FALSE,1,8,3,1,-1,1,0,FALSE,FALSE§Z¿)),1,MIN(SUM(§A¿0,4,1,1,8,3,1,-1,0,0,FALSE,FALSE,1,8,3,1,-1,1,0,FALSE,FALSE§Z¿),1))]]></VOFFF>
                              </ClmnBlkPtProps>
                              <Chk>
                                <ChkProps>
                                  <CBPLI>4,1,8,2,1</CBPLI>
                                  <CT>0</CT>
                                  <CN>15</CN>
                                  <HST>1</HST>
                                  <CHT/>
                                  <HCBPLI>2,1,2,2,1</HCBPLI>
                                </ChkProps>
                              </Chk>
                              <Cmts>
                                <Cmt>
                                  <CmtProps>
                                    <CBPLI>4,1,8,2,1</CBPLI>
                                    <WRN>1</WRN>
                                    <ERT>5</ERT>
                                    <COSTN>0</COSTN>
                                    <OC>0</OC>
                                    <HT><![CDATA[Error Check]]></HT>
                                    <HFS>0</HFS>
                                    <BT><![CDATA[Flags the existence of errors.]]></BT>
                                    <BFS>0</BFS>
                                    <H>103</H>
                                    <W>128</W>
                                  </CmtProps>
                                </Cmt>
                              </Cmts>
                              <FmtCnds>
                                <FmtCnd>
                                  <FmtCndProps>
                                    <CBPLI>4,1,8,2,1</CBPLI>
                                    <FCN>1</FCN>
                                    <FCT>1</FCT>
                                    <FCO>4</FCO>
                                    <F1FFF><![CDATA[=0]]></F1FFF>
                                    <F2FFF/>
                                    <SIT>False</SIT>
                                    <BSV>True</BSV>
                                    <BCT>0</BCT>
                                    <CNBCN>0</CNBCN>
                                    <BTAS>0</BTAS>
                                    <IST>1</IST>
                                    <RO>False</RO>
                                    <SIO>False</SIO>
                                    <TO>0</TO>
                                    <TS/>
                                    <DO>1</DO>
                                    <TB>1</TB>
                                    <R>10</R>
                                    <P>False</P>
                                    <AB>0</AB>
                                    <NSD>1</NSD>
                                    <DU>1</DU>
                                    <INF>False</INF>
                                    <NT>0</NT>
                                    <DP>0</DP>
                                    <CNF/>
                                  </FmtCndProps>
                                  <FntOvly>
                                    <FntOvlyProps>
                                      <PT>2</PT>
                                      <SON>0</SON>
                                      <CBPLI>4,1,8,2,1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4,1,1,6,2,1,-1,0,0,FALSE,FALSE,1,7,2,1,-1,0,0,FALSE,FALSE§Z¿),1)]]></VOFFF>
                              </ClmnBlkPtProps>
                              <FmtCnds>
                                <FmtCnd>
                                  <FmtCndProps>
                                    <CBPLI>4,1,8,3,1</CBPLI>
                                    <FCN>1</FCN>
                                    <FCT>1</FCT>
                                    <FCO>4</FCO>
                                    <F1FFF><![CDATA[=0]]></F1FFF>
                                    <F2FFF/>
                                    <SIT>False</SIT>
                                    <BSV>True</BSV>
                                    <BCT>0</BCT>
                                    <CNBCN>0</CNBCN>
                                    <BTAS>0</BTAS>
                                    <IST>1</IST>
                                    <RO>False</RO>
                                    <SIO>False</SIO>
                                    <TO>0</TO>
                                    <TS/>
                                    <DO>1</DO>
                                    <TB>1</TB>
                                    <R>10</R>
                                    <P>False</P>
                                    <AB>0</AB>
                                    <NSD>1</NSD>
                                    <DU>1</DU>
                                    <INF>False</INF>
                                    <NT>0</NT>
                                    <DP>0</DP>
                                    <CNF/>
                                  </FmtCndProps>
                                  <FntOvly>
                                    <FntOvlyProps>
                                      <PT>2</PT>
                                      <SON>0</SON>
                                      <CBPLI>4,1,8,3,1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4,1,1,9,3,1,-1,0,0,FALSE,FALSE,1,9,3,1,-1,1,0,FALSE,FALSE§Z¿)),1,MIN(SUM(§A¿0,4,1,1,9,3,1,-1,0,0,FALSE,FALSE,1,9,3,1,-1,1,0,FALSE,FALSE§Z¿),1))]]></VOFFF>
                              </ClmnBlkPtProps>
                              <Chk>
                                <ChkProps>
                                  <CBPLI>4,1,9,2,1</CBPLI>
                                  <CT>2</CT>
                                  <CN>11</CN>
                                  <HST>1</HST>
                                  <CHT/>
                                  <HCBPLI>2,1,2,2,1</HCBPLI>
                                </ChkProps>
                              </Chk>
                              <Cmts>
                                <Cmt>
                                  <CmtProps>
                                    <CBPLI>4,1,9,2,1</CBPLI>
                                    <WRN>1</WRN>
                                    <ERT>5</ERT>
                                    <COSTN>0</COSTN>
                                    <OC>0</OC>
                                    <HT><![CDATA[Alert Check]]></HT>
                                    <HFS>0</HFS>
                                    <BT><![CDATA[Flags the occurrence of designated events.]]></BT>
                                    <BFS>0</BFS>
                                    <H>80</H>
                                    <W>128</W>
                                  </CmtProps>
                                </Cmt>
                              </Cmts>
                              <FmtCnds>
                                <FmtCnd>
                                  <FmtCndProps>
                                    <CBPLI>4,1,9,2,1</CBPLI>
                                    <FCN>1</FCN>
                                    <FCT>1</FCT>
                                    <FCO>4</FCO>
                                    <F1FFF><![CDATA[=0]]></F1FFF>
                                    <F2FFF/>
                                    <SIT>False</SIT>
                                    <BSV>True</BSV>
                                    <BCT>0</BCT>
                                    <CNBCN>0</CNBCN>
                                    <BTAS>0</BTAS>
                                    <IST>1</IST>
                                    <RO>False</RO>
                                    <SIO>False</SIO>
                                    <TO>0</TO>
                                    <TS/>
                                    <DO>1</DO>
                                    <TB>1</TB>
                                    <R>10</R>
                                    <P>False</P>
                                    <AB>0</AB>
                                    <NSD>1</NSD>
                                    <DU>1</DU>
                                    <INF>False</INF>
                                    <NT>0</NT>
                                    <DP>0</DP>
                                    <CNF/>
                                  </FmtCndProps>
                                  <FntOvly>
                                    <FntOvlyProps>
                                      <PT>2</PT>
                                      <SON>0</SON>
                                      <CBPLI>4,1,9,2,1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4,0,1,8,3,1,-1,0,0,FALSE,FALSE§Z¿=1,0,IF(MIN(§A¿0,4,1,1,4,2,1,1,0,0,FALSE,FALSE,1,4,2,1,2,0,0,FALSE,FALSE§Z¿)<0,1,0))]]></VOFFF>
                              </ClmnBlkPtProps>
                              <FmtCnds>
                                <FmtCnd>
                                  <FmtCndProps>
                                    <CBPLI>4,1,9,3,1</CBPLI>
                                    <FCN>1</FCN>
                                    <FCT>1</FCT>
                                    <FCO>4</FCO>
                                    <F1FFF><![CDATA[=0]]></F1FFF>
                                    <F2FFF/>
                                    <SIT>False</SIT>
                                    <BSV>True</BSV>
                                    <BCT>0</BCT>
                                    <CNBCN>0</CNBCN>
                                    <BTAS>0</BTAS>
                                    <IST>1</IST>
                                    <RO>False</RO>
                                    <SIO>False</SIO>
                                    <TO>0</TO>
                                    <TS/>
                                    <DO>1</DO>
                                    <TB>1</TB>
                                    <R>10</R>
                                    <P>False</P>
                                    <AB>0</AB>
                                    <NSD>1</NSD>
                                    <DU>1</DU>
                                    <INF>False</INF>
                                    <NT>0</NT>
                                    <DP>0</DP>
                                    <CNF/>
                                  </FmtCndProps>
                                  <FntOvly>
                                    <FntOvlyProps>
                                      <PT>2</PT>
                                      <SON>0</SON>
                                      <CBPLI>4,1,9,3,1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pex_Cat]]></P>
            <OI>810</OI>
            <MN>0</MN>
            <MAG>E72A3FD0-52CB-410C-9CE7-3A25AE62CEAD</MAG>
            <BN><![CDATA[Operating Expenditure Category]]></BN>
            <N><![CDATA[Operating Expenditure - Rent]]></N>
            <TS><![CDATA[Scenarios & Monthly]]></TS>
            <D><![CDATA[Calculates operating expenditure for a single operating expenditure category over a number of time series periods.]]></D>
            <FS><![CDATA[Collects unit costs and volumes assumptions for each time series period.&#10;Includes all periods absolute change scenario assumptions to be included within a central scenario manager.]]></FS>
            <R><![CDATA[Any]]></R>
            <GE><![CDATA[Operating Expenditure Category]]></GE>
            <CA><![CDATA[Unit Costs, Volumes, Absolute Change Scenarios]]></CA>
            <VA><![CDATA[Single Component]]></VA>
            <GST><![CDATA[None]]></GST>
            <DE><![CDATA[Modano]]></DE>
            <E><![CDATA[info@modano.com]]></E>
            <C><![CDATA[Modano]]></C>
            <W><![CDATA[www.modano.com]]></W>
            <K/>
            <CO/>
            <V>11.0.1.0.</V>
            <AX>2</AX>
            <SX/>
            <PMLO>False</PMLO>
            <IPMLO>False</IPMLO>
            <MACA>1</MACA>
            <HP>True</HP>
            <DR>True</DR>
            <RTSM>True</RTSM>
            <CC>False</CC>
            <X>False</X>
            <G>5BED5222-CED5-40BB-A618-EE16541ABEE1</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s>
          <TrigCbps>
            <TrigCbp>
              <TrigCbpProps>
                <LI>3,1,1,1,1</LI>
                <TT>2</TT>
                <RLI/>
                <R2LI/>
                <TS/>
                <OT>0</OT>
                <FO>0</FO>
              </TrigCbpProps>
            </TrigCbp>
          </TrigCbps>
          <ModComps>
            <ModComp>
              <ModCompProps>
                <MN>20</MN>
                <MCN>1</MCN>
                <MCTK>BaseCase</MCTK>
                <RT><![CDATA[<ModuleName> - Scenarios]]></RT>
                <ERN>MODMC104</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20</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20</MN>
                <MCN>2</MCN>
                <MCTK>BaseCase</MCTK>
                <RT><![CDATA[<ModuleName> - Assumptions]]></RT>
                <ERN>MODMC110</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CDATA[Unit Cost]]></VOFFF>
                                <UDAV><![CDATA[Unit Cost]]></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20</MN>
                <MCN>3</MCN>
                <MCTK>BaseCase</MCTK>
                <RT><![CDATA[<ModuleName> - Outputs]]></RT>
                <ERN>MODMC111</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2,0,1,2,2,1,-1,0,0,FALSE,FALSE§Z¿/§A¿7,1,1,1,16,0,2,1,1§Z¿+§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4</MN>
            <MAG>E72A3FD0-52CB-410C-9CE7-3A25AE62CEAD</MAG>
            <BN><![CDATA[Operating Expenditure Category]]></BN>
            <N><![CDATA[Operating Expenditure - Rates]]></N>
            <TS><![CDATA[Scenarios & Monthly]]></TS>
            <D><![CDATA[Calculates operating expenditure for a single operating expenditure category over a number of time series periods.]]></D>
            <FS><![CDATA[Collects operating expenditure assumptions as a percentage of an assumed custom driver for each time series period.&#10;Includes all periods absolute change scenario assumptions to be included within a central scenario manager.]]></FS>
            <R><![CDATA[Any]]></R>
            <GE><![CDATA[Operating Expenditure Category]]></GE>
            <CA><![CDATA[Percentage of Custom Driver, Absolute Change Scenarios]]></CA>
            <VA><![CDATA[Single Component]]></VA>
            <GST><![CDATA[None]]></GST>
            <DE><![CDATA[Modano]]></DE>
            <E><![CDATA[info@modano.com]]></E>
            <C><![CDATA[Modano]]></C>
            <W><![CDATA[www.modano.com]]></W>
            <K/>
            <CO/>
            <V>11.0.1.0.</V>
            <AX>2</AX>
            <SX/>
            <PMLO>False</PMLO>
            <IPMLO>False</IPMLO>
            <MACA>1</MACA>
            <HP>True</HP>
            <DR>True</DR>
            <RTSM>True</RTSM>
            <CC>False</CC>
            <X>False</X>
            <G>1CBADB8C-D16E-4368-BB4F-0B74095B3227</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0</NT>
                <DP>0</DP>
                <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HA>True</IHA>
                <HA>-4108</HA>
              </StlOvlyProps>
              <FntOvly>
                <FntOvlyProps>
                  <PT>1</PT>
                  <SON>3</SON>
                  <CBPLI>0,0,0,0,0</CBPLI>
                  <FCN>0</FCN>
                  <CN>0</CN>
                  <IC>True</IC>
                  <CT>-3</CT>
                  <CNU>2</CNU>
                  <CPR>8421504</CPR>
                  <TAS>0.4999542</TAS>
                </FntOvlyProps>
              </FntOvly>
            </StlOvly>
            <StlOvly>
              <StlOvlyProps>
                <SON>4</SON>
                <INF>True</INF>
                <IHA>True</IHA>
                <NT>-2</NT>
                <DP>0</DP>
                <CNF><![CDATA[_("+"#,##0.0_);(#,##0.0);_("-"_);_)@_)]]></CNF>
                <HA>-4108</HA>
              </StlOvlyProps>
            </StlOvly>
            <StlOvly>
              <StlOvlyProps>
                <SON>5</SON>
                <INF>True</INF>
                <IHA>True</IHA>
                <NT>-2</NT>
                <DP>0</DP>
                <CNF><![CDATA[_("+"#,##0.0_);(#,##0.0);_("-"_);_)@_)]]></CNF>
                <HA>-4108</HA>
              </StlOvlyProps>
              <BdrOvlys>
                <BdrOvly>
                  <BdrOvlyProps>
                    <PT>1</PT>
                    <SON>5</SON>
                    <CBPLI/>
                    <FCN>0</FCN>
                    <I>True</I>
                    <BI>7</BI>
                    <LS>1</LS>
                    <W>2</W>
                    <CT>3</CT>
                    <CN>2</CN>
                    <TAS>0.4999542</TAS>
                  </BdrOvlyProps>
                </BdrOvly>
                <BdrOvly>
                  <BdrOvlyProps>
                    <PT>1</PT>
                    <SON>5</SON>
                    <CBPLI/>
                    <FCN>0</FCN>
                    <I>True</I>
                    <BI>10</BI>
                    <LS>1</LS>
                    <W>2</W>
                    <CT>3</CT>
                    <CN>2</CN>
                    <TAS>0.4999542</TAS>
                  </BdrOvlyProps>
                </BdrOvly>
                <BdrOvly>
                  <BdrOvlyProps>
                    <PT>1</PT>
                    <SON>5</SON>
                    <CBPLI/>
                    <FCN>0</FCN>
                    <I>True</I>
                    <BI>8</BI>
                    <LS>1</LS>
                    <W>2</W>
                    <CT>3</CT>
                    <CN>2</CN>
                    <TAS>0.4999542</TAS>
                  </BdrOvlyProps>
                </BdrOvly>
                <BdrOvly>
                  <BdrOvlyProps>
                    <PT>1</PT>
                    <SON>5</SON>
                    <CBPLI/>
                    <FCN>0</FCN>
                    <I>True</I>
                    <BI>9</BI>
                    <LS>1</LS>
                    <W>2</W>
                    <CT>3</CT>
                    <CN>2</CN>
                    <TAS>0.4999542</TAS>
                  </BdrOvlyProps>
                </BdrOvly>
              </BdrOvlys>
            </StlOvly>
            <StlOvly>
              <StlOvlyProps>
                <SON>6</SON>
                <INF>True</INF>
                <IHA>True</IHA>
                <NT>-2</NT>
                <DP>0</DP>
                <CNF><![CDATA[_("+"#,##0.0_);(#,##0.0);_("-"_);_)@_)]]></CNF>
                <HA>-4108</HA>
              </StlOvlyProps>
              <FntOvly>
                <FntOvlyProps>
                  <PT>1</PT>
                  <SON>6</SON>
                  <CBPLI>0,0,0,0,0</CBPLI>
                  <FCN>0</FCN>
                  <CN>0</CN>
                  <IC>True</IC>
                  <CT>-3</CT>
                  <CNU>2</CNU>
                  <CPR>8421504</CPR>
                  <TAS>0.4999847</TAS>
                </FntOvlyProps>
              </FntOvly>
              <BdrOvlys>
                <BdrOvly>
                  <BdrOvlyProps>
                    <PT>1</PT>
                    <SON>6</SON>
                    <CBPLI/>
                    <FCN>0</FCN>
                    <I>True</I>
                    <BI>7</BI>
                    <LS>1</LS>
                    <W>2</W>
                    <CT>3</CT>
                    <CN>2</CN>
                    <TAS>0.4999847</TAS>
                  </BdrOvlyProps>
                </BdrOvly>
                <BdrOvly>
                  <BdrOvlyProps>
                    <PT>1</PT>
                    <SON>6</SON>
                    <CBPLI/>
                    <FCN>0</FCN>
                    <I>True</I>
                    <BI>10</BI>
                    <LS>1</LS>
                    <W>2</W>
                    <CT>3</CT>
                    <CN>2</CN>
                    <TAS>0.4999847</TAS>
                  </BdrOvlyProps>
                </BdrOvly>
                <BdrOvly>
                  <BdrOvlyProps>
                    <PT>1</PT>
                    <SON>6</SON>
                    <CBPLI/>
                    <FCN>0</FCN>
                    <I>True</I>
                    <BI>8</BI>
                    <LS>1</LS>
                    <W>2</W>
                    <CT>3</CT>
                    <CN>2</CN>
                    <TAS>0.4999847</TAS>
                  </BdrOvlyProps>
                </BdrOvly>
                <BdrOvly>
                  <BdrOvlyProps>
                    <PT>1</PT>
                    <SON>6</SON>
                    <CBPLI/>
                    <FCN>0</FCN>
                    <I>True</I>
                    <BI>9</BI>
                    <LS>1</LS>
                    <W>2</W>
                    <CT>3</CT>
                    <CN>2</CN>
                    <TAS>0.4999847</TAS>
                  </BdrOvlyProps>
                </BdrOvly>
              </BdrOvlys>
            </StlOvly>
          </StlOvlys>
          <TrigCbps>
            <TrigCbp>
              <TrigCbpProps>
                <LI>3,1,1,1,1</LI>
                <TT>2</TT>
                <RLI/>
                <R2LI/>
                <TS/>
                <OT>0</OT>
                <FO>0</FO>
              </TrigCbpProps>
            </TrigCbp>
          </TrigCbps>
          <ModComps>
            <ModComp>
              <ModCompProps>
                <MN>21</MN>
                <MCN>1</MCN>
                <MCTK>BaseCase</MCTK>
                <RT><![CDATA[<ModuleName> - Scenarios]]></RT>
                <ERN>MODMC112</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2</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21</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3</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5</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4</SON>
                                <VOFFF><![CDATA[0.1]]></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21</MN>
                <MCN>2</MCN>
                <MCTK>BaseCase</MCTK>
                <RT><![CDATA[<ModuleName> - Assumptions]]></RT>
                <ERN>MODMC113</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1</SON>
                                <VOFFF><![CDATA[[Driver]]]></VOFFF>
                                <UDAV><![CDATA[[Driver]]]></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1</SON>
                                <VOFFF><![CDATA[% of [Driver]]]></VOFFF>
                                <UDAV><![CDATA[% of [Driver]]]></UDAV>
                              </ClmnBlkPtProps>
                            </ClmnBlkPt>
                          </ClmnBlkPts>
                        </ClmnBlk>
                        <ClmnBlk>
                          <ClmnBlkProps>
                            <FCPT>3</FCPT>
                            <FCN>10</FCN>
                            <FCOT>0</FCOT>
                            <FCOC>0</FCOC>
                            <FCPTBMCN>4</FCPTBMCN>
                            <FCPTBN>3</FCPTBN>
                            <LCPT>3</LCPT>
                            <LCN>45</LCN>
                            <LCOT>1</LCOT>
                            <LCOC>0</LCOC>
                            <LCPTBMCN>4</LCPTBMCN>
                            <LCPTBN>3</LCPTBN>
                          </ClmnBlkProps>
                          <ClmnBlkPts>
                            <ClmnBlkPt>
                              <ClmnBlkPtProps>
                                <CBPT>5</CBPT>
                                <ST>12</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21</MN>
                <MCN>3</MCN>
                <MCTK>BaseCase</MCTK>
                <RT><![CDATA[<ModuleName> - Outputs]]></RT>
                <ERN>MODMC159</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6</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2,0,1,2,2,1,-1,0,0,FALSE,FALSE§Z¿+§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8</MN>
            <MAG>E72A3FD0-52CB-410C-9CE7-3A25AE62CEAD</MAG>
            <BN><![CDATA[Operating Expenditure Category]]></BN>
            <N><![CDATA[Operating Expenditure Category (8)]]></N>
            <TS><![CDATA[Scenarios & Monthly]]></TS>
            <D><![CDATA[Calculates operating expenditure for a single operating expenditure category over a number of time series periods.]]></D>
            <FS><![CDATA[Collects unit costs and volumes assumptions for each time series period.&#10;Includes all periods absolute change scenario assumptions to be included within a central scenario manager.]]></FS>
            <R><![CDATA[Any]]></R>
            <GE><![CDATA[Operating Expenditure Category]]></GE>
            <CA><![CDATA[Unit Costs, Volumes, Absolute Change Scenarios]]></CA>
            <VA><![CDATA[Single Component]]></VA>
            <GST><![CDATA[None]]></GST>
            <DE><![CDATA[Modano]]></DE>
            <E><![CDATA[info@modano.com]]></E>
            <C><![CDATA[Modano]]></C>
            <W><![CDATA[www.modano.com]]></W>
            <K/>
            <CO/>
            <V>11.0.1.0.</V>
            <AX>2</AX>
            <SX/>
            <PMLO>False</PMLO>
            <IPMLO>False</IPMLO>
            <MACA>1</MACA>
            <HP>True</HP>
            <DR>True</DR>
            <RTSM>True</RTSM>
            <CC>False</CC>
            <X>False</X>
            <G>3C80A102-AE0A-4736-990A-04C6C5C3C9B1</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NF>True</INF>
                <NT>3</NT>
                <DP>2</DP>
                <CNF/>
              </StlOvlyProps>
            </StlOvly>
            <StlOvly>
              <StlOvlyProps>
                <SON>2</SON>
                <IHA>True</IHA>
                <HA>-4108</HA>
              </StlOvlyProps>
              <FntOvly>
                <FntOvlyProps>
                  <PT>1</PT>
                  <SON>2</SON>
                  <CBPLI>0,0,0,0,0</CBPLI>
                  <FCN>0</FCN>
                  <CN>0</CN>
                  <IC>True</IC>
                  <CT>-3</CT>
                  <CNU>2</CNU>
                  <CPR>8421504</CPR>
                  <TAS>0.4999847</TAS>
                </FntOvlyProps>
              </FntOvly>
            </StlOvly>
            <StlOvly>
              <StlOvlyProps>
                <SON>3</SON>
                <INF>True</INF>
                <IHA>True</IHA>
                <NT>0</NT>
                <DP>0</DP>
                <CNF/>
                <HA>-4108</HA>
              </StlOvlyProps>
              <BdrOvlys>
                <BdrOvly>
                  <BdrOvlyProps>
                    <PT>1</PT>
                    <SON>3</SON>
                    <CBPLI/>
                    <FCN>0</FCN>
                    <I>True</I>
                    <BI>7</BI>
                    <LS>1</LS>
                    <W>2</W>
                    <CT>3</CT>
                    <CN>2</CN>
                    <TAS>0.4999542</TAS>
                  </BdrOvlyProps>
                </BdrOvly>
                <BdrOvly>
                  <BdrOvlyProps>
                    <PT>1</PT>
                    <SON>3</SON>
                    <CBPLI/>
                    <FCN>0</FCN>
                    <I>True</I>
                    <BI>10</BI>
                    <LS>1</LS>
                    <W>2</W>
                    <CT>3</CT>
                    <CN>2</CN>
                    <TAS>0.4999542</TAS>
                  </BdrOvlyProps>
                </BdrOvly>
                <BdrOvly>
                  <BdrOvlyProps>
                    <PT>1</PT>
                    <SON>3</SON>
                    <CBPLI/>
                    <FCN>0</FCN>
                    <I>True</I>
                    <BI>8</BI>
                    <LS>1</LS>
                    <W>2</W>
                    <CT>3</CT>
                    <CN>2</CN>
                    <TAS>0.4999542</TAS>
                  </BdrOvlyProps>
                </BdrOvly>
                <BdrOvly>
                  <BdrOvlyProps>
                    <PT>1</PT>
                    <SON>3</SON>
                    <CBPLI/>
                    <FCN>0</FCN>
                    <I>True</I>
                    <BI>9</BI>
                    <LS>1</LS>
                    <W>2</W>
                    <CT>3</CT>
                    <CN>2</CN>
                    <TAS>0.4999542</TAS>
                  </BdrOvlyProps>
                </BdrOvly>
              </BdrOvlys>
            </StlOvly>
            <StlOvly>
              <StlOvlyProps>
                <SON>4</SON>
                <IHA>True</IHA>
                <HA>-4108</HA>
              </StlOvlyProps>
              <FntOvly>
                <FntOvlyProps>
                  <PT>1</PT>
                  <SON>4</SON>
                  <CBPLI>0,0,0,0,0</CBPLI>
                  <FCN>0</FCN>
                  <CN>0</CN>
                  <IC>True</IC>
                  <CT>-3</CT>
                  <CNU>2</CNU>
                  <CPR>8421504</CPR>
                  <TAS>0.4999542</TAS>
                </FntOvlyProps>
              </FntOvly>
            </StlOvly>
            <StlOvly>
              <StlOvlyProps>
                <SON>5</SON>
                <INF>True</INF>
                <IHA>True</IHA>
                <NT>-2</NT>
                <DP>0</DP>
                <CNF><![CDATA[_("+"#,##0.0_);(#,##0.0);_("-"_);_)@_)]]></CNF>
                <HA>-4108</HA>
              </StlOvlyProps>
            </StlOvly>
            <StlOvly>
              <StlOvlyProps>
                <SON>6</SON>
                <INF>True</INF>
                <IHA>True</IHA>
                <NT>-2</NT>
                <DP>0</DP>
                <CNF><![CDATA[_("+"#,##0.0_);(#,##0.0);_("-"_);_)@_)]]></CNF>
                <HA>-4108</HA>
              </StlOvlyProps>
              <BdrOvlys>
                <BdrOvly>
                  <BdrOvlyProps>
                    <PT>1</PT>
                    <SON>6</SON>
                    <CBPLI/>
                    <FCN>0</FCN>
                    <I>True</I>
                    <BI>7</BI>
                    <LS>1</LS>
                    <W>2</W>
                    <CT>3</CT>
                    <CN>2</CN>
                    <TAS>0.4999542</TAS>
                  </BdrOvlyProps>
                </BdrOvly>
                <BdrOvly>
                  <BdrOvlyProps>
                    <PT>1</PT>
                    <SON>6</SON>
                    <CBPLI/>
                    <FCN>0</FCN>
                    <I>True</I>
                    <BI>10</BI>
                    <LS>1</LS>
                    <W>2</W>
                    <CT>3</CT>
                    <CN>2</CN>
                    <TAS>0.4999542</TAS>
                  </BdrOvlyProps>
                </BdrOvly>
                <BdrOvly>
                  <BdrOvlyProps>
                    <PT>1</PT>
                    <SON>6</SON>
                    <CBPLI/>
                    <FCN>0</FCN>
                    <I>True</I>
                    <BI>8</BI>
                    <LS>1</LS>
                    <W>2</W>
                    <CT>3</CT>
                    <CN>2</CN>
                    <TAS>0.4999542</TAS>
                  </BdrOvlyProps>
                </BdrOvly>
                <BdrOvly>
                  <BdrOvlyProps>
                    <PT>1</PT>
                    <SON>6</SON>
                    <CBPLI/>
                    <FCN>0</FCN>
                    <I>True</I>
                    <BI>9</BI>
                    <LS>1</LS>
                    <W>2</W>
                    <CT>3</CT>
                    <CN>2</CN>
                    <TAS>0.4999542</TAS>
                  </BdrOvlyProps>
                </BdrOvly>
              </BdrOvlys>
            </StlOvly>
            <StlOvly>
              <StlOvlyProps>
                <SON>7</SON>
                <INF>True</INF>
                <IHA>True</IHA>
                <NT>-2</NT>
                <DP>0</DP>
                <CNF><![CDATA[_("+"#,##0.0_);(#,##0.0);_("-"_);_)@_)]]></CNF>
                <HA>-4108</HA>
              </StlOvlyProps>
              <FntOvly>
                <FntOvlyProps>
                  <PT>1</PT>
                  <SON>7</SON>
                  <CBPLI>0,0,0,0,0</CBPLI>
                  <FCN>0</FCN>
                  <CN>0</CN>
                  <IC>True</IC>
                  <CT>-3</CT>
                  <CNU>2</CNU>
                  <CPR>8421504</CPR>
                  <TAS>0.4999847</TAS>
                </FntOvlyProps>
              </FntOvly>
              <BdrOvlys>
                <BdrOvly>
                  <BdrOvlyProps>
                    <PT>1</PT>
                    <SON>7</SON>
                    <CBPLI/>
                    <FCN>0</FCN>
                    <I>True</I>
                    <BI>7</BI>
                    <LS>1</LS>
                    <W>2</W>
                    <CT>3</CT>
                    <CN>2</CN>
                    <TAS>0.4999847</TAS>
                  </BdrOvlyProps>
                </BdrOvly>
                <BdrOvly>
                  <BdrOvlyProps>
                    <PT>1</PT>
                    <SON>7</SON>
                    <CBPLI/>
                    <FCN>0</FCN>
                    <I>True</I>
                    <BI>10</BI>
                    <LS>1</LS>
                    <W>2</W>
                    <CT>3</CT>
                    <CN>2</CN>
                    <TAS>0.4999847</TAS>
                  </BdrOvlyProps>
                </BdrOvly>
                <BdrOvly>
                  <BdrOvlyProps>
                    <PT>1</PT>
                    <SON>7</SON>
                    <CBPLI/>
                    <FCN>0</FCN>
                    <I>True</I>
                    <BI>8</BI>
                    <LS>1</LS>
                    <W>2</W>
                    <CT>3</CT>
                    <CN>2</CN>
                    <TAS>0.4999847</TAS>
                  </BdrOvlyProps>
                </BdrOvly>
                <BdrOvly>
                  <BdrOvlyProps>
                    <PT>1</PT>
                    <SON>7</SON>
                    <CBPLI/>
                    <FCN>0</FCN>
                    <I>True</I>
                    <BI>9</BI>
                    <LS>1</LS>
                    <W>2</W>
                    <CT>3</CT>
                    <CN>2</CN>
                    <TAS>0.4999847</TAS>
                  </BdrOvlyProps>
                </BdrOvly>
              </BdrOvlys>
            </StlOvly>
          </StlOvlys>
          <TrigCbps>
            <TrigCbp>
              <TrigCbpProps>
                <LI>3,1,1,1,1</LI>
                <TT>2</TT>
                <RLI/>
                <R2LI/>
                <TS/>
                <OT>0</OT>
                <FO>0</FO>
              </TrigCbpProps>
            </TrigCbp>
          </TrigCbps>
          <ModComps>
            <ModComp>
              <ModCompProps>
                <MN>22</MN>
                <MCN>1</MCN>
                <MCTK>BaseCase</MCTK>
                <RT><![CDATA[<ModuleName> - Scenarios]]></RT>
                <ERN>MODMC29</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3</SON>
                                <VOFFF><![CDATA[1]]></VOFFF>
                                <UDAV><![CDATA[1]]></UDAV>
                              </ClmnBlkPtProps>
                              <Vdtn>
                                <VdtnProps>
                                  <CBPLI>1,1,1,2,1</CBPLI>
                                  <ADVT>-1</ADVT>
                                  <VT>1</VT>
                                  <AS>1</AS>
                                  <O>5</O>
                                  <F1FFF><![CDATA[0]]></F1FFF>
                                  <F2FFF/>
                                  <IB>False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22</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4</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6</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5</SON>
                                <VOFFF><![CDATA[1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22</MN>
                <MCN>2</MCN>
                <MCTK>BaseCase</MCTK>
                <RT><![CDATA[<ModuleName> - Assumptions]]></RT>
                <ERN>MODMC32</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41</ST>
                                <SON>2</SON>
                                <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14</ST>
                                <SON>1</SON>
                                <VOFFF><![CDATA[0]]></VOFFF>
                                <UDAV><![CDATA[0]]></UDAV>
                              </ClmnBlkPtProps>
                              <Vdtn>
                                <VdtnProps>
                                  <CBPLI>2,1,1,3,1</CBPLI>
                                  <ADVT>0</ADVT>
                                  <VT>7</VT>
                                </VdtnProps>
                              </Vdtn>
                            </ClmnBlkPt>
                          </ClmnBlkPts>
                        </ClmnBlk>
                      </ClmnBlks>
                      <TtlCtg>
                        <TtlCtgProps>
                          <R>1</R>
                        </TtlCtgProps>
                      </TtlCtg>
                    </Elmt>
                    <Elmt>
                      <ElmtProps>
                        <CPT>2</CPT>
                      </ElmtProps>
                      <ClmnBlks>
                        <ClmnBlk>
                          <ClmnBlkProps>
                            <FCPT>3</FCPT>
                            <FCN>8</FCN>
                            <FCOT>0</FCOT>
                            <FCOC>5</FCOC>
                            <FCPTBMCN>4</FCPTBMCN>
                            <FCPTBN>2</FCPTBN>
                            <LCPT>3</LCPT>
                            <LCN>8</LCN>
                            <LCOT>0</LCOT>
                            <LCOC>5</LCOC>
                            <LCPTBMCN>4</LCPTBMCN>
                            <LCPTBN>2</LCPTBN>
                          </ClmnBlkProps>
                          <ClmnBlkPts>
                            <ClmnBlkPt>
                              <ClmnBlkPtProps>
                                <CBPT>5</CBPT>
                                <ST>41</ST>
                                <SON>2</SON>
                                <VOFFF><![CDATA[Volume]]></VOFFF>
                                <UDAV><![CDATA[Volume]]></UDAV>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2,1,2,2,1</CBPLI>
                                  <ADVT>0</ADVT>
                                  <VT>7</VT>
                                </VdtnProps>
                              </Vdtn>
                            </ClmnBlkPt>
                          </ClmnBlkPts>
                        </ClmnBlk>
                      </ClmnBlks>
                      <TtlCtg>
                        <TtlCtgProps>
                          <R>1</R>
                        </TtlCtgProps>
                      </TtlCtg>
                    </Elmt>
                    <Elmt>
                      <ElmtProps>
                        <CPT>2</CPT>
                      </ElmtProps>
                      <TtlCtg>
                        <TtlCtgProps>
                          <R>2</R>
                        </TtlCtgProps>
                      </TtlCtg>
                    </Elmt>
                  </Elmts>
                </Sect>
              </Sects>
            </ModComp>
            <ModComp>
              <ModCompProps>
                <MN>22</MN>
                <MCN>3</MCN>
                <MCTK>BaseCase</MCTK>
                <RT><![CDATA[<ModuleName> - Outputs]]></RT>
                <ERN>MODMC38</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7</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2,0,1,2,2,1,-1,0,0,FALSE,FALSE§Z¿*§A¿9,4,3,0,1,12,3,1,-1,0,0,FALSE,FALSE§Z¿/§A¿7,1,1,1,16,0,2,1,1§Z¿+§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5</MN>
            <MAG>E72A3FD0-52CB-410C-9CE7-3A25AE62CEAD</MAG>
            <BN><![CDATA[Operating Expenditure Category]]></BN>
            <N><![CDATA[Operating Expenditure - Utilities]]></N>
            <TS><![CDATA[Scenarios & Monthly]]></TS>
            <D><![CDATA[Calculates operating expenditure for a single operating expenditure category over a number of time series periods.]]></D>
            <FS><![CDATA[Collects operating expenditure assumptions as amounts for each time series period.&#13;&#10;Includes all periods percentage change scenario assumptions to be included within a central scenario manager.]]></FS>
            <R><![CDATA[Any]]></R>
            <GE><![CDATA[Operating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98B0EE3D-7186-438E-8137-D5F39CE34C90</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23</MN>
                <MCN>1</MCN>
                <MCTK>BaseCase</MCTK>
                <RT><![CDATA[<ModuleName> - Scenarios]]></RT>
                <ERN>MODMC43</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23</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23</MN>
                <MCN>2</MCN>
                <MCTK>BaseCase</MCTK>
                <RT><![CDATA[<ModuleName> - Assumptions]]></RT>
                <ERN>MODMC46</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23</MN>
                <MCN>3</MCN>
                <MCTK>BaseCase</MCTK>
                <RT><![CDATA[<ModuleName> - Outputs]]></RT>
                <ERN>MODMC82</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6</MN>
            <MAG>E72A3FD0-52CB-410C-9CE7-3A25AE62CEAD</MAG>
            <BN><![CDATA[Operating Expenditure Category]]></BN>
            <N><![CDATA[Operating Expenditure - Insurance]]></N>
            <TS><![CDATA[Scenarios & Monthly]]></TS>
            <D><![CDATA[Calculates operating expenditure for a single operating expenditure category over a number of time series periods.]]></D>
            <FS><![CDATA[Collects operating expenditure assumptions as amounts for each time series period.&#13;&#10;Includes all periods percentage change scenario assumptions to be included within a central scenario manager.]]></FS>
            <R><![CDATA[Any]]></R>
            <GE><![CDATA[Operating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54B5A5EE-D1CC-4897-805E-FE5CE0EF80A2</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24</MN>
                <MCN>1</MCN>
                <MCTK>BaseCase</MCTK>
                <RT><![CDATA[<ModuleName> - Scenarios]]></RT>
                <ERN>MODMC83</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24</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24</MN>
                <MCN>2</MCN>
                <MCTK>BaseCase</MCTK>
                <RT><![CDATA[<ModuleName> - Assumptions]]></RT>
                <ERN>MODMC84</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24</MN>
                <MCN>3</MCN>
                <MCTK>BaseCase</MCTK>
                <RT><![CDATA[<ModuleName> - Outputs]]></RT>
                <ERN>MODMC155</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7</MN>
            <MAG>E72A3FD0-52CB-410C-9CE7-3A25AE62CEAD</MAG>
            <BN><![CDATA[Operating Expenditure Category]]></BN>
            <N><![CDATA[Operating Expenditure - HEMA Insurance]]></N>
            <TS><![CDATA[Scenarios & Monthly]]></TS>
            <D><![CDATA[Calculates operating expenditure for a single operating expenditure category over a number of time series periods.]]></D>
            <FS><![CDATA[Collects operating expenditure assumptions as amounts for each time series period.&#13;&#10;Includes all periods percentage change scenario assumptions to be included within a central scenario manager.]]></FS>
            <R><![CDATA[Any]]></R>
            <GE><![CDATA[Operating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F59468D8-8A4B-45EE-9C37-7A54E6853087</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25</MN>
                <MCN>1</MCN>
                <MCTK>BaseCase</MCTK>
                <RT><![CDATA[<ModuleName> - Scenarios]]></RT>
                <ERN>MODMC156</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25</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25</MN>
                <MCN>2</MCN>
                <MCTK>BaseCase</MCTK>
                <RT><![CDATA[<ModuleName> - Assumptions]]></RT>
                <ERN>MODMC157</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25</MN>
                <MCN>3</MCN>
                <MCTK>BaseCase</MCTK>
                <RT><![CDATA[<ModuleName> - Outputs]]></RT>
                <ERN>MODMC158</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pex_Cat]]></P>
            <OI>810</OI>
            <MN>2</MN>
            <MAG>E72A3FD0-52CB-410C-9CE7-3A25AE62CEAD</MAG>
            <BN><![CDATA[Operating Expenditure Category]]></BN>
            <N><![CDATA[Operating Expenditure - Credit Card Fees]]></N>
            <TS><![CDATA[Monthly]]></TS>
            <D><![CDATA[Calculates operating expenditure for a single operating expenditure category over a number of time series periods.]]></D>
            <FS><![CDATA[Collects operating expenditure assumptions as a percentage of total revenue for each time series period.]]></FS>
            <R><![CDATA[Any]]></R>
            <GE><![CDATA[Operating Expenditure Category]]></GE>
            <CA><![CDATA[Percentage of Total Revenue]]></CA>
            <VA><![CDATA[Single Component]]></VA>
            <GST><![CDATA[None]]></GST>
            <DE><![CDATA[Modano]]></DE>
            <E><![CDATA[info@modano.com]]></E>
            <C><![CDATA[Modano]]></C>
            <W><![CDATA[www.modano.com]]></W>
            <K/>
            <CO/>
            <V>11.0.1.0.</V>
            <AX>2</AX>
            <SX/>
            <PMLO>False</PMLO>
            <IPMLO>False</IPMLO>
            <MACA>1</MACA>
            <HP>True</HP>
            <DR>True</DR>
            <RTSM>True</RTSM>
            <CC>False</CC>
            <X>False</X>
            <G>A76C6723-630E-4C68-86B3-A00D55A5911C</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StlOvlyProps>
              <FntOvly>
                <FntOvlyProps>
                  <PT>1</PT>
                  <SON>2</SON>
                  <CBPLI>0,0,0,0,0</CBPLI>
                  <FCN>0</FCN>
                  <CN>0</CN>
                  <II>True</II>
                  <I>True</I>
                </FntOvlyProps>
              </FntOvly>
            </StlOvly>
            <StlOvly>
              <StlOvlyProps>
                <SON>3</SON>
                <IHA>True</IHA>
                <HA>-4108</HA>
              </StlOvlyProps>
              <FntOvly>
                <FntOvlyProps>
                  <PT>1</PT>
                  <SON>3</SON>
                  <CBPLI>0,0,0,0,0</CBPLI>
                  <FCN>0</FCN>
                  <CN>0</CN>
                  <II>True</II>
                  <IC>True</IC>
                  <I>True</I>
                  <CT>-3</CT>
                  <CNU>2</CNU>
                  <CPR>8421504</CPR>
                  <TAS>0.4999847</TAS>
                </FntOvlyProps>
              </FntOvly>
            </StlOvly>
          </StlOvlys>
          <TrigCbps>
            <TrigCbp>
              <TrigCbpProps>
                <LI>2,1,1,1,1</LI>
                <TT>2</TT>
                <RLI/>
                <R2LI/>
                <TS/>
                <OT>0</OT>
                <FO>0</FO>
              </TrigCbpProps>
            </TrigCbp>
          </TrigCbps>
          <ModComps>
            <ModComp>
              <ModCompProps>
                <MN>26</MN>
                <MCN>1</MCN>
                <MCTK>BaseCase</MCTK>
                <RT><![CDATA[<ModuleName> - Assumptions]]></RT>
                <ERN>MODMC102</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1,1</LI>
                    <EGN>0</EGN>
                  </SectProps>
                  <Elmts>
                    <Elmt>
                      <ElmtProps>
                        <CPT>2</CPT>
                      </ElmtProps>
                      <ClmnBlks>
                        <ClmnBlk>
                          <ClmnBlkProps>
                            <FCPT>3</FCPT>
                            <FCN>8</FCN>
                            <FCOT>0</FCOT>
                            <FCOC>5</FCOC>
                            <FCPTBMCN>4</FCPTBMCN>
                            <FCPTBN>2</FCPTBN>
                            <LCPT>3</LCPT>
                            <LCN>8</LCN>
                            <LCOT>0</LCOT>
                            <LCOC>5</LCOC>
                            <LCPTBMCN>4</LCPTBMCN>
                            <LCPTBN>2</LCPTBN>
                          </ClmnBlkProps>
                          <ClmnBlkPts>
                            <ClmnBlkPt>
                              <ClmnBlkPtProps>
                                <CBPT>5</CBPT>
                                <ST>40</ST>
                                <SON>3</SON>
                                <VOFFF><![CDATA[Total Revenue]]></VOFFF>
                              </ClmnBlkPtProps>
                              <LnkInForms>
                                <LnkInForm>
                                  <LnkInFormProps>
                                    <CBPLI>1,1,1,1,1</CBPLI>
                                    <ELN>1</ELN>
                                    <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SON>2</SON>
                                <VOFFF><![CDATA[0]]></VOFFF>
                              </ClmnBlkPtProps>
                              <LnkInForms>
                                <LnkInForm>
                                  <LnkInFormProps>
                                    <CBPLI>1,1,1,2,1</CBPLI>
                                    <ELN>1</ELN>
                                    <FFF><![CDATA[=§A¿10,FALSE,0,2,0,FALSE§Z¿]]></FFF>
                                  </LnkInFormProps>
                                </LnkInForm>
                              </LnkInForms>
                            </ClmnBlkPt>
                          </ClmnBlkPts>
                        </ClmnBlk>
                      </ClmnBlks>
                      <TtlCtg>
                        <TtlCtgProps>
                          <R>3</R>
                        </TtlCtgProps>
                        <LnkIn>
                          <LnkInProps>
                            <MN>26</MN>
                            <CLI>1,1,1,True,0</CLI>
                            <ELN>1</ELN>
                            <LOOT>2</LOOT>
                            <LOMN>9</LOMN>
                            <LOMCN>4</LOMCN>
                            <LOSN>1</LOSN>
                            <LOEN>4</LOEN>
                            <LOCN>0</LOCN>
                          </LnkInProps>
                        </LnkIn>
                      </TtlCtg>
                      <ElmtLnksIn>
                        <ElmtLnk>
                          <ElmtLnkProps>
                            <ELN>1</ELN>
                            <ELGN>1</ELGN>
                            <MLG>5BC5876E-4C28-4493-A230-4320A45C1EFE</MLG>
                            <ICBI>2</ICBI>
                            <ILBN/>
                            <LIBN>0</LIBN>
                            <CLT>2</CLT>
                            <PLO>0</PLO>
                            <IPLO>0</IPLO>
                          </ElmtLnkProps>
                        </ElmtLnk>
                      </ElmtLnksIn>
                    </Elmt>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 of Total Revenue]]></VOFFF>
                              </ClmnBlkPtProps>
                            </ClmnBlkPt>
                          </ClmnBlkPts>
                        </ClmnBlk>
                        <ClmnBlk>
                          <ClmnBlkProps>
                            <FCPT>3</FCPT>
                            <FCN>10</FCN>
                            <FCOT>0</FCOT>
                            <FCOC>0</FCOC>
                            <FCPTBMCN>4</FCPTBMCN>
                            <FCPTBN>3</FCPTBN>
                            <LCPT>3</LCPT>
                            <LCN>45</LCN>
                            <LCOT>1</LCOT>
                            <LCOC>0</LCOC>
                            <LCPTBMCN>4</LCPTBMCN>
                            <LCPTBN>3</LCPTBN>
                          </ClmnBlkProps>
                          <ClmnBlkPts>
                            <ClmnBlkPt>
                              <ClmnBlkPtProps>
                                <CBPT>5</CBPT>
                                <ST>12</ST>
                                <VOFFF><![CDATA[0]]></VOFFF>
                                <UDAV><![CDATA[0]]></UDAV>
                              </ClmnBlkPtProps>
                              <Vdtn>
                                <VdtnProps>
                                  <CBPLI>1,1,2,3,1</CBPLI>
                                  <ADVT>0</ADVT>
                                  <VT>7</VT>
                                </VdtnProps>
                              </Vdtn>
                            </ClmnBlkPt>
                          </ClmnBlkPts>
                        </ClmnBlk>
                      </ClmnBlks>
                      <TtlCtg>
                        <TtlCtgProps>
                          <R>1</R>
                        </TtlCtgProps>
                      </TtlCtg>
                    </Elmt>
                    <Elmt>
                      <ElmtProps>
                        <CPT>2</CPT>
                      </ElmtProps>
                      <TtlCtg>
                        <TtlCtgProps>
                          <R>2</R>
                        </TtlCtgProps>
                      </TtlCtg>
                    </Elmt>
                  </Elmts>
                </Sect>
              </Sects>
            </ModComp>
            <ModComp>
              <ModCompProps>
                <MN>26</MN>
                <MCN>2</MCN>
                <MCTK>BaseCase</MCTK>
                <RT><![CDATA[<ModuleName> - Outputs]]></RT>
                <ERN>MODMC103</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2,1,-1,0,0,FALSE,FALSE§Z¿*§A¿0,1,0,1,2,3,1,-1,0,0,FALSE,FALSE§Z¿]]></VOFFF>
                              </ClmnBlkPtProps>
                            </ClmnBlkPt>
                          </ClmnBlkPts>
                        </ClmnBlk>
                      </ClmnBlks>
                      <TtlCtg>
                        <TtlCtgProps>
                          <R>1</R>
                        </TtlCtgProps>
                      </TtlCtg>
                      <ElmtLnksOut>
                        <ElmtLnk>
                          <ElmtLnkProps>
                            <ELI>2,1,1</ELI>
                            <ELN>1</ELN>
                            <ELGN>1</ELGN>
                            <MLG>1C3E6E2A-9C79-4AFC-9BCC-6AA8DEACAB42</MLG>
                            <ICBI>1,2</ICBI>
                            <ILBN>1,2</ILBN>
                            <LIBN>0</LIBN>
                          </ElmtLnkProps>
                        </ElmtLnk>
                      </ElmtLnksOut>
                    </Elmt>
                  </Elmts>
                </Sect>
              </Sects>
            </ModComp>
          </ModComps>
        </Mod>
        <Mod>
          <ModProps>
            <MVS>14.0.5.0</MVS>
            <RAV/>
            <RXV>0</RXV>
            <FV>3</FV>
            <MT>0</MT>
            <SCT>-1</SCT>
            <P><![CDATA[Opex_Cat]]></P>
            <OI>810</OI>
            <MN>3</MN>
            <MAG>E72A3FD0-52CB-410C-9CE7-3A25AE62CEAD</MAG>
            <BN><![CDATA[Operating Expenditure Category]]></BN>
            <N><![CDATA[Operating Expenditure - Other G&A]]></N>
            <TS><![CDATA[Scenarios & Monthly]]></TS>
            <D><![CDATA[Calculates operating expenditure for a single operating expenditure category over a number of time series periods.]]></D>
            <FS><![CDATA[Collects operating expenditure assumptions as amounts for each time series period.&#13;&#10;Includes all periods percentage change scenario assumptions to be included within a central scenario manager.]]></FS>
            <R><![CDATA[Any]]></R>
            <GE><![CDATA[Operating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314B0B81-E655-4135-8B4A-FB076DEE2AD5</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27</MN>
                <MCN>1</MCN>
                <MCTK>BaseCase</MCTK>
                <RT><![CDATA[<ModuleName> - Scenarios]]></RT>
                <ERN>MODMC95</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27</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27</MN>
                <MCN>2</MCN>
                <MCTK>BaseCase</MCTK>
                <RT><![CDATA[<ModuleName> - Assumptions]]></RT>
                <ERN>MODMC96</ERN>
                <MCST>1</MCST>
                <IPMC>False</IPMC>
                <SN>10</SN>
                <LODS>False</LODS>
                <LST>False</LST>
                <RSTF>False</RSTF>
                <STRA>0</STRA>
                <HS>False</HS>
                <IBOA>0</IBOA>
                <IB>True</IB>
                <CI><![CDATA[Operating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27</MN>
                <MCN>3</MCN>
                <MCTK>BaseCase</MCTK>
                <RT><![CDATA[<ModuleName> - Outputs]]></RT>
                <ERN>MODMC97</ERN>
                <MCST>1</MCST>
                <IPMC>False</IPMC>
                <SN>10</SN>
                <LODS>False</LODS>
                <LST>False</LST>
                <RSTF>False</RSTF>
                <STRA>0</STRA>
                <HS>False</HS>
                <IBOA>0</IBOA>
                <IB>True</IB>
                <CI><![CDATA[Operating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1C3E6E2A-9C79-4AFC-9BCC-6AA8DEACAB42</MLG>
                            <ICBI>1,3</ICBI>
                            <ILBN>1,2</ILBN>
                            <LIBN>0</LIBN>
                          </ElmtLnkProps>
                        </ElmtLnk>
                      </ElmtLnksOut>
                    </Elmt>
                  </Elmts>
                </Sect>
              </Sects>
            </ModComp>
          </ModComps>
        </Mod>
        <Mod>
          <ModProps>
            <MVS>14.0.5.0</MVS>
            <RAV/>
            <RXV>0</RXV>
            <FV>3</FV>
            <MT>0</MT>
            <SCT>-1</SCT>
            <P><![CDATA[Oth_Rev]]></P>
            <OI>860</OI>
            <MN>0</MN>
            <MAG>E72A3FD0-52CB-410C-9CE7-3A25AE62CEAD</MAG>
            <BN><![CDATA[Other Revenue]]></BN>
            <N><![CDATA[Other Revenue]]></N>
            <TS><![CDATA[Scenarios & Monthly]]></TS>
            <D><![CDATA[Calculates other revenue for a number of other revenue categories over a number of time series periods.]]></D>
            <FS><![CDATA[Allows for a separate module for each other revenue category to facilitate variable drivers functionalities.&#13;&#10;Allows for scenario assumptions to be included within a central scenario manager.]]></FS>
            <R><![CDATA[Any]]></R>
            <GE><![CDATA[Other Revenue]]></GE>
            <CA><![CDATA[Variable Drivers, Scenarios]]></CA>
            <VA><![CDATA[Single Component]]></VA>
            <GST><![CDATA[None]]></GST>
            <DE><![CDATA[Modano]]></DE>
            <E><![CDATA[info@modano.com]]></E>
            <C><![CDATA[Modano]]></C>
            <W><![CDATA[www.modano.com]]></W>
            <K/>
            <CO/>
            <V>11.0.1.0.</V>
            <AX>2</AX>
            <SX/>
            <PMLO>False</PMLO>
            <IPMLO>False</IPMLO>
            <MACA>0</MACA>
            <HP>False</HP>
            <DR>False</DR>
            <RTSM>True</RTSM>
            <CC>True</CC>
            <X>False</X>
            <G>EE25FC7F-DC9C-40A6-904D-76C5EBAE54B6</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
              <RowStgProps>
                <RSN>6</RSN>
                <RHST>1</RHST>
                <HS>25</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
              <StlOvlyProps>
                <SON>8</SON>
                <INF>True</INF>
                <NT>0</NT>
                <DP>0</DP>
                <CNF><![CDATA[_(#,##0.0_);(#,##0.0);_-"-"_-;_)@_)]]></CNF>
              </StlOvlyProps>
              <FntOvly>
                <FntOvlyProps>
                  <PT>1</PT>
                  <SON>8</SON>
                  <CBPLI>0,0,0,0,0</CBPLI>
                  <FCN>0</FCN>
                  <CN>0</CN>
                  <IB>True</IB>
                  <B>True</B>
                </FntOvlyProps>
              </FntOvly>
              <BdrOvlys>
                <BdrOvly>
                  <BdrOvlyProps>
                    <PT>1</PT>
                    <SON>8</SON>
                    <CBPLI/>
                    <FCN>0</FCN>
                    <I>True</I>
                    <BI>10</BI>
                    <LS>1</LS>
                    <W>2</W>
                  </BdrOvlyProps>
                </BdrOvly>
              </BdrOvlys>
            </StlOvly>
          </StlOvlys>
          <ElmtsGrps>
            <ElmtsGrp>
              <ElmtsGrpProps>
                <NU>1</NU>
                <NA><![CDATA[Other Revenue]]></NA>
                <EGT>0</EGT>
                <DCC>6</DCC>
                <AST>False</AST>
                <ISTH>True</ISTH>
                <PTMCN>0</PTMCN>
                <PTBN>0</PTBN>
                <PTBI>0</PTBI>
                <GLN/>
                <CLOT>0</CLOT>
                <CLIT>0</CLIT>
                <PMLO>0</PMLO>
                <IPMLO>0</IPMLO>
              </ElmtsGrpProps>
            </ElmtsGrp>
          </ElmtsGrps>
          <ModComps>
            <ModComp>
              <ModCompProps>
                <MN>28</MN>
                <MCN>1</MCN>
                <MCTK>BaseCase</MCTK>
                <RT><![CDATA[<ModuleName> - Scenarios]]></RT>
                <ERN>MODMC181</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26</CTHN>
                                <ST>5</ST>
                                <VOFFF><![CDATA[<ModuleName>]]></VOFFF>
                              </ClmnBlkPtProps>
                              <RgeNmes>
                                <RgeNme>
                                  <RgeNmeProps>
                                    <CBPLI>1,1,2,2,1</CBPLI>
                                    <MCN>1</MCN>
                                    <SN>1</SN>
                                    <EN>2</EN>
                                    <CN>0</CN>
                                    <CBN>2</CBN>
                                    <CBPN>1</CBPN>
                                    <PT>1</PT>
                                    <CBPRNT>6</CBPRNT>
                                    <NT>12</NT>
                                    <SP1><![CDATA[Scen_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ROWS(§A¿0,3|4,1,1,2,2,1,-1,0,0,TRUE,TRUE,1,1,2,1,-1,0,0,TRUE,TRUE§Z¿)=2,0,IF(COUNTIF(OFFSET(§A¿0,3,0,1,2,2,1,-1,0,0,TRUE,TRUE§Z¿,1,0,ROWS(§A¿0,3|4,1,1,2,2,1,-1,0,0,TRUE,TRUE,1,1,2,1,-1,0,0,TRUE,TRUE§Z¿)-2,1),"<>0")-COUNTBLANK(OFFSET(§A¿0,3,0,1,2,2,1,-1,0,0,TRUE,TRUE§Z¿,1,0,ROWS(§A¿0,3|4,1,1,2,2,1,-1,0,0,TRUE,TRUE,1,1,2,1,-1,0,0,TRUE,TRUE§Z¿)-2,1))>0,1,0))]]></VOFFF>
                              </ClmnBlkPtProps>
                              <Chk>
                                <ChkProps>
                                  <CBPLI>1,1,3,2,1</CBPLI>
                                  <CT>1</CT>
                                  <CN>7</CN>
                                  <HST>1</HST>
                                  <CHT/>
                                  <HCBPLI>1,1,2,2,1</HCBPLI>
                                </ChkProps>
                              </Chk>
                              <Cmts>
                                <Cmt>
                                  <CmtProps>
                                    <CBPLI>1,1,3,2,1</CBPLI>
                                    <WRN>1</WRN>
                                    <ERT>5</ERT>
                                    <COSTN>0</COSTN>
                                    <OC>0</OC>
                                    <HT><![CDATA[Sensitivity]]></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4</R>
                        </TtlCtgProps>
                      </TtlCtg>
                    </Elmt>
                    <Elmt>
                      <ElmtProps>
                        <CPT>2</CPT>
                      </ElmtProps>
                      <TtlCtg>
                        <TtlCtgProps>
                          <R>6</R>
                        </TtlCtgProps>
                      </TtlCtg>
                    </Elmt>
                  </Elmts>
                </Sect>
              </Sects>
            </ModComp>
            <ModComp>
              <ModCompProps>
                <MN>28</MN>
                <MCN>2</MCN>
                <MCTK>BaseCase</MCTK>
                <RT><![CDATA[<ModuleName> - Top]]></RT>
                <ERN>MODMC182</ERN>
                <MCST>1</MCST>
                <IPMC>False</IPMC>
                <SN>10</SN>
                <LODS>False</LODS>
                <LST>False</LST>
                <RSTF>False</RSTF>
                <STRA>0</STRA>
                <HS>False</HS>
                <IBOA>0</IBOA>
                <IB>True</IB>
                <CI><![CDATA[Other Revenue Assumptions]]></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LCPT>3</LCPT>
                            <LCN>2</LCN>
                            <LCOT>1</LCOT>
                            <LCOC>0</LCOC>
                          </ClmnBlkProps>
                          <ClmnBlkPts>
                            <ClmnBlkPt>
                              <ClmnBlkPtProps>
                                <CBPT>5</CBPT>
                                <HCTHR>True</HCTHR>
                                <CTHN>49</CTHN>
                                <ST>3</ST>
                                <VOFFF><![CDATA[<ModuleName>]]></VOFFF>
                              </ClmnBlkPtProps>
                              <RgeNmes>
                                <RgeNme>
                                  <RgeNmeProps>
                                    <CBPLI>2,1,2,2,1</CBPLI>
                                    <MCN>2</MCN>
                                    <SN>1</SN>
                                    <EN>2</EN>
                                    <CN>0</CN>
                                    <CBN>2</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28</MN>
                <MCN>3</MCN>
                <MCTK>BaseCase</MCTK>
                <RT><![CDATA[<ModuleName> - Middle]]></RT>
                <ERN>MODMC183</ERN>
                <MCST>1</MCST>
                <IPMC>False</IPMC>
                <SN>10</SN>
                <LODS>False</LODS>
                <LST>False</LST>
                <RSTF>False</RSTF>
                <STRA>0</STRA>
                <HS>False</HS>
                <IBOA>0</IBOA>
                <IB>True</IB>
                <CI><![CDATA[Other Revenue Outputs]]></CI>
                <PTI/>
                <PTP>False</PTP>
                <PTD><![CDATA[Monthly time series periods.]]></PTD>
                <PTMCN>4</PTMCN>
                <CROL>0</CROL>
                <CCOL>0</CCOL>
                <AMFN>0</AMFN>
              </ModCompProps>
              <Sects>
                <Sect>
                  <SectProps>
                    <LI>3,1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Scenarios]]></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28</MN>
                <MCN>4</MCN>
                <MCTK>BaseCase</MCTK>
                <RT><![CDATA[<ModuleName> - Bottom]]></RT>
                <ERN>MODMC184</ERN>
                <MCST>1</MCST>
                <IPMC>False</IPMC>
                <SN>10</SN>
                <LODS>False</LODS>
                <LST>False</LST>
                <RSTF>False</RSTF>
                <STRA>0</STRA>
                <HS>False</HS>
                <IBOA>4</IBOA>
                <IB>True</IB>
                <CI/>
                <PTI/>
                <PTP>False</PTP>
                <PTD><![CDATA[Monthly time series periods.]]></PTD>
                <PTMCN>4</PTMCN>
                <CROL>0</CROL>
                <CCOL>0</CCOL>
                <AMFN>0</AMFN>
              </ModCompProps>
              <Sects>
                <Sect>
                  <SectProps>
                    <LI>4,1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3|4,1,1,2,3,1,-1,0,0,TRUE,FALSE,1,1,3,1,-1,0,0,TRUE,FALSE§Z¿)=2,0,SUM(OFFSET(§A¿0,3,0,1,2,3,1,-1,0,0,TRUE,FALSE§Z¿,1,0,ROWS(§A¿0,3|4,1,1,2,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2,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4,1,4,1,1</CBPLI>
                                    <ELN>1</ELN>
                                    <FFF><![CDATA[=§A¿10,FALSE,0,1,0,FALSE§Z¿]]></FFF>
                                  </LnkInFormProps>
                                </LnkInForm>
                              </LnkInForms>
                            </ClmnBlkPt>
                            <ClmnBlkPt>
                              <ClmnBlkPtProps>
                                <CBPT>1</CBPT>
                                <ST>6</ST>
                                <VOFFF><![CDATA[=§A¿0,4,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4,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4,1,4,2,1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28</MN>
                                  <CLI>4,1,4,False,1</CLI>
                                  <ELN>1</ELN>
                                  <LOOT>2</LOOT>
                                  <LOMN>29</LOMN>
                                  <LOMCN>3</LOMCN>
                                  <LOSN>1</LOSN>
                                  <LOEN>1</LOEN>
                                  <LOCN>0</LOCN>
                                </LnkInProps>
                              </LnkIn>
                            </Ctg>
                            <Ctg>
                              <CtgProps>
                                <R>4</R>
                              </CtgProps>
                              <LnkIn>
                                <LnkInProps>
                                  <MN>28</MN>
                                  <CLI>4,1,4,False,2</CLI>
                                  <ELN>1</ELN>
                                  <LOOT>2</LOOT>
                                  <LOMN>30</LOMN>
                                  <LOMCN>3</LOMCN>
                                  <LOSN>1</LOSN>
                                  <LOEN>1</LOEN>
                                  <LOCN>0</LOCN>
                                </LnkInProps>
                              </LnkIn>
                            </Ctg>
                          </Ctgs>
                        </SubTtl>
                      </SubTtls>
                      <TtlCtg>
                        <TtlCtgProps>
                          <R>4</R>
                        </TtlCtgProps>
                      </TtlCtg>
                      <ElmtLnksOut>
                        <ElmtLnk>
                          <ElmtLnkProps>
                            <ELI>4,1,4</ELI>
                            <ELN>1</ELN>
                            <ELGN>1</ELGN>
                            <MLG>11B73427-89C3-496A-AAC9-239536099189</MLG>
                            <ICBI>1,2</ICBI>
                            <ILBN>1,2</ILBN>
                            <LIBN>0</LIBN>
                          </ElmtLnkProps>
                        </ElmtLnk>
                      </ElmtLnksOut>
                      <ElmtLnksIn>
                        <ElmtLnk>
                          <ElmtLnkProps>
                            <ELI>4,1,4</ELI>
                            <ELN>1</ELN>
                            <ELGN>1</ELGN>
                            <MLG>3E5A877E-A7C7-4544-9D5E-D950D1A4009A</MLG>
                            <ICBI>1,2</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4,0,1,1,3,1,-1,0,0,FALSE,FALSE§Z¿-§A¿0,4,0,1,4,2,6,-1,0,0,FALSE,FALSE§Z¿),1,0)]]></VOFFF>
                              </ClmnBlkPtProps>
                              <FmtCnds>
                                <FmtCnd>
                                  <FmtCndProps>
                                    <CBPLI>4,1,6,2,1</CBPLI>
                                    <FCN>1</FCN>
                                    <FCT>1</FCT>
                                    <FCO>4</FCO>
                                    <F1FFF><![CDATA[=0]]></F1FFF>
                                    <F2FFF/>
                                    <SIT>False</SIT>
                                    <BSV>True</BSV>
                                    <BCT>0</BCT>
                                    <CNBCN>0</CNBCN>
                                    <BTAS>0</BTAS>
                                    <IST>1</IST>
                                    <RO>False</RO>
                                    <SIO>False</SIO>
                                    <TO>0</TO>
                                    <TS/>
                                    <DO>1</DO>
                                    <TB>1</TB>
                                    <R>10</R>
                                    <P>False</P>
                                    <AB>0</AB>
                                    <NSD>1</NSD>
                                    <DU>1</DU>
                                    <INF>False</INF>
                                    <NT>0</NT>
                                    <DP>0</DP>
                                    <CNF/>
                                  </FmtCndProps>
                                  <FntOvly>
                                    <FntOvlyProps>
                                      <PT>2</PT>
                                      <SON>0</SON>
                                      <CBPLI>4,1,6,2,1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4,0,1,6,2,1,-1,0,0,FALSE,FALSE§Z¿<>0,0,IF(ROUND(§A¿0,4,0,1,1,3,1,-1,0,0,FALSE,FALSE§Z¿-§A¿0,4,0,1,4,2,6,-1,0,0,FALSE,FALSE§Z¿,5)<>0,1,0))]]></VOFFF>
                              </ClmnBlkPtProps>
                              <FmtCnds>
                                <FmtCnd>
                                  <FmtCndProps>
                                    <CBPLI>4,1,7,2,1</CBPLI>
                                    <FCN>1</FCN>
                                    <FCT>1</FCT>
                                    <FCO>4</FCO>
                                    <F1FFF><![CDATA[=0]]></F1FFF>
                                    <F2FFF/>
                                    <SIT>False</SIT>
                                    <BSV>True</BSV>
                                    <BCT>0</BCT>
                                    <CNBCN>0</CNBCN>
                                    <BTAS>0</BTAS>
                                    <IST>1</IST>
                                    <RO>False</RO>
                                    <SIO>False</SIO>
                                    <TO>0</TO>
                                    <TS/>
                                    <DO>1</DO>
                                    <TB>1</TB>
                                    <R>10</R>
                                    <P>False</P>
                                    <AB>0</AB>
                                    <NSD>1</NSD>
                                    <DU>1</DU>
                                    <INF>False</INF>
                                    <NT>0</NT>
                                    <DP>0</DP>
                                    <CNF/>
                                  </FmtCndProps>
                                  <FntOvly>
                                    <FntOvlyProps>
                                      <PT>2</PT>
                                      <SON>0</SON>
                                      <CBPLI>4,1,7,2,1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0,§A¿0,4,1,1,8,3,1,-1,0,0,FALSE,FALSE,1,8,3,1,-1,1,0,FALSE,FALSE§Z¿)),1,MIN(SUM(§A¿0,4,1,1,8,3,1,-1,0,0,FALSE,FALSE,1,8,3,1,-1,1,0,FALSE,FALSE§Z¿),1))]]></VOFFF>
                              </ClmnBlkPtProps>
                              <Chk>
                                <ChkProps>
                                  <CBPLI>4,1,8,2,1</CBPLI>
                                  <CT>0</CT>
                                  <CN>18</CN>
                                  <HST>1</HST>
                                  <CHT/>
                                  <HCBPLI>2,1,2,2,1</HCBPLI>
                                </ChkProps>
                              </Chk>
                              <Cmts>
                                <Cmt>
                                  <CmtProps>
                                    <CBPLI>4,1,8,2,1</CBPLI>
                                    <WRN>1</WRN>
                                    <ERT>5</ERT>
                                    <COSTN>0</COSTN>
                                    <OC>0</OC>
                                    <HT><![CDATA[Error Check]]></HT>
                                    <HFS>0</HFS>
                                    <BT><![CDATA[Flags the existence of errors.]]></BT>
                                    <BFS>0</BFS>
                                    <H>103</H>
                                    <W>128</W>
                                  </CmtProps>
                                </Cmt>
                              </Cmts>
                              <FmtCnds>
                                <FmtCnd>
                                  <FmtCndProps>
                                    <CBPLI>4,1,8,2,1</CBPLI>
                                    <FCN>1</FCN>
                                    <FCT>1</FCT>
                                    <FCO>4</FCO>
                                    <F1FFF><![CDATA[=0]]></F1FFF>
                                    <F2FFF/>
                                    <SIT>False</SIT>
                                    <BSV>True</BSV>
                                    <BCT>0</BCT>
                                    <CNBCN>0</CNBCN>
                                    <BTAS>0</BTAS>
                                    <IST>1</IST>
                                    <RO>False</RO>
                                    <SIO>False</SIO>
                                    <TO>0</TO>
                                    <TS/>
                                    <DO>1</DO>
                                    <TB>1</TB>
                                    <R>10</R>
                                    <P>False</P>
                                    <AB>0</AB>
                                    <NSD>1</NSD>
                                    <DU>1</DU>
                                    <INF>False</INF>
                                    <NT>0</NT>
                                    <DP>0</DP>
                                    <CNF/>
                                  </FmtCndProps>
                                  <FntOvly>
                                    <FntOvlyProps>
                                      <PT>2</PT>
                                      <SON>0</SON>
                                      <CBPLI>4,1,8,2,1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4,1,1,6,2,1,-1,0,0,FALSE,FALSE,1,7,2,1,-1,0,0,FALSE,FALSE§Z¿),1)]]></VOFFF>
                              </ClmnBlkPtProps>
                              <FmtCnds>
                                <FmtCnd>
                                  <FmtCndProps>
                                    <CBPLI>4,1,8,3,1</CBPLI>
                                    <FCN>1</FCN>
                                    <FCT>1</FCT>
                                    <FCO>4</FCO>
                                    <F1FFF><![CDATA[=0]]></F1FFF>
                                    <F2FFF/>
                                    <SIT>False</SIT>
                                    <BSV>True</BSV>
                                    <BCT>0</BCT>
                                    <CNBCN>0</CNBCN>
                                    <BTAS>0</BTAS>
                                    <IST>1</IST>
                                    <RO>False</RO>
                                    <SIO>False</SIO>
                                    <TO>0</TO>
                                    <TS/>
                                    <DO>1</DO>
                                    <TB>1</TB>
                                    <R>10</R>
                                    <P>False</P>
                                    <AB>0</AB>
                                    <NSD>1</NSD>
                                    <DU>1</DU>
                                    <INF>False</INF>
                                    <NT>0</NT>
                                    <DP>0</DP>
                                    <CNF/>
                                  </FmtCndProps>
                                  <FntOvly>
                                    <FntOvlyProps>
                                      <PT>2</PT>
                                      <SON>0</SON>
                                      <CBPLI>4,1,8,3,1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4,1,1,9,3,1,-1,0,0,FALSE,FALSE,1,9,3,1,-1,1,0,FALSE,FALSE§Z¿)),1,MIN(SUM(§A¿0,4,1,1,9,3,1,-1,0,0,FALSE,FALSE,1,9,3,1,-1,1,0,FALSE,FALSE§Z¿),1))]]></VOFFF>
                              </ClmnBlkPtProps>
                              <Chk>
                                <ChkProps>
                                  <CBPLI>4,1,9,2,1</CBPLI>
                                  <CT>2</CT>
                                  <CN>14</CN>
                                  <HST>1</HST>
                                  <CHT/>
                                  <HCBPLI>2,1,2,2,1</HCBPLI>
                                </ChkProps>
                              </Chk>
                              <Cmts>
                                <Cmt>
                                  <CmtProps>
                                    <CBPLI>4,1,9,2,1</CBPLI>
                                    <WRN>1</WRN>
                                    <ERT>5</ERT>
                                    <COSTN>0</COSTN>
                                    <OC>0</OC>
                                    <HT><![CDATA[Alert Check]]></HT>
                                    <HFS>0</HFS>
                                    <BT><![CDATA[Flags the occurrence of designated events.]]></BT>
                                    <BFS>0</BFS>
                                    <H>80</H>
                                    <W>128</W>
                                  </CmtProps>
                                </Cmt>
                              </Cmts>
                              <FmtCnds>
                                <FmtCnd>
                                  <FmtCndProps>
                                    <CBPLI>4,1,9,2,1</CBPLI>
                                    <FCN>1</FCN>
                                    <FCT>1</FCT>
                                    <FCO>4</FCO>
                                    <F1FFF><![CDATA[=0]]></F1FFF>
                                    <F2FFF/>
                                    <SIT>False</SIT>
                                    <BSV>True</BSV>
                                    <BCT>0</BCT>
                                    <CNBCN>0</CNBCN>
                                    <BTAS>0</BTAS>
                                    <IST>1</IST>
                                    <RO>False</RO>
                                    <SIO>False</SIO>
                                    <TO>0</TO>
                                    <TS/>
                                    <DO>1</DO>
                                    <TB>1</TB>
                                    <R>10</R>
                                    <P>False</P>
                                    <AB>0</AB>
                                    <NSD>1</NSD>
                                    <DU>1</DU>
                                    <INF>False</INF>
                                    <NT>0</NT>
                                    <DP>0</DP>
                                    <CNF/>
                                  </FmtCndProps>
                                  <FntOvly>
                                    <FntOvlyProps>
                                      <PT>2</PT>
                                      <SON>0</SON>
                                      <CBPLI>4,1,9,2,1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4,0,1,8,3,1,-1,0,0,FALSE,FALSE§Z¿=1,0,IF(MIN(§A¿0,4,1,1,4,2,1,1,0,0,FALSE,FALSE,1,4,2,1,2,0,0,FALSE,FALSE§Z¿)<0,1,0))]]></VOFFF>
                              </ClmnBlkPtProps>
                              <FmtCnds>
                                <FmtCnd>
                                  <FmtCndProps>
                                    <CBPLI>4,1,9,3,1</CBPLI>
                                    <FCN>1</FCN>
                                    <FCT>1</FCT>
                                    <FCO>4</FCO>
                                    <F1FFF><![CDATA[=0]]></F1FFF>
                                    <F2FFF/>
                                    <SIT>False</SIT>
                                    <BSV>True</BSV>
                                    <BCT>0</BCT>
                                    <CNBCN>0</CNBCN>
                                    <BTAS>0</BTAS>
                                    <IST>1</IST>
                                    <RO>False</RO>
                                    <SIO>False</SIO>
                                    <TO>0</TO>
                                    <TS/>
                                    <DO>1</DO>
                                    <TB>1</TB>
                                    <R>10</R>
                                    <P>False</P>
                                    <AB>0</AB>
                                    <NSD>1</NSD>
                                    <DU>1</DU>
                                    <INF>False</INF>
                                    <NT>0</NT>
                                    <DP>0</DP>
                                    <CNF/>
                                  </FmtCndProps>
                                  <FntOvly>
                                    <FntOvlyProps>
                                      <PT>2</PT>
                                      <SON>0</SON>
                                      <CBPLI>4,1,9,3,1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th_Rev_Cat]]></P>
            <OI>870</OI>
            <MN>0</MN>
            <MAG>E72A3FD0-52CB-410C-9CE7-3A25AE62CEAD</MAG>
            <BN><![CDATA[Other Revenue Category]]></BN>
            <N><![CDATA[Other Revenue - Grant Income A]]></N>
            <TS><![CDATA[Scenarios & Monthly]]></TS>
            <D><![CDATA[Calculates other revenue for a single other revenue category over a number of time series periods.]]></D>
            <FS><![CDATA[Collects other revenue assumptions as amounts for each time series period.&#10;Includes all periods absolute change scenario assumptions to be included within a central scenario manager.]]></FS>
            <R><![CDATA[Any]]></R>
            <GE><![CDATA[Other Revenue Category]]></GE>
            <CA><![CDATA[Amounts, Absolute Change Scenarios]]></CA>
            <VA><![CDATA[Single Component]]></VA>
            <GST><![CDATA[None]]></GST>
            <DE><![CDATA[Modano]]></DE>
            <E><![CDATA[info@modano.com]]></E>
            <C><![CDATA[Modano]]></C>
            <W><![CDATA[www.modano.com]]></W>
            <K/>
            <CO/>
            <V>11.0.1.0.</V>
            <AX>2</AX>
            <SX/>
            <PMLO>False</PMLO>
            <IPMLO>False</IPMLO>
            <MACA>1</MACA>
            <HP>True</HP>
            <DR>True</DR>
            <RTSM>True</RTSM>
            <CC>False</CC>
            <X>False</X>
            <G>9BDA829C-C2E9-46E3-A82B-B53BF49CC2A5</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0</NT>
                <DP>0</DP>
                <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HA>True</IHA>
                <HA>-4108</HA>
              </StlOvlyProps>
              <FntOvly>
                <FntOvlyProps>
                  <PT>1</PT>
                  <SON>3</SON>
                  <CBPLI>0,0,0,0,0</CBPLI>
                  <FCN>0</FCN>
                  <CN>0</CN>
                  <IC>True</IC>
                  <CT>-3</CT>
                  <CNU>2</CNU>
                  <CPR>8421504</CPR>
                  <TAS>0.4999542</TAS>
                </FntOvlyProps>
              </FntOvly>
            </StlOvly>
            <StlOvly>
              <StlOvlyProps>
                <SON>4</SON>
                <INF>True</INF>
                <IHA>True</IHA>
                <NT>-2</NT>
                <DP>0</DP>
                <CNF><![CDATA[_("+"#,##0.0_);(#,##0.0);_("-"_);_)@_)]]></CNF>
                <HA>-4108</HA>
              </StlOvlyProps>
            </StlOvly>
            <StlOvly>
              <StlOvlyProps>
                <SON>5</SON>
                <INF>True</INF>
                <IHA>True</IHA>
                <NT>-2</NT>
                <DP>0</DP>
                <CNF><![CDATA[_("+"#,##0.0_);(#,##0.0);_("-"_);_)@_)]]></CNF>
                <HA>-4108</HA>
              </StlOvlyProps>
              <BdrOvlys>
                <BdrOvly>
                  <BdrOvlyProps>
                    <PT>1</PT>
                    <SON>5</SON>
                    <CBPLI/>
                    <FCN>0</FCN>
                    <I>True</I>
                    <BI>7</BI>
                    <LS>1</LS>
                    <W>2</W>
                    <CT>3</CT>
                    <CN>2</CN>
                    <TAS>0.4999542</TAS>
                  </BdrOvlyProps>
                </BdrOvly>
                <BdrOvly>
                  <BdrOvlyProps>
                    <PT>1</PT>
                    <SON>5</SON>
                    <CBPLI/>
                    <FCN>0</FCN>
                    <I>True</I>
                    <BI>10</BI>
                    <LS>1</LS>
                    <W>2</W>
                    <CT>3</CT>
                    <CN>2</CN>
                    <TAS>0.4999542</TAS>
                  </BdrOvlyProps>
                </BdrOvly>
                <BdrOvly>
                  <BdrOvlyProps>
                    <PT>1</PT>
                    <SON>5</SON>
                    <CBPLI/>
                    <FCN>0</FCN>
                    <I>True</I>
                    <BI>8</BI>
                    <LS>1</LS>
                    <W>2</W>
                    <CT>3</CT>
                    <CN>2</CN>
                    <TAS>0.4999542</TAS>
                  </BdrOvlyProps>
                </BdrOvly>
                <BdrOvly>
                  <BdrOvlyProps>
                    <PT>1</PT>
                    <SON>5</SON>
                    <CBPLI/>
                    <FCN>0</FCN>
                    <I>True</I>
                    <BI>9</BI>
                    <LS>1</LS>
                    <W>2</W>
                    <CT>3</CT>
                    <CN>2</CN>
                    <TAS>0.4999542</TAS>
                  </BdrOvlyProps>
                </BdrOvly>
              </BdrOvlys>
            </StlOvly>
            <StlOvly>
              <StlOvlyProps>
                <SON>6</SON>
                <INF>True</INF>
                <IHA>True</IHA>
                <NT>-2</NT>
                <DP>0</DP>
                <CNF><![CDATA[_("+"#,##0.0_);(#,##0.0);_("-"_);_)@_)]]></CNF>
                <HA>-4108</HA>
              </StlOvlyProps>
              <FntOvly>
                <FntOvlyProps>
                  <PT>1</PT>
                  <SON>6</SON>
                  <CBPLI>0,0,0,0,0</CBPLI>
                  <FCN>0</FCN>
                  <CN>0</CN>
                  <IC>True</IC>
                  <CT>-3</CT>
                  <CNU>2</CNU>
                  <CPR>8421504</CPR>
                  <TAS>0.4999847</TAS>
                </FntOvlyProps>
              </FntOvly>
              <BdrOvlys>
                <BdrOvly>
                  <BdrOvlyProps>
                    <PT>1</PT>
                    <SON>6</SON>
                    <CBPLI/>
                    <FCN>0</FCN>
                    <I>True</I>
                    <BI>7</BI>
                    <LS>1</LS>
                    <W>2</W>
                    <CT>3</CT>
                    <CN>2</CN>
                    <TAS>0.4999847</TAS>
                  </BdrOvlyProps>
                </BdrOvly>
                <BdrOvly>
                  <BdrOvlyProps>
                    <PT>1</PT>
                    <SON>6</SON>
                    <CBPLI/>
                    <FCN>0</FCN>
                    <I>True</I>
                    <BI>10</BI>
                    <LS>1</LS>
                    <W>2</W>
                    <CT>3</CT>
                    <CN>2</CN>
                    <TAS>0.4999847</TAS>
                  </BdrOvlyProps>
                </BdrOvly>
                <BdrOvly>
                  <BdrOvlyProps>
                    <PT>1</PT>
                    <SON>6</SON>
                    <CBPLI/>
                    <FCN>0</FCN>
                    <I>True</I>
                    <BI>8</BI>
                    <LS>1</LS>
                    <W>2</W>
                    <CT>3</CT>
                    <CN>2</CN>
                    <TAS>0.4999847</TAS>
                  </BdrOvlyProps>
                </BdrOvly>
                <BdrOvly>
                  <BdrOvlyProps>
                    <PT>1</PT>
                    <SON>6</SON>
                    <CBPLI/>
                    <FCN>0</FCN>
                    <I>True</I>
                    <BI>9</BI>
                    <LS>1</LS>
                    <W>2</W>
                    <CT>3</CT>
                    <CN>2</CN>
                    <TAS>0.4999847</TAS>
                  </BdrOvlyProps>
                </BdrOvly>
              </BdrOvlys>
            </StlOvly>
          </StlOvlys>
          <TrigCbps>
            <TrigCbp>
              <TrigCbpProps>
                <LI>3,1,1,1,1</LI>
                <TT>2</TT>
                <RLI/>
                <R2LI/>
                <TS/>
                <OT>0</OT>
                <FO>0</FO>
              </TrigCbpProps>
            </TrigCbp>
          </TrigCbps>
          <ModComps>
            <ModComp>
              <ModCompProps>
                <MN>29</MN>
                <MCN>1</MCN>
                <MCTK>BaseCase</MCTK>
                <RT><![CDATA[<ModuleName> - Scenarios]]></RT>
                <ERN>MODMC178</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LnkInForms>
                                <LnkInForm>
                                  <LnkInFormProps>
                                    <CBPLI>1,1,1,1,1</CBPLI>
                                    <ELN>1</ELN>
                                    <FFF/>
                                  </LnkInFormProps>
                                </LnkInForm>
                              </LnkInForms>
                            </ClmnBlkPt>
                          </ClmnBlkPts>
                        </ClmnBlk>
                        <ClmnBlk>
                          <ClmnBlkProps>
                            <FCPT>3</FCPT>
                            <FCN>9</FCN>
                            <FCOT>0</FCOT>
                            <FCOC>6</FCOC>
                            <FCPTBMCN>3</FCPTBMCN>
                            <FCPTBN>2</FCPTBN>
                            <LCPT>3</LCPT>
                            <LCN>9</LCN>
                            <LCOT>1</LCOT>
                            <LCOC>0</LCOC>
                            <LCPTBMCN>3</LCPTBMCN>
                            <LCPTBN>2</LCPTBN>
                          </ClmnBlkProps>
                          <ClmnBlkPts>
                            <ClmnBlkPt>
                              <ClmnBlkPtProps>
                                <CBPT>5</CBPT>
                                <ST>11</ST>
                                <SON>2</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29</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3</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5</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4</SON>
                                <VOFFF><![CDATA[0.1]]></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29</MN>
                <MCN>2</MCN>
                <MCTK>BaseCase</MCTK>
                <RT><![CDATA[<ModuleName> - Assumptions]]></RT>
                <ERN>MODMC179</ERN>
                <MCST>1</MCST>
                <IPMC>False</IPMC>
                <SN>10</SN>
                <LODS>False</LODS>
                <LST>False</LST>
                <RSTF>False</RSTF>
                <STRA>0</STRA>
                <HS>False</HS>
                <IBOA>0</IBOA>
                <IB>True</IB>
                <CI><![CDATA[Other 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29</MN>
                <MCN>3</MCN>
                <MCTK>BaseCase</MCTK>
                <RT><![CDATA[<ModuleName> - Outputs]]></RT>
                <ERN>MODMC180</ERN>
                <MCST>1</MCST>
                <IPMC>False</IPMC>
                <SN>10</SN>
                <LODS>False</LODS>
                <LST>False</LST>
                <RSTF>False</RSTF>
                <STRA>0</STRA>
                <HS>False</HS>
                <IBOA>0</IBOA>
                <IB>True</IB>
                <CI><![CDATA[Other 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6</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3,0,1,1,2,1,-1,0,0,FALSE,TRUE§Z¿]]></VOFFF>
                              </ClmnBlkPtProps>
                            </ClmnBlkPt>
                          </ClmnBlkPts>
                        </ClmnBlk>
                      </ClmnBlks>
                      <TtlCtg>
                        <TtlCtgProps>
                          <R>1</R>
                        </TtlCtgProps>
                      </TtlCtg>
                      <ElmtLnksOut>
                        <ElmtLnk>
                          <ElmtLnkProps>
                            <ELI>3,1,1</ELI>
                            <ELN>1</ELN>
                            <ELGN>1</ELGN>
                            <MLG>3E5A877E-A7C7-4544-9D5E-D950D1A4009A</MLG>
                            <ICBI>1,3</ICBI>
                            <ILBN>1,2</ILBN>
                            <LIBN>0</LIBN>
                          </ElmtLnkProps>
                        </ElmtLnk>
                      </ElmtLnksOut>
                    </Elmt>
                  </Elmts>
                </Sect>
              </Sects>
            </ModComp>
          </ModComps>
        </Mod>
        <Mod>
          <ModProps>
            <MVS>14.0.5.0</MVS>
            <RAV/>
            <RXV>0</RXV>
            <FV>3</FV>
            <MT>0</MT>
            <SCT>-1</SCT>
            <P><![CDATA[Oth_Rev_Cat]]></P>
            <OI>870</OI>
            <MN>2</MN>
            <MAG>E72A3FD0-52CB-410C-9CE7-3A25AE62CEAD</MAG>
            <BN><![CDATA[Other Revenue Category]]></BN>
            <N><![CDATA[Other Revenue - Grant Income B]]></N>
            <TS><![CDATA[Scenarios & Monthly]]></TS>
            <D><![CDATA[Calculates other revenue for a single other revenue category over a number of time series periods.]]></D>
            <FS><![CDATA[Collects other revenue assumptions as amounts for each time series period.&#10;Includes all periods absolute change scenario assumptions to be included within a central scenario manager.]]></FS>
            <R><![CDATA[Any]]></R>
            <GE><![CDATA[Other Revenue Category]]></GE>
            <CA><![CDATA[Amounts, Absolute Change Scenarios]]></CA>
            <VA><![CDATA[Single Component]]></VA>
            <GST><![CDATA[None]]></GST>
            <DE><![CDATA[Modano]]></DE>
            <E><![CDATA[info@modano.com]]></E>
            <C><![CDATA[Modano]]></C>
            <W><![CDATA[www.modano.com]]></W>
            <K/>
            <CO/>
            <V>11.0.1.0.</V>
            <AX>2</AX>
            <SX/>
            <PMLO>False</PMLO>
            <IPMLO>False</IPMLO>
            <MACA>1</MACA>
            <HP>True</HP>
            <DR>True</DR>
            <RTSM>True</RTSM>
            <CC>False</CC>
            <X>False</X>
            <G>D718C4EA-CED2-41B5-A53E-4B76406845DA</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0</NT>
                <DP>0</DP>
                <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HA>True</IHA>
                <HA>-4108</HA>
              </StlOvlyProps>
              <FntOvly>
                <FntOvlyProps>
                  <PT>1</PT>
                  <SON>3</SON>
                  <CBPLI>0,0,0,0,0</CBPLI>
                  <FCN>0</FCN>
                  <CN>0</CN>
                  <IC>True</IC>
                  <CT>-3</CT>
                  <CNU>2</CNU>
                  <CPR>8421504</CPR>
                  <TAS>0.4999542</TAS>
                </FntOvlyProps>
              </FntOvly>
            </StlOvly>
            <StlOvly>
              <StlOvlyProps>
                <SON>4</SON>
                <INF>True</INF>
                <IHA>True</IHA>
                <NT>-2</NT>
                <DP>0</DP>
                <CNF><![CDATA[_("+"#,##0.0_);(#,##0.0);_("-"_);_)@_)]]></CNF>
                <HA>-4108</HA>
              </StlOvlyProps>
            </StlOvly>
            <StlOvly>
              <StlOvlyProps>
                <SON>5</SON>
                <INF>True</INF>
                <IHA>True</IHA>
                <NT>-2</NT>
                <DP>0</DP>
                <CNF><![CDATA[_("+"#,##0.0_);(#,##0.0);_("-"_);_)@_)]]></CNF>
                <HA>-4108</HA>
              </StlOvlyProps>
              <BdrOvlys>
                <BdrOvly>
                  <BdrOvlyProps>
                    <PT>1</PT>
                    <SON>5</SON>
                    <CBPLI/>
                    <FCN>0</FCN>
                    <I>True</I>
                    <BI>7</BI>
                    <LS>1</LS>
                    <W>2</W>
                    <CT>3</CT>
                    <CN>2</CN>
                    <TAS>0.4999542</TAS>
                  </BdrOvlyProps>
                </BdrOvly>
                <BdrOvly>
                  <BdrOvlyProps>
                    <PT>1</PT>
                    <SON>5</SON>
                    <CBPLI/>
                    <FCN>0</FCN>
                    <I>True</I>
                    <BI>10</BI>
                    <LS>1</LS>
                    <W>2</W>
                    <CT>3</CT>
                    <CN>2</CN>
                    <TAS>0.4999542</TAS>
                  </BdrOvlyProps>
                </BdrOvly>
                <BdrOvly>
                  <BdrOvlyProps>
                    <PT>1</PT>
                    <SON>5</SON>
                    <CBPLI/>
                    <FCN>0</FCN>
                    <I>True</I>
                    <BI>8</BI>
                    <LS>1</LS>
                    <W>2</W>
                    <CT>3</CT>
                    <CN>2</CN>
                    <TAS>0.4999542</TAS>
                  </BdrOvlyProps>
                </BdrOvly>
                <BdrOvly>
                  <BdrOvlyProps>
                    <PT>1</PT>
                    <SON>5</SON>
                    <CBPLI/>
                    <FCN>0</FCN>
                    <I>True</I>
                    <BI>9</BI>
                    <LS>1</LS>
                    <W>2</W>
                    <CT>3</CT>
                    <CN>2</CN>
                    <TAS>0.4999542</TAS>
                  </BdrOvlyProps>
                </BdrOvly>
              </BdrOvlys>
            </StlOvly>
            <StlOvly>
              <StlOvlyProps>
                <SON>6</SON>
                <INF>True</INF>
                <IHA>True</IHA>
                <NT>-2</NT>
                <DP>0</DP>
                <CNF><![CDATA[_("+"#,##0.0_);(#,##0.0);_("-"_);_)@_)]]></CNF>
                <HA>-4108</HA>
              </StlOvlyProps>
              <FntOvly>
                <FntOvlyProps>
                  <PT>1</PT>
                  <SON>6</SON>
                  <CBPLI>0,0,0,0,0</CBPLI>
                  <FCN>0</FCN>
                  <CN>0</CN>
                  <IC>True</IC>
                  <CT>-3</CT>
                  <CNU>2</CNU>
                  <CPR>8421504</CPR>
                  <TAS>0.4999847</TAS>
                </FntOvlyProps>
              </FntOvly>
              <BdrOvlys>
                <BdrOvly>
                  <BdrOvlyProps>
                    <PT>1</PT>
                    <SON>6</SON>
                    <CBPLI/>
                    <FCN>0</FCN>
                    <I>True</I>
                    <BI>7</BI>
                    <LS>1</LS>
                    <W>2</W>
                    <CT>3</CT>
                    <CN>2</CN>
                    <TAS>0.4999847</TAS>
                  </BdrOvlyProps>
                </BdrOvly>
                <BdrOvly>
                  <BdrOvlyProps>
                    <PT>1</PT>
                    <SON>6</SON>
                    <CBPLI/>
                    <FCN>0</FCN>
                    <I>True</I>
                    <BI>10</BI>
                    <LS>1</LS>
                    <W>2</W>
                    <CT>3</CT>
                    <CN>2</CN>
                    <TAS>0.4999847</TAS>
                  </BdrOvlyProps>
                </BdrOvly>
                <BdrOvly>
                  <BdrOvlyProps>
                    <PT>1</PT>
                    <SON>6</SON>
                    <CBPLI/>
                    <FCN>0</FCN>
                    <I>True</I>
                    <BI>8</BI>
                    <LS>1</LS>
                    <W>2</W>
                    <CT>3</CT>
                    <CN>2</CN>
                    <TAS>0.4999847</TAS>
                  </BdrOvlyProps>
                </BdrOvly>
                <BdrOvly>
                  <BdrOvlyProps>
                    <PT>1</PT>
                    <SON>6</SON>
                    <CBPLI/>
                    <FCN>0</FCN>
                    <I>True</I>
                    <BI>9</BI>
                    <LS>1</LS>
                    <W>2</W>
                    <CT>3</CT>
                    <CN>2</CN>
                    <TAS>0.4999847</TAS>
                  </BdrOvlyProps>
                </BdrOvly>
              </BdrOvlys>
            </StlOvly>
          </StlOvlys>
          <TrigCbps>
            <TrigCbp>
              <TrigCbpProps>
                <LI>3,1,1,1,1</LI>
                <TT>2</TT>
                <RLI/>
                <R2LI/>
                <TS/>
                <OT>0</OT>
                <FO>0</FO>
              </TrigCbpProps>
            </TrigCbp>
          </TrigCbps>
          <ModComps>
            <ModComp>
              <ModCompProps>
                <MN>30</MN>
                <MCN>1</MCN>
                <MCTK>BaseCase</MCTK>
                <RT><![CDATA[<ModuleName> - Scenarios]]></RT>
                <ERN>MODMC185</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LnkInForms>
                                <LnkInForm>
                                  <LnkInFormProps>
                                    <CBPLI>1,1,1,1,1</CBPLI>
                                    <ELN>1</ELN>
                                    <FFF/>
                                  </LnkInFormProps>
                                </LnkInForm>
                              </LnkInForms>
                            </ClmnBlkPt>
                          </ClmnBlkPts>
                        </ClmnBlk>
                        <ClmnBlk>
                          <ClmnBlkProps>
                            <FCPT>3</FCPT>
                            <FCN>9</FCN>
                            <FCOT>0</FCOT>
                            <FCOC>6</FCOC>
                            <FCPTBMCN>3</FCPTBMCN>
                            <FCPTBN>2</FCPTBN>
                            <LCPT>3</LCPT>
                            <LCN>9</LCN>
                            <LCOT>1</LCOT>
                            <LCOC>0</LCOC>
                            <LCPTBMCN>3</LCPTBMCN>
                            <LCPTBN>2</LCPTBN>
                          </ClmnBlkProps>
                          <ClmnBlkPts>
                            <ClmnBlkPt>
                              <ClmnBlkPtProps>
                                <CBPT>5</CBPT>
                                <ST>11</ST>
                                <SON>2</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30</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3</SON>
                                <VOFFF><![CDATA[Y+X]]></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5</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11</ST>
                                <SON>4</SON>
                                <VOFFF><![CDATA[0.1]]></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30</MN>
                <MCN>2</MCN>
                <MCTK>BaseCase</MCTK>
                <RT><![CDATA[<ModuleName> - Assumptions]]></RT>
                <ERN>MODMC186</ERN>
                <MCST>1</MCST>
                <IPMC>False</IPMC>
                <SN>10</SN>
                <LODS>False</LODS>
                <LST>False</LST>
                <RSTF>False</RSTF>
                <STRA>0</STRA>
                <HS>False</HS>
                <IBOA>0</IBOA>
                <IB>True</IB>
                <CI><![CDATA[Other Revenu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30</MN>
                <MCN>3</MCN>
                <MCTK>BaseCase</MCTK>
                <RT><![CDATA[<ModuleName> - Outputs]]></RT>
                <ERN>MODMC187</ERN>
                <MCST>1</MCST>
                <IPMC>False</IPMC>
                <SN>10</SN>
                <LODS>False</LODS>
                <LST>False</LST>
                <RSTF>False</RSTF>
                <STRA>0</STRA>
                <HS>False</HS>
                <IBOA>0</IBOA>
                <IB>True</IB>
                <CI><![CDATA[Other Revenu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42</ST>
                                <SON>6</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A¿0,3,0,1,1,2,1,-1,0,0,FALSE,TRUE§Z¿]]></VOFFF>
                              </ClmnBlkPtProps>
                            </ClmnBlkPt>
                          </ClmnBlkPts>
                        </ClmnBlk>
                      </ClmnBlks>
                      <TtlCtg>
                        <TtlCtgProps>
                          <R>1</R>
                        </TtlCtgProps>
                      </TtlCtg>
                      <ElmtLnksOut>
                        <ElmtLnk>
                          <ElmtLnkProps>
                            <ELI>3,1,1</ELI>
                            <ELN>1</ELN>
                            <ELGN>1</ELGN>
                            <MLG>3E5A877E-A7C7-4544-9D5E-D950D1A4009A</MLG>
                            <ICBI>1,3</ICBI>
                            <ILBN>1,2</ILBN>
                            <LIBN>0</LIBN>
                          </ElmtLnkProps>
                        </ElmtLnk>
                      </ElmtLnksOut>
                    </Elmt>
                  </Elmts>
                </Sect>
              </Sects>
            </ModComp>
          </ModComps>
        </Mod>
        <Mod>
          <ModProps>
            <MVS>14.0.5.0</MVS>
            <RAV/>
            <RXV>0</RXV>
            <FV>3</FV>
            <MT>0</MT>
            <SCT>-1</SCT>
            <P><![CDATA[Oth_Exp]]></P>
            <OI>880</OI>
            <MN>0</MN>
            <MAG>E72A3FD0-52CB-410C-9CE7-3A25AE62CEAD</MAG>
            <BN><![CDATA[Other Expenses]]></BN>
            <N><![CDATA[Other Expenses]]></N>
            <TS><![CDATA[Monthly]]></TS>
            <D><![CDATA[Calculates other expenses for a number of other expenses categories over a number of time series periods.]]></D>
            <FS><![CDATA[Allows for a separate module for each other expenses category to facilitate variable drivers functionalities.]]></FS>
            <R><![CDATA[Any]]></R>
            <GE><![CDATA[Other Expenses]]></GE>
            <CA><![CDATA[Variable Drivers]]></CA>
            <VA><![CDATA[Single Component]]></VA>
            <GST><![CDATA[None]]></GST>
            <DE><![CDATA[Modano]]></DE>
            <E><![CDATA[info@modano.com]]></E>
            <C><![CDATA[Modano]]></C>
            <W><![CDATA[www.modano.com]]></W>
            <K/>
            <CO/>
            <V>11.0.1.0.</V>
            <AX>2</AX>
            <SX/>
            <PMLO>False</PMLO>
            <IPMLO>False</IPMLO>
            <MACA>0</MACA>
            <HP>False</HP>
            <DR>False</DR>
            <RTSM>True</RTSM>
            <CC>True</CC>
            <X>False</X>
            <G>59736810-26FF-4FCE-8887-2BFBF8825917</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s>
          <ElmtsGrps>
            <ElmtsGrp>
              <ElmtsGrpProps>
                <NU>1</NU>
                <NA><![CDATA[Other Expenses]]></NA>
                <EGT>0</EGT>
                <DCC>6</DCC>
                <AST>False</AST>
                <ISTH>True</ISTH>
                <PTMCN>0</PTMCN>
                <PTBN>0</PTBN>
                <PTBI>0</PTBI>
                <GLN/>
                <CLOT>0</CLOT>
                <CLIT>0</CLIT>
                <PMLO>0</PMLO>
                <IPMLO>0</IPMLO>
              </ElmtsGrpProps>
            </ElmtsGrp>
          </ElmtsGrps>
          <ModComps>
            <ModComp>
              <ModCompProps>
                <MN>31</MN>
                <MCN>1</MCN>
                <MCTK>BaseCase</MCTK>
                <RT><![CDATA[<ModuleName> - Top]]></RT>
                <ERN>MODMC107</ERN>
                <MCST>1</MCST>
                <IPMC>False</IPMC>
                <SN>10</SN>
                <LODS>False</LODS>
                <LST>False</LST>
                <RSTF>False</RSTF>
                <STRA>0</STRA>
                <HS>False</HS>
                <IBOA>0</IBOA>
                <IB>True</IB>
                <CI><![CDATA[Other Operating Expenditure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27</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31</MN>
                <MCN>2</MCN>
                <MCTK>BaseCase</MCTK>
                <RT><![CDATA[<ModuleName> - Middle]]></RT>
                <ERN>MODMC108</ERN>
                <MCST>1</MCST>
                <IPMC>False</IPMC>
                <SN>10</SN>
                <LODS>False</LODS>
                <LST>False</LST>
                <RSTF>False</RSTF>
                <STRA>0</STRA>
                <HS>False</HS>
                <IBOA>0</IBOA>
                <IB>True</IB>
                <CI><![CDATA[Other Operating Expenditure Outputs]]></CI>
                <PTI/>
                <PTP>False</PTP>
                <PTD><![CDATA[Monthly time series periods.]]></PTD>
                <PTMCN>4</PTMCN>
                <CROL>0</CROL>
                <CCOL>0</CCOL>
                <AMFN>0</AMFN>
              </ModCompProps>
              <Sects>
                <Sect>
                  <SectProps>
                    <LI>2,1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1,0,1,4,1,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31</MN>
                <MCN>3</MCN>
                <MCTK>BaseCase</MCTK>
                <RT><![CDATA[<ModuleName> - Bottom]]></RT>
                <ERN>MODMC109</ERN>
                <MCST>1</MCST>
                <IPMC>False</IPMC>
                <SN>10</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2,2,1,-1,0,0,TRUE,FALSE,1,1,2,1,-1,0,0,TRUE,FALSE§Z¿)=2,0,SUM(OFFSET(§A¿0,2,0,1,2,2,1,-1,0,0,TRUE,FALSE§Z¿,1,0,ROWS(§A¿0,2|3,1,1,2,2,1,-1,0,0,TRUE,FALSE,1,1,2,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3,1,4,1,1</CBPLI>
                                    <ELN>1</ELN>
                                    <FFF><![CDATA[=§A¿10,FALSE,0,1,0,FALSE§Z¿]]></FFF>
                                  </LnkInFormProps>
                                </LnkInForm>
                              </LnkInForms>
                            </ClmnBlkPt>
                            <ClmnBlkPt>
                              <ClmnBlkPtProps>
                                <CBPT>1</CBPT>
                                <ST>6</ST>
                                <VOFFF><![CDATA[=§A¿0,3,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31</MN>
                                  <CLI>3,1,4,False,1</CLI>
                                  <ELN>1</ELN>
                                  <LOOT>2</LOOT>
                                  <LOMN>32</LOMN>
                                  <LOMCN>2</LOMCN>
                                  <LOSN>1</LOSN>
                                  <LOEN>1</LOEN>
                                  <LOCN>0</LOCN>
                                </LnkInProps>
                              </LnkIn>
                            </Ctg>
                          </Ctgs>
                        </SubTtl>
                      </SubTtls>
                      <TtlCtg>
                        <TtlCtgProps>
                          <R>4</R>
                        </TtlCtgProps>
                      </TtlCtg>
                      <ElmtLnksOut>
                        <ElmtLnk>
                          <ElmtLnkProps>
                            <ELI>3,1,4</ELI>
                            <ELN>1</ELN>
                            <ELGN>1</ELGN>
                            <MLG>070A3ADD-0FB1-4CC9-BDBB-B89F34486725</MLG>
                            <ICBI>1,2</ICBI>
                            <ILBN>1,2</ILBN>
                            <LIBN>0</LIBN>
                          </ElmtLnkProps>
                        </ElmtLnk>
                      </ElmtLnksOut>
                      <ElmtLnksIn>
                        <ElmtLnk>
                          <ElmtLnkProps>
                            <ELI>3,1,4</ELI>
                            <ELN>1</ELN>
                            <ELGN>1</ELGN>
                            <MLG>1AB8EC1E-1B02-4982-9720-3C2FB1DC056A</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4,1,1,-1,0,0,FALSE,FALSE§Z¿&" - Cash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3,0,1,4,2,6,-1,0,0,FALSE,FALSE§Z¿]]></VOFFF>
                              </ClmnBlkPtProps>
                            </ClmnBlkPt>
                          </ClmnBlkPts>
                        </ClmnBlk>
                      </ClmnBlks>
                      <TtlCtg>
                        <TtlCtgProps>
                          <R>4</R>
                        </TtlCtgProps>
                      </TtlCtg>
                      <ElmtLnksOut>
                        <ElmtLnk>
                          <ElmtLnkProps>
                            <ELI>3,1,6</ELI>
                            <ELN>1</ELN>
                            <ELGN>2</ELGN>
                            <MLG>EF4EE76F-B164-4D01-8D44-CBA0C0043068</MLG>
                            <ICBI>1,2</ICBI>
                            <ILBN>1,2</ILBN>
                            <LIBN>0</LIBN>
                          </ElmtLnkProps>
                        </ElmtLnk>
                      </ElmtLnksOut>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3,0,1,1,2,1,-1,0,0,FALSE,FALSE§Z¿-§A¿0,3,0,1,4,2,6,-1,0,0,FALSE,FALSE§Z¿),1,0)]]></VOFFF>
                              </ClmnBlkPtProps>
                              <FmtCnds>
                                <FmtCnd>
                                  <FmtCndProps>
                                    <CBPLI>3,1,8,2,1</CBPLI>
                                    <FCN>1</FCN>
                                    <FCT>1</FCT>
                                    <FCO>4</FCO>
                                    <F1FFF><![CDATA[=0]]></F1FFF>
                                    <F2FFF/>
                                    <SIT>False</SIT>
                                    <BSV>True</BSV>
                                    <BCT>0</BCT>
                                    <CNBCN>0</CNBCN>
                                    <BTAS>0</BTAS>
                                    <IST>1</IST>
                                    <RO>False</RO>
                                    <SIO>False</SIO>
                                    <TO>0</TO>
                                    <TS/>
                                    <DO>1</DO>
                                    <TB>1</TB>
                                    <R>10</R>
                                    <P>False</P>
                                    <AB>0</AB>
                                    <NSD>1</NSD>
                                    <DU>1</DU>
                                    <INF>False</INF>
                                    <NT>0</NT>
                                    <DP>0</DP>
                                    <CNF/>
                                  </FmtCndProps>
                                  <FntOvly>
                                    <FntOvlyProps>
                                      <PT>2</PT>
                                      <SON>0</SON>
                                      <CBPLI>3,1,8,2,1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3,0,1,8,2,1,-1,0,0,FALSE,FALSE§Z¿<>0,0,IF(ROUND(§A¿0,3,0,1,1,2,1,-1,0,0,FALSE,FALSE§Z¿-§A¿0,3,0,1,4,2,6,-1,0,0,FALSE,FALSE§Z¿,5)<>0,1,0))]]></VOFFF>
                              </ClmnBlkPtProps>
                              <FmtCnds>
                                <FmtCnd>
                                  <FmtCndProps>
                                    <CBPLI>3,1,9,2,1</CBPLI>
                                    <FCN>1</FCN>
                                    <FCT>1</FCT>
                                    <FCO>4</FCO>
                                    <F1FFF><![CDATA[=0]]></F1FFF>
                                    <F2FFF/>
                                    <SIT>False</SIT>
                                    <BSV>True</BSV>
                                    <BCT>0</BCT>
                                    <CNBCN>0</CNBCN>
                                    <BTAS>0</BTAS>
                                    <IST>1</IST>
                                    <RO>False</RO>
                                    <SIO>False</SIO>
                                    <TO>0</TO>
                                    <TS/>
                                    <DO>1</DO>
                                    <TB>1</TB>
                                    <R>10</R>
                                    <P>False</P>
                                    <AB>0</AB>
                                    <NSD>1</NSD>
                                    <DU>1</DU>
                                    <INF>False</INF>
                                    <NT>0</NT>
                                    <DP>0</DP>
                                    <CNF/>
                                  </FmtCndProps>
                                  <FntOvly>
                                    <FntOvlyProps>
                                      <PT>2</PT>
                                      <SON>0</SON>
                                      <CBPLI>3,1,9,2,1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A¿0,3,1,1,10,3,1,-1,0,0,FALSE,FALSE,1,10,3,1,-1,1,0,FALSE,FALSE§Z¿)),1,MIN(SUM(§A¿0,3,1,1,10,3,1,-1,0,0,FALSE,FALSE,1,10,3,1,-1,1,0,FALSE,FALSE§Z¿),1))]]></VOFFF>
                              </ClmnBlkPtProps>
                              <Chk>
                                <ChkProps>
                                  <CBPLI>3,1,10,2,1</CBPLI>
                                  <CT>0</CT>
                                  <CN>24</CN>
                                  <HST>1</HST>
                                  <CHT/>
                                  <HCBPLI>1,1,2,1,1</HCBPLI>
                                </ChkProps>
                              </Chk>
                              <Cmts>
                                <Cmt>
                                  <CmtProps>
                                    <CBPLI>3,1,10,2,1</CBPLI>
                                    <WRN>1</WRN>
                                    <ERT>5</ERT>
                                    <COSTN>0</COSTN>
                                    <OC>0</OC>
                                    <HT><![CDATA[Error Check]]></HT>
                                    <HFS>0</HFS>
                                    <BT><![CDATA[Flags the existence of errors.]]></BT>
                                    <BFS>0</BFS>
                                    <H>103</H>
                                    <W>128</W>
                                  </CmtProps>
                                </Cmt>
                              </Cmts>
                              <FmtCnds>
                                <FmtCnd>
                                  <FmtCndProps>
                                    <CBPLI>3,1,10,2,1</CBPLI>
                                    <FCN>1</FCN>
                                    <FCT>1</FCT>
                                    <FCO>4</FCO>
                                    <F1FFF><![CDATA[=0]]></F1FFF>
                                    <F2FFF/>
                                    <SIT>False</SIT>
                                    <BSV>True</BSV>
                                    <BCT>0</BCT>
                                    <CNBCN>0</CNBCN>
                                    <BTAS>0</BTAS>
                                    <IST>1</IST>
                                    <RO>False</RO>
                                    <SIO>False</SIO>
                                    <TO>0</TO>
                                    <TS/>
                                    <DO>1</DO>
                                    <TB>1</TB>
                                    <R>10</R>
                                    <P>False</P>
                                    <AB>0</AB>
                                    <NSD>1</NSD>
                                    <DU>1</DU>
                                    <INF>False</INF>
                                    <NT>0</NT>
                                    <DP>0</DP>
                                    <CNF/>
                                  </FmtCndProps>
                                  <FntOvly>
                                    <FntOvlyProps>
                                      <PT>2</PT>
                                      <SON>0</SON>
                                      <CBPLI>3,1,10,2,1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3,1,1,8,2,1,-1,0,0,FALSE,FALSE,1,9,2,1,-1,0,0,FALSE,FALSE§Z¿),1)]]></VOFFF>
                              </ClmnBlkPtProps>
                              <FmtCnds>
                                <FmtCnd>
                                  <FmtCndProps>
                                    <CBPLI>3,1,10,3,1</CBPLI>
                                    <FCN>1</FCN>
                                    <FCT>1</FCT>
                                    <FCO>4</FCO>
                                    <F1FFF><![CDATA[=0]]></F1FFF>
                                    <F2FFF/>
                                    <SIT>False</SIT>
                                    <BSV>True</BSV>
                                    <BCT>0</BCT>
                                    <CNBCN>0</CNBCN>
                                    <BTAS>0</BTAS>
                                    <IST>1</IST>
                                    <RO>False</RO>
                                    <SIO>False</SIO>
                                    <TO>0</TO>
                                    <TS/>
                                    <DO>1</DO>
                                    <TB>1</TB>
                                    <R>10</R>
                                    <P>False</P>
                                    <AB>0</AB>
                                    <NSD>1</NSD>
                                    <DU>1</DU>
                                    <INF>False</INF>
                                    <NT>0</NT>
                                    <DP>0</DP>
                                    <CNF/>
                                  </FmtCndProps>
                                  <FntOvly>
                                    <FntOvlyProps>
                                      <PT>2</PT>
                                      <SON>0</SON>
                                      <CBPLI>3,1,10,3,1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3,1,1,11,3,1,-1,0,0,FALSE,FALSE,1,11,3,1,-1,1,0,FALSE,FALSE§Z¿)),1,MIN(SUM(§A¿0,3,1,1,11,3,1,-1,0,0,FALSE,FALSE,1,11,3,1,-1,1,0,FALSE,FALSE§Z¿),1))]]></VOFFF>
                              </ClmnBlkPtProps>
                              <Chk>
                                <ChkProps>
                                  <CBPLI>3,1,11,2,1</CBPLI>
                                  <CT>2</CT>
                                  <CN>15</CN>
                                  <HST>1</HST>
                                  <CHT/>
                                  <HCBPLI>1,1,2,1,1</HCBPLI>
                                </ChkProps>
                              </Chk>
                              <Cmts>
                                <Cmt>
                                  <CmtProps>
                                    <CBPLI>3,1,11,2,1</CBPLI>
                                    <WRN>1</WRN>
                                    <ERT>5</ERT>
                                    <COSTN>0</COSTN>
                                    <OC>0</OC>
                                    <HT><![CDATA[Alert Check]]></HT>
                                    <HFS>0</HFS>
                                    <BT><![CDATA[Flags the occurrence of designated events.]]></BT>
                                    <BFS>0</BFS>
                                    <H>80</H>
                                    <W>128</W>
                                  </CmtProps>
                                </Cmt>
                              </Cmt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0,3,1,-1,0,0,FALSE,FALSE§Z¿=1,0,IF(MIN(§A¿0,3,1,1,4,2,1,1,0,0,FALSE,FALSE,1,4,2,1,2,0,0,FALSE,FALSE§Z¿)<0,1,0))]]></VOFFF>
                              </ClmnBlkPtProps>
                              <FmtCnds>
                                <FmtCnd>
                                  <FmtCndProps>
                                    <CBPLI>3,1,11,3,1</CBPLI>
                                    <FCN>1</FCN>
                                    <FCT>1</FCT>
                                    <FCO>4</FCO>
                                    <F1FFF><![CDATA[=0]]></F1FFF>
                                    <F2FFF/>
                                    <SIT>False</SIT>
                                    <BSV>True</BSV>
                                    <BCT>0</BCT>
                                    <CNBCN>0</CNBCN>
                                    <BTAS>0</BTAS>
                                    <IST>1</IST>
                                    <RO>False</RO>
                                    <SIO>False</SIO>
                                    <TO>0</TO>
                                    <TS/>
                                    <DO>1</DO>
                                    <TB>1</TB>
                                    <R>10</R>
                                    <P>False</P>
                                    <AB>0</AB>
                                    <NSD>1</NSD>
                                    <DU>1</DU>
                                    <INF>False</INF>
                                    <NT>0</NT>
                                    <DP>0</DP>
                                    <CNF/>
                                  </FmtCndProps>
                                  <FntOvly>
                                    <FntOvlyProps>
                                      <PT>2</PT>
                                      <SON>0</SON>
                                      <CBPLI>3,1,11,3,1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th_Exp_Cat]]></P>
            <OI>890</OI>
            <MN>3</MN>
            <MAG>E72A3FD0-52CB-410C-9CE7-3A25AE62CEAD</MAG>
            <BN><![CDATA[Other Expenses Category]]></BN>
            <N><![CDATA[Other Expenses - Other Expenses Category]]></N>
            <TS><![CDATA[Monthly]]></TS>
            <D><![CDATA[Calculates other expenses for a single other expenses category over a number of time series periods.]]></D>
            <FS><![CDATA[Collects other expenses assumptions as amounts for each time series period.]]></FS>
            <R><![CDATA[Any]]></R>
            <GE><![CDATA[Other Expenses Category]]></GE>
            <CA><![CDATA[Amounts]]></CA>
            <VA><![CDATA[Single Component]]></VA>
            <GST><![CDATA[None]]></GST>
            <DE><![CDATA[Modano]]></DE>
            <E><![CDATA[info@modano.com]]></E>
            <C><![CDATA[Modano]]></C>
            <W><![CDATA[www.modano.com]]></W>
            <K/>
            <CO/>
            <V>11.0.1.0.</V>
            <AX>2</AX>
            <SX/>
            <PMLO>False</PMLO>
            <IPMLO>False</IPMLO>
            <MACA>1</MACA>
            <HP>True</HP>
            <DR>True</DR>
            <RTSM>True</RTSM>
            <CC>False</CC>
            <X>False</X>
            <G>746D1641-5308-4AE8-8DE9-F2D7AB834832</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s>
          <TrigCbps>
            <TrigCbp>
              <TrigCbpProps>
                <LI>2,1,1,1,1</LI>
                <TT>2</TT>
                <RLI/>
                <R2LI/>
                <TS/>
                <OT>0</OT>
                <FO>0</FO>
              </TrigCbpProps>
            </TrigCbp>
          </TrigCbps>
          <ModComps>
            <ModComp>
              <ModCompProps>
                <MN>32</MN>
                <MCN>1</MCN>
                <MCTK>BaseCase</MCTK>
                <RT><![CDATA[<ModuleName> - Assumptions]]></RT>
                <ERN>MODMC114</ERN>
                <MCST>1</MCST>
                <IPMC>False</IPMC>
                <SN>10</SN>
                <LODS>False</LODS>
                <LST>False</LST>
                <RSTF>False</RSTF>
                <STRA>0</STRA>
                <HS>False</HS>
                <IBOA>0</IBOA>
                <IB>True</IB>
                <CI><![CDATA[Other Operating Expenditure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32</MN>
                <MCN>2</MCN>
                <MCTK>BaseCase</MCTK>
                <RT><![CDATA[<ModuleName> - Outputs]]></RT>
                <ERN>MODMC115</ERN>
                <MCST>1</MCST>
                <IPMC>False</IPMC>
                <SN>10</SN>
                <LODS>False</LODS>
                <LST>False</LST>
                <RSTF>False</RSTF>
                <STRA>0</STRA>
                <HS>False</HS>
                <IBOA>0</IBOA>
                <IB>True</IB>
                <CI><![CDATA[Other Operating Expenditure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1,-1,0,0,FALSE,FALSE§Z¿]]></VOFFF>
                              </ClmnBlkPtProps>
                            </ClmnBlkPt>
                          </ClmnBlkPts>
                        </ClmnBlk>
                      </ClmnBlks>
                      <TtlCtg>
                        <TtlCtgProps>
                          <R>1</R>
                        </TtlCtgProps>
                      </TtlCtg>
                      <ElmtLnksOut>
                        <ElmtLnk>
                          <ElmtLnkProps>
                            <ELI>2,1,1</ELI>
                            <ELN>1</ELN>
                            <ELGN>1</ELGN>
                            <MLG>1AB8EC1E-1B02-4982-9720-3C2FB1DC056A</MLG>
                            <ICBI>1,2</ICBI>
                            <ILBN>1,2</ILBN>
                            <LIBN>0</LIBN>
                          </ElmtLnkProps>
                        </ElmtLnk>
                      </ElmtLnksOut>
                    </Elmt>
                  </Elmts>
                </Sect>
              </Sects>
            </ModComp>
          </ModComps>
        </Mod>
        <Mod>
          <ModProps>
            <MVS>14.0.5.0</MVS>
            <RAV/>
            <RXV>0</RXV>
            <FV>3</FV>
            <MT>0</MT>
            <SCT>-1</SCT>
            <P><![CDATA[Debtors]]></P>
            <OI>100</OI>
            <MN>0</MN>
            <MAG>AE1B75D9-5A46-40DB-A8A0-11F841A50A57</MAG>
            <BN><![CDATA[Debtors]]></BN>
            <N><![CDATA[Debtors]]></N>
            <TS><![CDATA[Monthly]]></TS>
            <D><![CDATA[Calculates debtors balances for a number of debtors categories over a number of time series periods.]]></D>
            <FS><![CDATA[Collects cash receipt delay assumptions for each debtors category for each time series period.&#10;Revenue amounts (including VAT) are then either assumed or linked in before being used to calculate debtors closing balances based on these cash receipt delay assumptions.]]></FS>
            <R><![CDATA[United Kingdom]]></R>
            <GE><![CDATA[Debtors]]></GE>
            <CA><![CDATA[Days Terms]]></CA>
            <VA><![CDATA[Single Component]]></VA>
            <GST><![CDATA[VAT]]></GST>
            <DE><![CDATA[Modano]]></DE>
            <E><![CDATA[info@modano.com]]></E>
            <C><![CDATA[Modano]]></C>
            <W><![CDATA[www.modano.com]]></W>
            <K/>
            <CO/>
            <V>10.10.2.0.</V>
            <AX>2</AX>
            <SX/>
            <PMLO>False</PMLO>
            <IPMLO>False</IPMLO>
            <MACA>0</MACA>
            <HP>False</HP>
            <DR>False</DR>
            <RTSM>True</RTSM>
            <CC>True</CC>
            <X>False</X>
            <G>AE313D9E-550C-4127-95B8-D48284243CF5</G>
          </ModProps>
          <RowStgs>
            <RowStg>
              <RowStgProps>
                <RSN>1</RSN>
                <RHST>0</RHST>
                <HS>0</HS>
                <OL>3</OL>
                <RH>False</RH>
              </RowStgProps>
            </RowStg>
            <RowStg>
              <RowStgProps>
                <RSN>2</RSN>
                <RHST>1</RHST>
                <HS>50</HS>
                <OL>3</OL>
                <RH>False</RH>
              </RowStgProps>
            </RowStg>
            <RowStg>
              <RowStgProps>
                <RSN>3</RSN>
                <RHST>0</RHST>
                <HS>100</HS>
                <OL>2</OL>
                <RH>False</RH>
              </RowStgProps>
            </RowStg>
            <RowStg>
              <RowStgProps>
                <RSN>4</RSN>
                <RHST>1</RHST>
                <HS>50</HS>
                <OL>2</OL>
                <RH>False</RH>
              </RowStgProps>
            </RowStg>
            <RowStg>
              <RowStgProps>
                <RSN>5</RSN>
                <RHST>0</RHST>
                <HS>0</HS>
                <OL>3</OL>
                <RH>True</RH>
              </RowStgProps>
            </RowStg>
          </RowStgs>
          <StlOvlys>
            <StlOvly>
              <StlOvlyProps>
                <SON>1</SON>
              </StlOvlyProps>
              <BdrOvlys>
                <BdrOvly>
                  <BdrOvlyProps>
                    <PT>1</PT>
                    <SON>1</SON>
                    <CBPLI/>
                    <FCN>0</FCN>
                    <I>True</I>
                    <BI>9</BI>
                    <LS>1</LS>
                    <W>2</W>
                  </BdrOvlyProps>
                </BdrOvly>
              </BdrOvlys>
            </StlOvly>
            <StlOvly>
              <StlOvlyProps>
                <SON>2</SON>
                <INF>True</INF>
                <NT>0</NT>
                <DP>0</DP>
                <CNF/>
              </StlOvlyProps>
            </StlOvly>
            <StlOvly>
              <StlOvlyProps>
                <SON>3</SON>
                <INF>True</INF>
                <NT>0</NT>
                <DP>0</DP>
                <CNF/>
              </StlOvlyProps>
              <BdrOvlys>
                <BdrOvly>
                  <BdrOvlyProps>
                    <PT>1</PT>
                    <SON>3</SON>
                    <CBPLI/>
                    <FCN>0</FCN>
                    <I>True</I>
                    <BI>9</BI>
                    <LS>-4115</LS>
                    <W>2</W>
                  </BdrOvlyProps>
                </BdrOvly>
              </BdrOvlys>
            </StlOvly>
            <StlOvly>
              <StlOvlyProps>
                <SON>4</SON>
                <INF>True</INF>
                <NT>0</NT>
                <DP>0</DP>
                <CNF><![CDATA[_(#,##0.0_);(#,##0.0);_-"-"_-]]></CNF>
              </StlOvlyProps>
            </StlOvly>
            <StlOvly>
              <StlOvlyProps>
                <SON>5</SON>
                <INF>True</INF>
                <NT>0</NT>
                <DP>0</DP>
                <CNF><![CDATA[_(#,##0.0_);(#,##0.0);_-"-"_-]]></CNF>
              </StlOvlyProps>
              <FntOvly>
                <FntOvlyProps>
                  <PT>1</PT>
                  <SON>5</SON>
                  <CBPLI>0,0,0,0,0</CBPLI>
                  <FCN>0</FCN>
                  <CN>0</CN>
                  <IB>True</IB>
                  <B>True</B>
                </FntOvlyProps>
              </FntOvly>
              <BdrOvlys>
                <BdrOvly>
                  <BdrOvlyProps>
                    <PT>1</PT>
                    <SON>5</SON>
                    <CBPLI/>
                    <FCN>0</FCN>
                    <I>True</I>
                    <BI>10</BI>
                    <LS>1</LS>
                    <W>2</W>
                  </BdrOvlyProps>
                </BdrOvly>
              </BdrOvlys>
            </StlOvly>
            <StlOvly>
              <StlOvlyProps>
                <SON>6</SON>
              </StlOvlyProps>
              <FntOvly>
                <FntOvlyProps>
                  <PT>1</PT>
                  <SON>6</SON>
                  <CBPLI>0,0,0,0,0</CBPLI>
                  <FCN>0</FCN>
                  <CN>0</CN>
                  <IB>True</IB>
                  <B>True</B>
                </FntOvlyProps>
              </FntOvly>
            </StlOvly>
            <StlOvly>
              <StlOvlyProps>
                <SON>7</SON>
              </StlOvlyProps>
              <BdrOvlys>
                <BdrOvly>
                  <BdrOvlyProps>
                    <PT>1</PT>
                    <SON>7</SON>
                    <CBPLI/>
                    <FCN>0</FCN>
                    <I>True</I>
                    <BI>9</BI>
                    <LS>-4115</LS>
                    <W>2</W>
                  </BdrOvlyProps>
                </BdrOvly>
              </BdrOvlys>
            </StlOvly>
            <StlOvly>
              <StlOvlyProps>
                <SON>8</SON>
              </StlOvlyProps>
              <FntOvly>
                <FntOvlyProps>
                  <PT>1</PT>
                  <SON>8</SON>
                  <CBPLI>0,0,0,0,0</CBPLI>
                  <FCN>0</FCN>
                  <CN>0</CN>
                  <IB>True</IB>
                  <B>True</B>
                </FntOvlyProps>
              </FntOvly>
              <BdrOvlys>
                <BdrOvly>
                  <BdrOvlyProps>
                    <PT>1</PT>
                    <SON>8</SON>
                    <CBPLI/>
                    <FCN>0</FCN>
                    <I>True</I>
                    <BI>8</BI>
                    <LS>1</LS>
                    <W>2</W>
                  </BdrOvlyProps>
                </BdrOvly>
              </BdrOvlys>
            </StlOvly>
            <StlOvly>
              <StlOvlyProps>
                <SON>9</SON>
              </StlOvlyProps>
              <FntOvly>
                <FntOvlyProps>
                  <PT>1</PT>
                  <SON>9</SON>
                  <CBPLI>0,0,0,0,0</CBPLI>
                  <FCN>0</FCN>
                  <CN>0</CN>
                  <IC>True</IC>
                  <CT>-2</CT>
                  <CNU>0</CNU>
                  <CPR>0</CPR>
                  <TAS>0</TAS>
                </FntOvlyProps>
              </FntOvly>
            </StlOvly>
            <StlOvly>
              <StlOvlyProps>
                <SON>10</SON>
                <INF>True</INF>
                <NT>0</NT>
                <DP>0</DP>
                <CNF/>
              </StlOvlyProps>
              <BdrOvlys>
                <BdrOvly>
                  <BdrOvlyProps>
                    <PT>1</PT>
                    <SON>10</SON>
                    <CBPLI/>
                    <FCN>0</FCN>
                    <I>True</I>
                    <BI>8</BI>
                    <LS>-4115</LS>
                    <W>2</W>
                  </BdrOvlyProps>
                </BdrOvly>
              </BdrOvlys>
            </StlOvly>
            <StlOvly>
              <StlOvlyProps>
                <SON>11</SON>
                <INF>True</INF>
                <NT>0</NT>
                <DP>0</DP>
                <CNF/>
              </StlOvlyProps>
              <BdrOvlys>
                <BdrOvly>
                  <BdrOvlyProps>
                    <PT>1</PT>
                    <SON>11</SON>
                    <CBPLI/>
                    <FCN>0</FCN>
                    <I>True</I>
                    <BI>10</BI>
                    <LS>1</LS>
                    <W>2</W>
                  </BdrOvlyProps>
                </BdrOvly>
              </BdrOvlys>
            </StlOvly>
            <StlOvly>
              <StlOvlyProps>
                <SON>12</SON>
                <INF>True</INF>
                <NT>1</NT>
                <DP>2</DP>
                <CNF/>
              </StlOvlyProps>
              <BdrOvlys>
                <BdrOvly>
                  <BdrOvlyProps>
                    <PT>1</PT>
                    <SON>12</SON>
                    <CBPLI/>
                    <FCN>0</FCN>
                    <I>True</I>
                    <BI>8</BI>
                    <LS>-4115</LS>
                    <W>2</W>
                  </BdrOvlyProps>
                </BdrOvly>
              </BdrOvlys>
            </StlOvly>
            <StlOvly>
              <StlOvlyProps>
                <SON>13</SON>
                <IHA>True</IHA>
                <HA>-4108</HA>
              </StlOvlyProps>
            </StlOvly>
          </StlOvlys>
          <ElmtsGrps>
            <ElmtsGrp>
              <ElmtsGrpProps>
                <NU>1</NU>
                <NA><![CDATA[Debtors]]></NA>
                <EGT>0</EGT>
                <DCC>3</DCC>
                <AST>False</AST>
                <ISTH>True</ISTH>
                <PTMCN>0</PTMCN>
                <PTBN>0</PTBN>
                <PTBI>0</PTBI>
                <GLN/>
                <CLOT>0</CLOT>
                <CLIT>0</CLIT>
                <PMLO>0</PMLO>
                <IPMLO>0</IPMLO>
              </ElmtsGrpProps>
            </ElmtsGrp>
            <ElmtsGrp>
              <ElmtsGrpProps>
                <NU>2</NU>
                <NA><![CDATA[Revenue]]></NA>
                <EGT>0</EGT>
                <DCC>6</DCC>
                <AST>False</AST>
                <ISTH>True</ISTH>
                <PTMCN>0</PTMCN>
                <PTBN>0</PTBN>
                <PTBI>0</PTBI>
                <GLN/>
                <CLOT>0</CLOT>
                <CLIT>0</CLIT>
                <PMLO>0</PMLO>
                <IPMLO>0</IPMLO>
              </ElmtsGrpProps>
            </ElmtsGrp>
          </ElmtsGrps>
          <ModComps>
            <ModComp>
              <ModCompProps>
                <MN>33</MN>
                <MCN>1</MCN>
                <MCTK>BaseCase</MCTK>
                <RT><![CDATA[<ModuleName>]]></RT>
                <ERN>MODMC50</ERN>
                <MCST>1</MCST>
                <IPMC>False</IPMC>
                <SN>11</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13</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Revenue Alloc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Revenue (Inc. VAT)]]></VOFFF>
                              </ClmnBlkPtProps>
                            </ClmnBlkPt>
                          </ClmnBlkPts>
                        </ClmnBlk>
                        <ClmnBlk>
                          <ClmnBlkProps>
                            <FCPT>3</FCPT>
                            <FCN>8</FCN>
                            <FCOT>0</FCOT>
                            <FCOC>5</FCOC>
                            <FCPTBMCN>4</FCPTBMCN>
                            <FCPTBN>2</FCPTBN>
                            <LCPT>3</LCPT>
                            <LCN>8</LCN>
                            <LCOT>0</LCOT>
                            <LCOC>5</LCOC>
                            <LCPTBMCN>4</LCPTBMCN>
                            <LCPTBN>2</LCPTBN>
                          </ClmnBlkProps>
                          <ClmnBlkPts>
                            <ClmnBlkPt>
                              <ClmnBlkPtProps>
                                <CBPT>5</CBPT>
                                <ST>5</ST>
                                <VOFFF><![CDATA[Allocation]]></VOFFF>
                              </ClmnBlkPtProps>
                            </ClmnBlkPt>
                          </ClmnBlkPts>
                        </ClmnBlk>
                      </ClmnBlks>
                      <TtlCtg>
                        <TtlCtgProps>
                          <R>3</R>
                        </TtlCtgProps>
                      </TtlCtg>
                    </Elmt>
                    <Elmt>
                      <ElmtProps>
                        <CPT>1</CPT>
                        <TOT>False</TOT>
                        <EGN>2</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1,1,7,1,1</CBPLI>
                                    <ELN>2</ELN>
                                    <FFF><![CDATA[=§A¿10,FALSE,0,1,0,FALSE§Z¿]]></FFF>
                                  </LnkInFormProps>
                                </LnkInForm>
                                <LnkInForm>
                                  <LnkInFormProps>
                                    <CBPLI>1,1,7,1,1</CBPLI>
                                    <ELN>1</ELN>
                                    <FFF><![CDATA[=§A¿10,FALSE,0,1,0,FALSE§Z¿]]></FFF>
                                  </LnkInFormProps>
                                </LnkInForm>
                              </LnkInForms>
                            </ClmnBlkPt>
                            <ClmnBlkPt>
                              <ClmnBlkPtProps>
                                <CBPT>1</CBPT>
                                <ST>6</ST>
                                <MC>True</MC>
                                <VOFFF><![CDATA[=§A¿0,1,0,1,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15</ST>
                                <SON>9</SON>
                                <VOFFF><![CDATA[1]]></VOFFF>
                                <UDAV><![CDATA[1]]></UDAV>
                              </ClmnBlkPtProps>
                              <Vdtn>
                                <VdtnProps>
                                  <CBPLI>1,1,7,2,1</CBPLI>
                                  <ADVT>-1</ADVT>
                                  <VT>1</VT>
                                  <AS>1</AS>
                                  <O>1</O>
                                  <F1FFF><![CDATA[1]]></F1FFF>
                                  <F2FFF><![CDATA[=ROWS(§A¿1,1,2,1,6,0,1,1,1§Z¿)+1]]></F2FFF>
                                  <IB>False</IB>
                                  <ICDD>False</ICDD>
                                  <SI>False</SI>
                                  <IT/>
                                  <IM/>
                                  <SE>True</SE>
                                  <ET><![CDATA[Drop Down Box Cell Link]]></ET>
                                  <EM><![CDATA[The value in a drop down box cell link must be a whole number within the control's lookup range rows.]]></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1,1,7,3,1</CBPLI>
                                  <ADVT>0</ADVT>
                                  <VT>7</VT>
                                </VdtnProps>
                              </Vdtn>
                              <LnkInForms>
                                <LnkInForm>
                                  <LnkInFormProps>
                                    <CBPLI>1,1,7,3,1</CBPLI>
                                    <ELN>2</ELN>
                                    <FFF><![CDATA[=§A¿10,FALSE,0,2,0,FALSE§Z¿]]></FFF>
                                  </LnkInFormProps>
                                </LnkInForm>
                                <LnkInForm>
                                  <LnkInFormProps>
                                    <CBPLI>1,1,7,3,1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Props>
                            <R>1</R>
                          </SubTtlProps>
                          <SubTtlHdgRow>
                            <SubTtlHdgRowProps>
                              <STLI>1,1,7,1</STLI>
                              <R>1</R>
                            </SubTtlHdgRowProps>
                          </SubTtlHdgRow>
                          <TtlSpcrRow>
                            <TtlSpcrRowProps>
                              <RSN>2</RSN>
                            </TtlSpcrRowProps>
                          </TtlSpcrRow>
                          <Ctgs>
                            <Ctg>
                              <CtgProps>
                                <R>3</R>
                              </CtgProps>
                              <ShpNmes>
                                <ShpNme>
                                  <ShpNmeProps>
                                    <ELI>1,1,7</ELI>
                                    <COSTN>1</COSTN>
                                    <ST>1</ST>
                                    <SNPT>5</SNPT>
                                    <N><![CDATA[bpmDropDownDebtors1]]></N>
                                    <SHN>1</SHN>
                                    <SHTN>1</SHTN>
                                  </ShpNmeProps>
                                </ShpNme>
                              </ShpNmes>
                              <LnkIn>
                                <LnkInProps>
                                  <MN>33</MN>
                                  <CLI>1,1,7,False,1</CLI>
                                  <ELN>1</ELN>
                                  <LOOT>0</LOOT>
                                  <LOMN>45</LOMN>
                                  <LOMCN>1</LOMCN>
                                  <LOSN>1</LOSN>
                                  <LOEN>137</LOEN>
                                  <LOCN>1</LOCN>
                                </LnkInProps>
                              </LnkIn>
                            </Ctg>
                            <Ctg>
                              <CtgProps>
                                <R>3</R>
                              </CtgProps>
                              <ShpNmes>
                                <ShpNme>
                                  <ShpNmeProps>
                                    <ELI>1,1,7</ELI>
                                    <COSTN>2</COSTN>
                                    <ST>1</ST>
                                    <SNPT>5</SNPT>
                                    <N><![CDATA[bpmDropDownDebtors8]]></N>
                                    <SHN>1</SHN>
                                    <SHTN>1</SHTN>
                                  </ShpNmeProps>
                                </ShpNme>
                              </ShpNmes>
                              <LnkIn>
                                <LnkInProps>
                                  <MN>33</MN>
                                  <CLI>1,1,7,False,2</CLI>
                                  <ELN>1</ELN>
                                  <LOOT>0</LOOT>
                                  <LOMN>45</LOMN>
                                  <LOMCN>1</LOMCN>
                                  <LOSN>1</LOSN>
                                  <LOEN>137</LOEN>
                                  <LOCN>2</LOCN>
                                </LnkInProps>
                              </LnkIn>
                            </Ctg>
                            <Ctg>
                              <CtgProps>
                                <R>3</R>
                              </CtgProps>
                              <ShpNmes>
                                <ShpNme>
                                  <ShpNmeProps>
                                    <ELI>1,1,7</ELI>
                                    <COSTN>3</COSTN>
                                    <ST>1</ST>
                                    <SNPT>5</SNPT>
                                    <N><![CDATA[bpmDropDownDebtors9]]></N>
                                    <SHN>1</SHN>
                                    <SHTN>1</SHTN>
                                  </ShpNmeProps>
                                </ShpNme>
                              </ShpNmes>
                              <LnkIn>
                                <LnkInProps>
                                  <MN>33</MN>
                                  <CLI>1,1,7,False,3</CLI>
                                  <ELN>1</ELN>
                                  <LOOT>0</LOOT>
                                  <LOMN>45</LOMN>
                                  <LOMCN>1</LOMCN>
                                  <LOSN>1</LOSN>
                                  <LOEN>137</LOEN>
                                  <LOCN>3</LOCN>
                                </LnkInProps>
                              </LnkIn>
                            </Ctg>
                            <Ctg>
                              <CtgProps>
                                <R>3</R>
                              </CtgProps>
                              <ShpNmes>
                                <ShpNme>
                                  <ShpNmeProps>
                                    <ELI>1,1,7</ELI>
                                    <COSTN>4</COSTN>
                                    <ST>1</ST>
                                    <SNPT>5</SNPT>
                                    <N><![CDATA[bpmDropDownDebtors2]]></N>
                                    <SHN>1</SHN>
                                    <SHTN>1</SHTN>
                                  </ShpNmeProps>
                                </ShpNme>
                              </ShpNmes>
                              <LnkIn>
                                <LnkInProps>
                                  <MN>33</MN>
                                  <CLI>1,1,7,False,4</CLI>
                                  <ELN>1</ELN>
                                  <LOOT>0</LOOT>
                                  <LOMN>45</LOMN>
                                  <LOMCN>1</LOMCN>
                                  <LOSN>1</LOSN>
                                  <LOEN>137</LOEN>
                                  <LOCN>4</LOCN>
                                </LnkInProps>
                              </LnkIn>
                            </Ctg>
                            <Ctg>
                              <CtgProps>
                                <R>3</R>
                              </CtgProps>
                              <ShpNmes>
                                <ShpNme>
                                  <ShpNmeProps>
                                    <ELI>1,1,7</ELI>
                                    <COSTN>5</COSTN>
                                    <ST>1</ST>
                                    <SNPT>5</SNPT>
                                    <N><![CDATA[bpmDropDownDebtors3]]></N>
                                    <SHN>1</SHN>
                                    <SHTN>1</SHTN>
                                  </ShpNmeProps>
                                </ShpNme>
                              </ShpNmes>
                              <LnkIn>
                                <LnkInProps>
                                  <MN>33</MN>
                                  <CLI>1,1,7,False,5</CLI>
                                  <ELN>1</ELN>
                                  <LOOT>0</LOOT>
                                  <LOMN>45</LOMN>
                                  <LOMCN>1</LOMCN>
                                  <LOSN>1</LOSN>
                                  <LOEN>137</LOEN>
                                  <LOCN>5</LOCN>
                                </LnkInProps>
                              </LnkIn>
                            </Ctg>
                            <Ctg>
                              <CtgProps>
                                <R>3</R>
                              </CtgProps>
                              <ShpNmes>
                                <ShpNme>
                                  <ShpNmeProps>
                                    <ELI>1,1,7</ELI>
                                    <COSTN>6</COSTN>
                                    <ST>1</ST>
                                    <SNPT>5</SNPT>
                                    <N><![CDATA[bpmDropDownDebtors4]]></N>
                                    <SHN>1</SHN>
                                    <SHTN>1</SHTN>
                                  </ShpNmeProps>
                                </ShpNme>
                              </ShpNmes>
                              <LnkIn>
                                <LnkInProps>
                                  <MN>33</MN>
                                  <CLI>1,1,7,False,6</CLI>
                                  <ELN>2</ELN>
                                  <LOOT>0</LOOT>
                                  <LOMN>45</LOMN>
                                  <LOMCN>1</LOMCN>
                                  <LOSN>1</LOSN>
                                  <LOEN>140</LOEN>
                                  <LOCN>1</LOCN>
                                </LnkInProps>
                              </LnkIn>
                            </Ctg>
                            <Ctg>
                              <CtgProps>
                                <R>3</R>
                              </CtgProps>
                              <ShpNmes>
                                <ShpNme>
                                  <ShpNmeProps>
                                    <ELI>1,1,7</ELI>
                                    <COSTN>7</COSTN>
                                    <ST>1</ST>
                                    <SNPT>5</SNPT>
                                    <N><![CDATA[bpmDropDownDebtors5]]></N>
                                    <SHN>1</SHN>
                                    <SHTN>1</SHTN>
                                  </ShpNmeProps>
                                </ShpNme>
                              </ShpNmes>
                              <LnkIn>
                                <LnkInProps>
                                  <MN>33</MN>
                                  <CLI>1,1,7,False,7</CLI>
                                  <ELN>2</ELN>
                                  <LOOT>0</LOOT>
                                  <LOMN>45</LOMN>
                                  <LOMCN>1</LOMCN>
                                  <LOSN>1</LOSN>
                                  <LOEN>140</LOEN>
                                  <LOCN>2</LOCN>
                                </LnkInProps>
                              </LnkIn>
                            </Ctg>
                          </Ctgs>
                        </SubTtl>
                      </SubTtls>
                      <TtlCtg>
                        <TtlCtgProps>
                          <R>1</R>
                        </TtlCtgProps>
                        <TtlSpcrRow>
                          <TtlSpcrRowProps>
                            <RSN>2</RSN>
                          </TtlSpcrRowProps>
                        </TtlSpcrRow>
                      </TtlCtg>
                      <ElmtLnksIn>
                        <ElmtLnk>
                          <ElmtLnkProps>
                            <ELI>1,1,7</ELI>
                            <ELN>1</ELN>
                            <ELGN>1</ELGN>
                            <MLG>7340B374-3D3B-4ABB-93D6-52726D4B4F06</MLG>
                            <ICBI>1,3</ICBI>
                            <ILBN/>
                            <LIBN>0</LIBN>
                          </ElmtLnkProps>
                        </ElmtLnk>
                        <ElmtLnk>
                          <ElmtLnkProps>
                            <ELI>1,1,7</ELI>
                            <ELN>2</ELN>
                            <ELGN>1</ELGN>
                            <MLG>0E13DC82-FF30-4EF6-8206-C098351585F4</MLG>
                            <ICBI>1,3</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chedules]]></VOFFF>
                              </ClmnBlkPtProps>
                            </ClmnBlkPt>
                          </ClmnBlkPts>
                        </ClmnBlk>
                        <ClmnBlk>
                          <ClmnBlkProps>
                            <FCPT>3</FCPT>
                            <FCN>3</FCN>
                            <FCOT>0</FCOT>
                            <FCOC>0</FCOC>
                            <FCPTBMCN>4</FCPTBMCN>
                            <FCPTBN>2</FCPTBN>
                            <LCPT>3</LCPT>
                            <LCN>8</LCN>
                            <LCOT>0</LCOT>
                            <LCOC>5</LCOC>
                            <LCPTBMCN>4</LCPTBMCN>
                            <LCPTBN>2</LCPTBN>
                          </ClmnBlkProps>
                          <ClmnBlkPts>
                            <ClmnBlkPt>
                              <ClmnBlkPtProps>
                                <CBPT>5</CBPT>
                                <ST>4</ST>
                                <VOFFF/>
                              </ClmnBlkPtProps>
                            </ClmnBlkPt>
                          </ClmnBlkPts>
                        </ClmnBlk>
                        <ClmnBlk>
                          <ClmnBlkProps>
                            <FCPT>3</FCPT>
                            <FCN>9</FCN>
                            <FCOT>0</FCOT>
                            <FCOC>6</FCOC>
                            <FCPTBMCN>4</FCPTBMCN>
                            <FCPTBN>2</FCPTBN>
                            <LCPT>3</LCPT>
                            <LCN>9</LCN>
                            <LCOT>1</LCOT>
                            <LCOC>0</LCOC>
                            <LCPTBMCN>4</LCPTBMCN>
                            <LCPTBN>2</LCPTBN>
                          </ClmnBlkProps>
                          <ClmnBlkPts>
                            <ClmnBlkPt>
                              <ClmnBlkPtProps>
                                <CBPT>5</CBPT>
                                <ST>4</ST>
                                <SON>13</SON>
                                <VOFFF><![CDATA[Opening]]></VOFFF>
                              </ClmnBlkPtProps>
                            </ClmnBlkPt>
                          </ClmnBlkPts>
                        </ClmnBlk>
                        <ClmnBlk>
                          <ClmnBlkProps>
                            <FCPT>3</FCPT>
                            <FCN>10</FCN>
                            <FCOT>0</FCOT>
                            <FCOC>0</FCOC>
                            <FCPTBMCN>4</FCPTBMCN>
                            <FCPTBN>3</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Timing]]></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ays i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9,4,0,0,1,5,3,1,-1,0,0,TRUE,FALSE§Z¿-§A¿9,4,0,0,1,4,3,1,-1,0,0,TRU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Start Timing]]></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9,4,0,0,1,6,3,1,-1,0,0,TRUE,FALSE§Z¿=1,0,§A¿0,1,0,1,14,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End Timing]]></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13,2,1,-1,0,0,FALSE,FALSE§Z¿+§A¿0,1,0,1,12,2,1,-1,0,0,FALSE,FALSE§Z¿]]></VOFFF>
                              </ClmnBlkPtProps>
                            </ClmnBlkPt>
                          </ClmnBlkPts>
                        </ClmnBlk>
                      </ClmnBlks>
                      <TtlCtg>
                        <TtlCtgProps>
                          <R>1</R>
                        </TtlCtgProps>
                      </TtlCtg>
                    </Elmt>
                  </Elmts>
                </Sect>
                <Sect>
                  <SectProps>
                    <LI>1,2</LI>
                    <EGN>1</EGN>
                  </SectProps>
                  <Elmts>
                    <Elmt>
                      <ElmtProps>
                        <CPT>1</CPT>
                        <TOT>False</TOT>
                        <EGN>1</EGN>
                      </ElmtProps>
                      <SubTtls>
                        <SubTtl>
                          <SubTtlHdgRow>
                            <SubTtlHdgRowProps>
                              <STLI>1,2,1,1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ModuleName> Category <CategoryNumber>]]></VOFFF>
                                <UDAV><![CDATA[Category <CategoryNumber> Name]]></UDAV>
                              </ClmnBlkPtProps>
                              <LnkInForms>
                                <LnkInForm>
                                  <LnkInFormProps>
                                    <CBPLI>1,2,2,1,1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STLI>
                              <R>0</R>
                            </SubTtlHdgRowProps>
                          </SubTtlHdgRow>
                          <Ctgs>
                            <Ctg>
                              <CtgProps>
                                <R>3</R>
                              </CtgProps>
                              <LnkIn>
                                <LnkInProps>
                                  <MN>33</MN>
                                  <CLI>1,2,2,False,1</CLI>
                                  <ELN>1</ELN>
                                  <LOOT>0</LOOT>
                                  <LOMN>3</LOMN>
                                  <LOMCN>1</LOMCN>
                                  <LOSN>1</LOSN>
                                  <LOEN>6</LOEN>
                                  <LOCN>1</LOCN>
                                </LnkInProps>
                              </LnkIn>
                            </Ctg>
                          </Ctgs>
                        </SubTtl>
                      </SubTtls>
                      <TtlCtg/>
                      <ElmtLnksIn>
                        <ElmtLnk>
                          <ElmtLnkProps>
                            <ELI>1,2,2</ELI>
                            <ELN>1</ELN>
                            <ELGN>2</ELGN>
                            <MLG>613A46E0-37FF-4CF1-95B7-FBD4FE1EBED4</MLG>
                            <ICBI>1</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Open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9,4,1,0,1,6,3,1,-1,0,0,TRUE,FALSE§Z¿=1,0,§A¿0,1,0,2,19,2,1,0,0,0,FALSE,FALSE§Z¿)]]></VOFFF>
                              </ClmnBlkPtProps>
                              <LnkInForms>
                                <LnkInForm>
                                  <LnkInFormProps>
                                    <CBPLI>1,2,3,2,1</CBPLI>
                                    <ELN>1</ELN>
                                    <FFF><![CDATA[=IF(§A¿9,4,1,0,1,6,3,1,-1,0,0,TRUE,FALSE§Z¿=1,§A¿10,FALSE,0,2,0,FALSE§Z¿,§A¿0,1,0,2,19,2,1,0,0,0,FALSE,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1,2,3,1</STLI>
                              <R>0</R>
                            </SubTtlHdgRowProps>
                          </SubTtlHdgRow>
                          <Ctgs>
                            <Ctg>
                              <CtgProps>
                                <R>3</R>
                              </CtgProps>
                              <LnkIn>
                                <LnkInProps>
                                  <MN>33</MN>
                                  <CLI>1,2,3,False,1</CLI>
                                  <ELN>1</ELN>
                                  <LOOT>0</LOOT>
                                  <LOMN>3</LOMN>
                                  <LOMCN>1</LOMCN>
                                  <LOSN>1</LOSN>
                                  <LOEN>6</LOEN>
                                  <LOCN>1</LOCN>
                                </LnkInProps>
                              </LnkIn>
                            </Ctg>
                          </Ctgs>
                        </SubTtl>
                      </SubTtls>
                      <TtlCtg/>
                      <ElmtLnksIn>
                        <ElmtLnk>
                          <ElmtLnkProps>
                            <ELI>1,2,3</ELI>
                            <ELN>1</ELN>
                            <ELGN>2</ELGN>
                            <MLG>613A46E0-37FF-4CF1-95B7-FBD4FE1EBED4</MLG>
                            <ICBI>2</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Revenu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0,1,1,1,7,2,1,1,0,0,TRUE,TRUE,1,7,2,1,2,0,0,TRUE,TRUE§Z¿,ROWS(§A¿0,2,1,1,6,1,1,0,0,0,FALSE,TRUE,1,6,1,1,1,0,0,TRUE,TRUE§Z¿)+1,§A¿0,1,1,1,7,3,1,1,0,0,TRUE,FALSE,1,7,3,1,2,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1,2,4,1</STLI>
                              <R>0</R>
                            </SubTtlHdgRowProps>
                          </SubTtlHdgRow>
                          <Ctgs>
                            <Ctg>
                              <CtgProps>
                                <R>3</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Opening Balance Cash Receipts - Profil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12</SON>
                                <VOFFF><![CDATA[=IF(§A¿0,1,0,2,21,2,1,0,0,0,FALSE,TRUE§Z¿=0,0,(MIN(§A¿0,1,0,2,21,2,1,0,0,0,FALSE,TRUE§Z¿,§A¿0,1,0,1,14,3,1,-1,0,0,TRUE,FALSE§Z¿)-MIN(§A¿0,1,0,2,21,2,1,0,0,0,FALSE,TRUE§Z¿,§A¿0,1,0,1,13,2,1,-1,0,0,TRUE,FALSE§Z¿))/§A¿0,1,0,2,21,2,1,0,0,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1,2,5,1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Opening Balance Cash Receip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TRUE§Z¿*§A¿0,1,0,2,5,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1,2,6,1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A¿0,1,0,2,21,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21,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1,2,7,1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Start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1,13,2,1,-1,0,0,TRUE,FALSE§Z¿+§A¿0,1,0,2,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1,2,8,1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End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8,2,1,0,0,0,FALSE,FALSE§Z¿+§A¿0,1,0,1,12,2,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1,2,9,1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1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10</SON>
                                <VOFFF><![CDATA[=IF(§A¿0,1,0,2,8,2,1,0,0,0,FALSE,FALSE§Z¿>MAX(§A¿0,1,1,1,14,3,1,-1,0,0,TRUE,TRUE,1,14,3,1,-1,1,0,TRUE,TRUE§Z¿),0,MATCH(§A¿0,1,0,2,8,2,1,0,0,0,FALSE,FALSE§Z¿,§A¿0,1,1,1,13,2,1,-1,0,0,TRUE,TRUE,1,13,2,1,-1,1,0,TRUE,TRUE§Z¿,1))]]>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1,2,10,1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2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IF(§A¿0,1,0,2,10,2,1,0,0,0,FALSE,FALSE§Z¿<1,0,IF(§A¿0,1,0,2,10,2,1,0,0,0,FALSE,FALSE§Z¿>=COLUMNS(§A¿0,1,1,2,10,2,1,0,0,0,FALSE,TRUE,2,10,2,1,0,1,0,FALSE,TRUE§Z¿),0,§A¿0,1,0,2,10,2,1,0,0,0,FALSE,FALSE§Z¿+1))]]>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1,2,11,1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3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IF(§A¿0,1,0,2,11,2,1,0,0,0,FALSE,FALSE§Z¿<1,0,IF(§A¿0,1,0,2,11,2,1,0,0,0,FALSE,FALSE§Z¿>=COLUMNS(§A¿0,1,1,2,11,2,1,0,0,0,FALSE,TRUE,2,11,2,1,0,1,0,FALSE,TRUE§Z¿),0,§A¿0,1,0,2,11,2,1,0,0,0,FALSE,FALSE§Z¿+1))]]>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1,2,12,1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1 - Cash Receive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0,2,1,0,0,0,FALSE,FALSE§Z¿),§A¿0,1,0,2,9,2,1,0,0,0,FALSE,FALSE§Z¿)-§A¿0,1,0,2,8,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1,2,13,1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2 - Cash Receive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1,2,1,0,0,0,FALSE,FALSE§Z¿),§A¿0,1,0,2,9,2,1,0,0,0,FALSE,FALSE§Z¿)-INDEX(§A¿0,1,1,1,13,2,1,-1,0,0,TRUE,TRUE,1,13,2,1,-1,1,0,TRUE,TRUE§Z¿,§A¿0,1,0,2,11,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1,2,14,1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Receipts Period 3 - Cash Receive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A¿0,1,0,1,12,2,1,-1,0,0,TRUE,FALSE§Z¿*MAX(MIN(INDEX(§A¿0,1,1,1,14,3,1,-1,0,0,TRUE,TRUE,1,14,3,1,-1,1,0,TRUE,TRUE§Z¿,§A¿0,1,0,2,12,2,1,0,0,0,FALSE,FALSE§Z¿),§A¿0,1,0,2,9,2,1,0,0,0,FALSE,FALSE§Z¿)-INDEX(§A¿0,1,1,1,13,2,1,-1,0,0,TRUE,TRUE,1,13,2,1,-1,1,0,TRUE,TRUE§Z¿,§A¿0,1,0,2,12,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1,2,15,1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Periodic Cash Receip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PRODUCT(((§A¿0,1,1,2,10,2,1,0,0,0,FALSE,TRUE,2,12,2,1,0,1,0,FALSE,TRUE§Z¿)=§A¿9,4,0,0,1,6,3,1,-1,0,0,TRUE,FALSE§Z¿)*§A¿0,1,1,2,13,2,1,0,0,0,FALSE,TRUE,2,15,2,1,0,1,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1,2,16,1</STLI>
                              <R>0</R>
                            </SubTtlHdgRowProps>
                          </SubTtlHdgRow>
                          <Ctgs>
                            <Ctg>
                              <CtgProps>
                                <R>5</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Receip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16,2,1,0,0,0,FALSE,FALSE§Z¿+§A¿0,1,0,2,6,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1,2,17,1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crease/(Decrease) in <ModuleGenericNa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4,2,1,0,0,0,FALSE,FALSE§Z¿+§A¿0,1,0,2,1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1,2,18,1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Clos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3,2,1,0,0,0,FALSE,FALSE§Z¿+§A¿0,1,0,2,18,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1,2,19,1</STLI>
                              <R>0</R>
                            </SubTtlHdgRowProps>
                          </SubTtlHdgRow>
                          <Ctgs>
                            <Ctg>
                              <CtgProps>
                                <R>3</R>
                              </CtgProps>
                            </Ctg>
                          </Ctgs>
                        </SubTtl>
                      </SubTtls>
                      <TtlCtg/>
                    </Elmt>
                    <Elmt>
                      <ElmtProps>
                        <CPT>1</CPT>
                        <TOT>False</TOT>
                        <EGN>1</EGN>
                      </ElmtProps>
                      <SubTtls>
                        <SubTtl>
                          <SubTtlHdgRow>
                            <SubTtlHdgRowProps>
                              <STLI>1,2,20,1</STLI>
                              <R>0</R>
                            </SubTtlHdgRowProps>
                          </SubTtlHdgRow>
                          <Ctgs>
                            <Ctg>
                              <CtgProps>
                                <R>4</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Receipt Delay (Day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11</ST>
                                <SON>11</SON>
                                <VOFFF><![CDATA[0]]></VOFFF>
                                <UDAV><![CDATA[0]]></UDAV>
                              </ClmnBlkPtProps>
                              <Vdtn>
                                <VdtnProps>
                                  <CBPLI>1,2,21,2,1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SON>2</SON>
                                <VOFFF><![CDATA[0]]></VOFFF>
                                <UDAV><![CDATA[0]]></UDAV>
                              </ClmnBlkPtProps>
                              <Vdtn>
                                <VdtnProps>
                                  <CBPLI>1,2,21,3,1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1,2,21,1</STLI>
                              <R>0</R>
                            </SubTtlHdgRowProps>
                          </SubTtlHdgRow>
                          <Ctgs>
                            <Ctg>
                              <CtgProps>
                                <R>3</R>
                              </CtgProps>
                            </Ctg>
                          </Ctgs>
                        </SubTtl>
                      </SubTtls>
                      <TtlCtg/>
                    </Elmt>
                  </Elmts>
                </Sect>
                <Sect>
                  <SectProps>
                    <LI>1,3</LI>
                    <EGN>0</EGN>
                  </SectProps>
                  <Elmts>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4,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Open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1,3,4,1</STLI>
                              <R>0</R>
                            </SubTtlHdgRowProps>
                          </SubTtlHdgRow>
                          <Ctgs>
                            <Ctg>
                              <CtgProps>
                                <R>5</R>
                              </CtgProps>
                            </Ctg>
                          </Ctgs>
                        </SubTtl>
                      </SubTtls>
                      <TtlCtg>
                        <TtlCtgProps>
                          <R>3</R>
                        </TtlCtgProps>
                      </TtlCtg>
                      <ElmtLnksOut>
                        <ElmtLnk>
                          <ElmtLnkProps>
                            <ELI>1,3,4</ELI>
                            <ELN>1</ELN>
                            <ELGN>1</ELGN>
                            <MLG>F3F44C8E-DF2A-4895-BFE4-A3EAFBC87135</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6,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Revenue]]></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1,3,6,1</STLI>
                              <R>0</R>
                            </SubTtlHdgRowProps>
                          </SubTtlHdgRow>
                          <Ctgs>
                            <Ctg>
                              <CtgProps>
                                <R>5</R>
                              </CtgProps>
                            </Ctg>
                          </Ctgs>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8,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Cash Receipt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7,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1,3,8,1</STLI>
                              <R>0</R>
                            </SubTtlHdgRowProps>
                          </SubTtlHdgRow>
                          <Ctgs>
                            <Ctg>
                              <CtgProps>
                                <R>5</R>
                              </CtgProps>
                            </Ctg>
                          </Ctgs>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0,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Increase/(Decrease) in <ModuleGeneric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8,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1,3,10,1</STLI>
                              <R>0</R>
                            </SubTtlHdgRowProps>
                          </SubTtlHdgRow>
                          <Ctgs>
                            <Ctg>
                              <CtgProps>
                                <R>5</R>
                              </CtgProps>
                            </Ctg>
                          </Ctgs>
                        </SubTtl>
                      </SubTtls>
                      <TtlCtg>
                        <TtlCtgProps>
                          <R>3</R>
                        </TtlCtgProps>
                      </TtlCtg>
                      <ElmtLnksOut>
                        <ElmtLnk>
                          <ElmtLnkProps>
                            <ELI>1,3,10</ELI>
                            <ELN>1</ELN>
                            <ELGN>1</ELGN>
                            <MLG>08101847-81C9-46BB-922A-14318420A471</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2,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5</ST>
                                <VOFFF><![CDATA[Clos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19,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SubTtlHdgRow>
                            <SubTtlHdgRowProps>
                              <STLI>1,3,12,1</STLI>
                              <R>0</R>
                            </SubTtlHdgRowProps>
                          </SubTtlHdgRow>
                          <Ctgs>
                            <Ctg>
                              <CtgProps>
                                <R>5</R>
                              </CtgProps>
                            </Ctg>
                          </Ctgs>
                        </SubTtl>
                      </SubTtls>
                      <TtlCtg>
                        <TtlCtgProps>
                          <R>3</R>
                        </TtlCtgProps>
                      </TtlCtg>
                      <ElmtLnksOut>
                        <ElmtLnk>
                          <ElmtLnkProps>
                            <ELI>1,3,12</ELI>
                            <ELN>1</ELN>
                            <ELGN>1</ELGN>
                            <MLG>3F839E2D-D053-4E65-97A4-56D9AFC1AAD9</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ISERROR(§A¿0,1,0,3,4,2,6,-1,0,0,FALSE,FALSE§Z¿-§A¿0,1,0,3,10,2,6,-1,0,0,FALSE,FALSE§Z¿-§A¿0,1,0,3,12,2,6,-1,0,0,FALSE,FALSE§Z¿),1,0)]]></VOFFF>
                              </ClmnBlkPtProps>
                              <FmtCnds>
                                <FmtCnd>
                                  <FmtCndProps>
                                    <CBPLI>1,3,14,2,1</CBPLI>
                                    <FCN>1</FCN>
                                    <FCT>1</FCT>
                                    <FCO>4</FCO>
                                    <F1FFF><![CDATA[=0]]></F1FFF>
                                    <F2FFF/>
                                    <SIT>False</SIT>
                                    <BSV>True</BSV>
                                    <BCT>0</BCT>
                                    <CNBCN>0</CNBCN>
                                    <BTAS>0</BTAS>
                                    <IST>1</IST>
                                    <RO>False</RO>
                                    <SIO>False</SIO>
                                    <TO>0</TO>
                                    <TS/>
                                    <DO>1</DO>
                                    <TB>1</TB>
                                    <R>10</R>
                                    <P>False</P>
                                    <AB>0</AB>
                                    <NSD>1</NSD>
                                    <DU>1</DU>
                                    <INF>False</INF>
                                    <NT>0</NT>
                                    <DP>0</DP>
                                    <CNF/>
                                  </FmtCndProps>
                                  <FntOvly>
                                    <FntOvlyProps>
                                      <PT>2</PT>
                                      <SON>0</SON>
                                      <CBPLI>1,3,14,2,1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4,2,1,-1,0,0,FALSE,FALSE§Z¿<>0,0,IF(ROUND(§A¿0,1,0,3,12,2,6,-1,0,0,FALSE,FALSE§Z¿-§A¿0,1,0,3,10,2,6,-1,0,0,FALSE,FALSE§Z¿-§A¿0,1,0,3,4,2,6,-1,0,0,FALSE,FALSE§Z¿,5)<>0,1,0))]]></VOFFF>
                              </ClmnBlkPtProps>
                              <FmtCnds>
                                <FmtCnd>
                                  <FmtCndProps>
                                    <CBPLI>1,3,15,2,1</CBPLI>
                                    <FCN>1</FCN>
                                    <FCT>1</FCT>
                                    <FCO>4</FCO>
                                    <F1FFF><![CDATA[=0]]></F1FFF>
                                    <F2FFF/>
                                    <SIT>False</SIT>
                                    <BSV>True</BSV>
                                    <BCT>0</BCT>
                                    <CNBCN>0</CNBCN>
                                    <BTAS>0</BTAS>
                                    <IST>1</IST>
                                    <RO>False</RO>
                                    <SIO>False</SIO>
                                    <TO>0</TO>
                                    <TS/>
                                    <DO>1</DO>
                                    <TB>1</TB>
                                    <R>10</R>
                                    <P>False</P>
                                    <AB>0</AB>
                                    <NSD>1</NSD>
                                    <DU>1</DU>
                                    <INF>False</INF>
                                    <NT>0</NT>
                                    <DP>0</DP>
                                    <CNF/>
                                  </FmtCndProps>
                                  <FntOvly>
                                    <FntOvlyProps>
                                      <PT>2</PT>
                                      <SON>0</SON>
                                      <CBPLI>1,3,15,2,1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16,3,1,0,0,0,FALSE,FALSE,3,16,3,1,0,1,0,FALSE,FALSE§Z¿)),1,MIN(SUM(§A¿0,1,1,3,16,3,1,0,0,0,FALSE,FALSE,3,16,3,1,0,1,0,FALSE,FALSE§Z¿),1))]]></VOFFF>
                              </ClmnBlkPtProps>
                              <Chk>
                                <ChkProps>
                                  <CBPLI>1,3,16,2,1</CBPLI>
                                  <CT>0</CT>
                                  <CN>8</CN>
                                  <HST>1</HST>
                                  <CHT/>
                                  <HCBPLI>1,1,2,1,1</HCBPLI>
                                </ChkProps>
                              </Chk>
                              <Cmts>
                                <Cmt>
                                  <CmtProps>
                                    <CBPLI>1,3,16,2,1</CBPLI>
                                    <WRN>1</WRN>
                                    <ERT>5</ERT>
                                    <COSTN>0</COSTN>
                                    <OC>0</OC>
                                    <HT><![CDATA[Error Check]]></HT>
                                    <HFS>0</HFS>
                                    <BT><![CDATA[Flags the existence of errors.]]></BT>
                                    <BFS>0</BFS>
                                    <H>423</H>
                                    <W>128</W>
                                  </CmtProps>
                                </Cmt>
                              </Cmts>
                              <FmtCnds>
                                <FmtCnd>
                                  <FmtCndProps>
                                    <CBPLI>1,3,16,2,1</CBPLI>
                                    <FCN>1</FCN>
                                    <FCT>1</FCT>
                                    <FCO>4</FCO>
                                    <F1FFF><![CDATA[=0]]></F1FFF>
                                    <F2FFF/>
                                    <SIT>False</SIT>
                                    <BSV>True</BSV>
                                    <BCT>0</BCT>
                                    <CNBCN>0</CNBCN>
                                    <BTAS>0</BTAS>
                                    <IST>1</IST>
                                    <RO>False</RO>
                                    <SIO>False</SIO>
                                    <TO>0</TO>
                                    <TS/>
                                    <DO>1</DO>
                                    <TB>1</TB>
                                    <R>10</R>
                                    <P>False</P>
                                    <AB>0</AB>
                                    <NSD>1</NSD>
                                    <DU>1</DU>
                                    <INF>False</INF>
                                    <NT>0</NT>
                                    <DP>0</DP>
                                    <CNF/>
                                  </FmtCndProps>
                                  <FntOvly>
                                    <FntOvlyProps>
                                      <PT>2</PT>
                                      <SON>0</SON>
                                      <CBPLI>1,3,16,2,1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1,1,3,14,2,1,-1,0,0,FALSE,FALSE,3,15,2,1,-1,0,0,FALSE,FALSE§Z¿),1)]]></VOFFF>
                              </ClmnBlkPtProps>
                              <FmtCnds>
                                <FmtCnd>
                                  <FmtCndProps>
                                    <CBPLI>1,3,16,3,1</CBPLI>
                                    <FCN>1</FCN>
                                    <FCT>1</FCT>
                                    <FCO>4</FCO>
                                    <F1FFF><![CDATA[=0]]></F1FFF>
                                    <F2FFF/>
                                    <SIT>False</SIT>
                                    <BSV>True</BSV>
                                    <BCT>0</BCT>
                                    <CNBCN>0</CNBCN>
                                    <BTAS>0</BTAS>
                                    <IST>1</IST>
                                    <RO>False</RO>
                                    <SIO>False</SIO>
                                    <TO>0</TO>
                                    <TS/>
                                    <DO>1</DO>
                                    <TB>1</TB>
                                    <R>10</R>
                                    <P>False</P>
                                    <AB>0</AB>
                                    <NSD>1</NSD>
                                    <DU>1</DU>
                                    <INF>False</INF>
                                    <NT>0</NT>
                                    <DP>0</DP>
                                    <CNF/>
                                  </FmtCndProps>
                                  <FntOvly>
                                    <FntOvlyProps>
                                      <PT>2</PT>
                                      <SON>0</SON>
                                      <CBPLI>1,3,16,3,1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ModuleGenericNa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0,1,0,3,16,3,1,-1,0,0,FALSE,FALSE§Z¿<>0,0,IF(ROUND(MIN(§A¿0,1,1,3,12,2,1,1,0,0,FALSE,FALSE,3,12,2,1,2,0,0,FALSE,FALSE§Z¿),5)<0,1,0))]]></VOFFF>
                              </ClmnBlkPtProps>
                              <FmtCnds>
                                <FmtCnd>
                                  <FmtCndProps>
                                    <CBPLI>1,3,18,2,1</CBPLI>
                                    <FCN>1</FCN>
                                    <FCT>1</FCT>
                                    <FCO>4</FCO>
                                    <F1FFF><![CDATA[=0]]></F1FFF>
                                    <F2FFF/>
                                    <SIT>False</SIT>
                                    <BSV>True</BSV>
                                    <BCT>0</BCT>
                                    <CNBCN>0</CNBCN>
                                    <BTAS>0</BTAS>
                                    <IST>1</IST>
                                    <RO>False</RO>
                                    <SIO>False</SIO>
                                    <TO>0</TO>
                                    <TS/>
                                    <DO>1</DO>
                                    <TB>1</TB>
                                    <R>10</R>
                                    <P>False</P>
                                    <AB>0</AB>
                                    <NSD>1</NSD>
                                    <DU>1</DU>
                                    <INF>False</INF>
                                    <NT>0</NT>
                                    <DP>0</DP>
                                    <CNF/>
                                  </FmtCndProps>
                                  <FntOvly>
                                    <FntOvlyProps>
                                      <PT>2</PT>
                                      <SON>0</SON>
                                      <CBPLI>1,3,18,2,1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ash Receip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6,3,1,-1,0,0,FALSE,FALSE§Z¿<>0,0,IF(ROUND(MAX(§A¿0,1,1,3,8,2,1,1,0,0,FALSE,FALSE,3,8,2,1,2,0,0,FALSE,FALSE§Z¿),5)>0,1,0))]]></VOFFF>
                              </ClmnBlkPtProps>
                              <FmtCnds>
                                <FmtCnd>
                                  <FmtCndProps>
                                    <CBPLI>1,3,19,2,1</CBPLI>
                                    <FCN>1</FCN>
                                    <FCT>1</FCT>
                                    <FCO>4</FCO>
                                    <F1FFF><![CDATA[=0]]></F1FFF>
                                    <F2FFF/>
                                    <SIT>False</SIT>
                                    <BSV>True</BSV>
                                    <BCT>0</BCT>
                                    <CNBCN>0</CNBCN>
                                    <BTAS>0</BTAS>
                                    <IST>1</IST>
                                    <RO>False</RO>
                                    <SIO>False</SIO>
                                    <TO>0</TO>
                                    <TS/>
                                    <DO>1</DO>
                                    <TB>1</TB>
                                    <R>10</R>
                                    <P>False</P>
                                    <AB>0</AB>
                                    <NSD>1</NSD>
                                    <DU>1</DU>
                                    <INF>False</INF>
                                    <NT>0</NT>
                                    <DP>0</DP>
                                    <CNF/>
                                  </FmtCndProps>
                                  <FntOvly>
                                    <FntOvlyProps>
                                      <PT>2</PT>
                                      <SON>0</SON>
                                      <CBPLI>1,3,19,2,1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20,3,1,0,0,0,FALSE,FALSE,3,20,3,1,0,1,0,FALSE,FALSE§Z¿)),1,MIN(SUM(§A¿0,1,1,3,20,3,1,0,0,0,FALSE,FALSE,3,20,3,1,0,1,0,FALSE,FALSE§Z¿),1))]]></VOFFF>
                              </ClmnBlkPtProps>
                              <Chk>
                                <ChkProps>
                                  <CBPLI>1,3,20,2,1</CBPLI>
                                  <CT>2</CT>
                                  <CN>6</CN>
                                  <HST>1</HST>
                                  <CHT/>
                                  <HCBPLI>1,1,2,1,1</HCBPLI>
                                </ChkProps>
                              </Chk>
                              <Cmts>
                                <Cmt>
                                  <CmtProps>
                                    <CBPLI>1,3,20,2,1</CBPLI>
                                    <WRN>1</WRN>
                                    <ERT>5</ERT>
                                    <COSTN>0</COSTN>
                                    <OC>0</OC>
                                    <HT><![CDATA[Alert Check]]></HT>
                                    <HFS>0</HFS>
                                    <BT><![CDATA[Flags the occurrence of designated events.]]></BT>
                                    <BFS>0</BFS>
                                    <H>39</H>
                                    <W>128</W>
                                  </CmtProps>
                                </Cmt>
                              </Cmts>
                              <FmtCnds>
                                <FmtCnd>
                                  <FmtCndProps>
                                    <CBPLI>1,3,20,2,1</CBPLI>
                                    <FCN>1</FCN>
                                    <FCT>1</FCT>
                                    <FCO>4</FCO>
                                    <F1FFF><![CDATA[=0]]></F1FFF>
                                    <F2FFF/>
                                    <SIT>False</SIT>
                                    <BSV>True</BSV>
                                    <BCT>0</BCT>
                                    <CNBCN>0</CNBCN>
                                    <BTAS>0</BTAS>
                                    <IST>1</IST>
                                    <RO>False</RO>
                                    <SIO>False</SIO>
                                    <TO>0</TO>
                                    <TS/>
                                    <DO>1</DO>
                                    <TB>1</TB>
                                    <R>10</R>
                                    <P>False</P>
                                    <AB>0</AB>
                                    <NSD>1</NSD>
                                    <DU>1</DU>
                                    <INF>False</INF>
                                    <NT>0</NT>
                                    <DP>0</DP>
                                    <CNF/>
                                  </FmtCndProps>
                                  <FntOvly>
                                    <FntOvlyProps>
                                      <PT>2</PT>
                                      <SON>0</SON>
                                      <CBPLI>1,3,20,2,1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2</SON>
                                <VOFFF><![CDATA[=MIN(SUM(§A¿0,1,1,3,18,2,1,-1,0,0,FALSE,FALSE,3,19,2,1,-1,0,0,FALSE,FALSE§Z¿),1)]]></VOFFF>
                              </ClmnBlkPtProps>
                              <FmtCnds>
                                <FmtCnd>
                                  <FmtCndProps>
                                    <CBPLI>1,3,20,3,1</CBPLI>
                                    <FCN>1</FCN>
                                    <FCT>1</FCT>
                                    <FCO>4</FCO>
                                    <F1FFF><![CDATA[=0]]></F1FFF>
                                    <F2FFF/>
                                    <SIT>False</SIT>
                                    <BSV>True</BSV>
                                    <BCT>0</BCT>
                                    <CNBCN>0</CNBCN>
                                    <BTAS>0</BTAS>
                                    <IST>1</IST>
                                    <RO>False</RO>
                                    <SIO>False</SIO>
                                    <TO>0</TO>
                                    <TS/>
                                    <DO>1</DO>
                                    <TB>1</TB>
                                    <R>10</R>
                                    <P>False</P>
                                    <AB>0</AB>
                                    <NSD>1</NSD>
                                    <DU>1</DU>
                                    <INF>False</INF>
                                    <NT>0</NT>
                                    <DP>0</DP>
                                    <CNF/>
                                  </FmtCndProps>
                                  <FntOvly>
                                    <FntOvlyProps>
                                      <PT>2</PT>
                                      <SON>0</SON>
                                      <CBPLI>1,3,20,3,1</CBPLI>
                                      <FCN>1</FCN>
                                      <CN>0</CN>
                                      <IB>True</IB>
                                      <IC>True</IC>
                                      <B>True</B>
                                      <CT>2</CT>
                                      <CNU>3</CNU>
                                      <CPR>0</CPR>
                                      <TAS>0</TAS>
                                    </FntOvlyProps>
                                  </FntOvly>
                                </FmtCnd>
                              </FmtCnds>
                            </ClmnBlkPt>
                          </ClmnBlkPts>
                        </ClmnBlk>
                      </ClmnBlks>
                      <TtlCtg>
                        <TtlCtgProps>
                          <R>3</R>
                        </TtlCtgProps>
                      </TtlCtg>
                    </Elmt>
                  </Elmts>
                </Sect>
              </Sects>
              <Ctrls>
                <Ctrl>
                  <CtrlProps>
                    <MN>33</MN>
                    <MCN>1</MCN>
                    <SIT>1</SIT>
                    <TLCRSN>1</TLCRSN>
                    <TLCREN>7</TLCREN>
                    <TLCRSRT>0</TLCRSRT>
                    <TLCCPT>3</TLCCPT>
                    <TLCCN>8</TLCCN>
                    <TLCCOT>0</TLCCOT>
                    <TLCCOC>5</TLCCOC>
                    <TLCCPTBMCN>4</TLCCPTBMCN>
                    <TLCCPTBN>2</TLCCPTBN>
                    <BRCRSN>1</BRCRSN>
                    <BRCREN>7</BRCREN>
                    <BRCRSRT>0</BRCRSRT>
                    <BRCCPT>3</BRCCPT>
                    <BRCCN>9</BRCCN>
                    <BRCCOT>1</BRCCOT>
                    <BRCCOC>0</BRCCOC>
                    <BRCCPTBMCN>4</BRCCPTBMCN>
                    <BRCCPTBN>2</BRCCPTBN>
                    <P>1</P>
                    <HAL>-4131</HAL>
                    <WA>1</WA>
                    <VA>-4108</VA>
                    <HAD>1</HAD>
                    <TI>0</TI>
                    <CT>0</CT>
                    <N/>
                    <D3DS>False</D3DS>
                    <PO>True</PO>
                    <L>True</L>
                    <OA/>
                    <T/>
                    <THA>-4108</THA>
                    <TVA>-4108</TVA>
                    <LT>True</LT>
                    <LCFFA><![CDATA[§A¿0,1,0,1,7,2,1,0,0,0,TRUE,TRUE§Z¿]]></LCFFA>
                    <LCCA/>
                    <CV>1</CV>
                    <MIV>0</MIV>
                    <MAV>100</MAV>
                    <SC>1</SC>
                    <LC>10</LC>
                    <LFRFFA><![CDATA[§A¿0,2,1,1,6,1,6,-1,0,0,TRUE,TRUE,1,6,1,1,2,0,0,TRUE,TRUE§Z¿]]></LFRFFA>
                    <LFRCA/>
                    <DDL>0</DDL>
                  </CtrlProps>
                </Ctrl>
              </Ctrls>
            </ModComp>
            <ModComp>
              <ModCompProps>
                <MN>33</MN>
                <MCN>2</MCN>
                <MCTK>LU</MCTK>
                <RT><![CDATA[<ModuleName> - Lookups]]></RT>
                <ERN>MODMC51</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ModuleGenericName> Allocation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A¿0,1,0,2,2,1,1,0,0,0,FALSE,FALSE§Z¿]]></VOFFF>
                              </ClmnBlkPtProps>
                              <RgeNmes>
                                <RgeNme>
                                  <RgeNmeProps>
                                    <CBPLI>2,1,6,1,1</CBPLI>
                                    <MCN>2</MCN>
                                    <SN>1</SN>
                                    <EN>6</EN>
                                    <CN>0</CN>
                                    <CBN>1</CBN>
                                    <CBPN>1</CBPN>
                                    <PT>1</PT>
                                    <CBPRNT>2</CBPRNT>
                                    <NT>11</NT>
                                    <SP1><![CDATA[Cat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None (Cas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Debtors_Cat_Names]]></VOFFF>
                              </ClmnBlkPtProps>
                            </ClmnBlkPt>
                          </ClmnBlkPts>
                        </ClmnBlk>
                      </ClmnBlks>
                      <SubTtls>
                        <SubTtl>
                          <SubTtlHdgRow>
                            <SubTtlHdgRowProps>
                              <STLI>2,1,6,1</STLI>
                              <R>0</R>
                            </SubTtlHdgRowProps>
                          </SubTtlHdgRow>
                          <Ctgs>
                            <Ctg>
                              <CtgProps>
                                <R>3</R>
                              </CtgProps>
                              <LuTblLbl>
                                <LuTblLblProps>
                                  <CLI>2,1,6,False,1</CLI>
                                  <L><![CDATA[Lookup Label <CategoryNumber>.]]></L>
                                </LuTblLblProps>
                              </LuTblLbl>
                            </Ctg>
                          </Ctgs>
                        </SubTtl>
                      </SubTtls>
                      <TtlCtg>
                        <TtlCtgProps>
                          <R>3</R>
                        </TtlCtgProps>
                      </TtlCtg>
                    </Elmt>
                  </Elmts>
                </Sect>
              </Sects>
            </ModComp>
          </ModComps>
        </Mod>
        <Mod>
          <ModProps>
            <MVS>14.0.5.0</MVS>
            <RAV/>
            <RXV>0</RXV>
            <FV>3</FV>
            <MT>0</MT>
            <SCT>-1</SCT>
            <P><![CDATA[Inv]]></P>
            <OI>200</OI>
            <MN>0</MN>
            <MAG>AE1B75D9-5A46-40DB-A8A0-11F841A50A57</MAG>
            <BN><![CDATA[Inventory]]></BN>
            <N><![CDATA[Inventory]]></N>
            <TS><![CDATA[Monthly]]></TS>
            <D><![CDATA[Calculates inventory balances for a number of inventory categories over a number of time series periods.]]></D>
            <FS><![CDATA[Collects inventory receipt period assumptions for each inventory category for each time series period.&#10;Cost of goods sold amounts are then either assumed or linked in before being used to calculate inventory closing balances based on these inventory receipt period assumptions.]]></FS>
            <R><![CDATA[Any]]></R>
            <GE><![CDATA[Inventory]]></GE>
            <CA><![CDATA[Days Terms]]></CA>
            <VA><![CDATA[Single Component]]></VA>
            <GST><![CDATA[None]]></GST>
            <DE><![CDATA[Modano]]></DE>
            <E><![CDATA[info@modano.com]]></E>
            <C><![CDATA[Modano]]></C>
            <W><![CDATA[www.modano.com]]></W>
            <K/>
            <CO/>
            <V>10.10.2.0.</V>
            <AX>2</AX>
            <SX/>
            <PMLO>False</PMLO>
            <IPMLO>False</IPMLO>
            <MACA>0</MACA>
            <HP>False</HP>
            <DR>False</DR>
            <RTSM>True</RTSM>
            <CC>True</CC>
            <X>False</X>
            <G>60D9A10A-92A1-4BB5-B2EE-C6E1D86F1645</G>
          </ModProps>
          <RowStgs>
            <RowStg>
              <RowStgProps>
                <RSN>1</RSN>
                <RHST>0</RHST>
                <HS>0</HS>
                <OL>3</OL>
                <RH>False</RH>
              </RowStgProps>
            </RowStg>
            <RowStg>
              <RowStgProps>
                <RSN>2</RSN>
                <RHST>1</RHST>
                <HS>50</HS>
                <OL>3</OL>
                <RH>False</RH>
              </RowStgProps>
            </RowStg>
            <RowStg>
              <RowStgProps>
                <RSN>3</RSN>
                <RHST>0</RHST>
                <HS>100</HS>
                <OL>2</OL>
                <RH>False</RH>
              </RowStgProps>
            </RowStg>
            <RowStg>
              <RowStgProps>
                <RSN>4</RSN>
                <RHST>1</RHST>
                <HS>50</HS>
                <OL>2</OL>
                <RH>False</RH>
              </RowStgProps>
            </RowStg>
            <RowStg>
              <RowStgProps>
                <RSN>5</RSN>
                <RHST>0</RHST>
                <HS>0</HS>
                <OL>3</OL>
                <RH>True</RH>
              </RowStgProps>
            </RowStg>
            <RowStg>
              <RowStgProps>
                <RSN>6</RSN>
                <RHST>0</RHST>
                <HS>0</HS>
                <OL>2</OL>
                <RH>True</RH>
              </RowStgProps>
            </RowStg>
          </RowStgs>
          <StlOvlys>
            <StlOvly>
              <StlOvlyProps>
                <SON>1</SON>
              </StlOvlyProps>
              <BdrOvlys>
                <BdrOvly>
                  <BdrOvlyProps>
                    <PT>1</PT>
                    <SON>1</SON>
                    <CBPLI/>
                    <FCN>0</FCN>
                    <I>True</I>
                    <BI>9</BI>
                    <LS>1</LS>
                    <W>2</W>
                  </BdrOvlyProps>
                </BdrOvly>
              </BdrOvlys>
            </StlOvly>
            <StlOvly>
              <StlOvlyProps>
                <SON>2</SON>
                <INF>True</INF>
                <NT>0</NT>
                <DP>0</DP>
                <CNF/>
              </StlOvlyProps>
            </StlOvly>
            <StlOvly>
              <StlOvlyProps>
                <SON>3</SON>
                <INF>True</INF>
                <NT>0</NT>
                <DP>0</DP>
                <CNF/>
              </StlOvlyProps>
              <BdrOvlys>
                <BdrOvly>
                  <BdrOvlyProps>
                    <PT>1</PT>
                    <SON>3</SON>
                    <CBPLI/>
                    <FCN>0</FCN>
                    <I>True</I>
                    <BI>9</BI>
                    <LS>-4115</LS>
                    <W>2</W>
                  </BdrOvlyProps>
                </BdrOvly>
              </BdrOvlys>
            </StlOvly>
            <StlOvly>
              <StlOvlyProps>
                <SON>4</SON>
                <INF>True</INF>
                <NT>0</NT>
                <DP>0</DP>
                <CNF><![CDATA[_(#,##0.0_);(#,##0.0);_-"-"_-]]></CNF>
              </StlOvlyProps>
            </StlOvly>
            <StlOvly>
              <StlOvlyProps>
                <SON>5</SON>
                <INF>True</INF>
                <NT>0</NT>
                <DP>0</DP>
                <CNF><![CDATA[_(#,##0.0_);(#,##0.0);_-"-"_-]]></CNF>
              </StlOvlyProps>
              <FntOvly>
                <FntOvlyProps>
                  <PT>1</PT>
                  <SON>5</SON>
                  <CBPLI>0,0,0,0,0</CBPLI>
                  <FCN>0</FCN>
                  <CN>0</CN>
                  <IB>True</IB>
                  <B>True</B>
                </FntOvlyProps>
              </FntOvly>
              <BdrOvlys>
                <BdrOvly>
                  <BdrOvlyProps>
                    <PT>1</PT>
                    <SON>5</SON>
                    <CBPLI/>
                    <FCN>0</FCN>
                    <I>True</I>
                    <BI>10</BI>
                    <LS>1</LS>
                    <W>2</W>
                  </BdrOvlyProps>
                </BdrOvly>
              </BdrOvlys>
            </StlOvly>
            <StlOvly>
              <StlOvlyProps>
                <SON>6</SON>
              </StlOvlyProps>
              <BdrOvlys>
                <BdrOvly>
                  <BdrOvlyProps>
                    <PT>1</PT>
                    <SON>6</SON>
                    <CBPLI/>
                    <FCN>0</FCN>
                    <I>True</I>
                    <BI>9</BI>
                    <LS>-4115</LS>
                    <W>2</W>
                  </BdrOvlyProps>
                </BdrOvly>
              </BdrOvlys>
            </StlOvly>
            <StlOvly>
              <StlOvlyProps>
                <SON>7</SON>
              </StlOvlyProps>
              <FntOvly>
                <FntOvlyProps>
                  <PT>1</PT>
                  <SON>7</SON>
                  <CBPLI>0,0,0,0,0</CBPLI>
                  <FCN>0</FCN>
                  <CN>0</CN>
                  <IB>True</IB>
                  <B>True</B>
                </FntOvlyProps>
              </FntOvly>
              <BdrOvlys>
                <BdrOvly>
                  <BdrOvlyProps>
                    <PT>1</PT>
                    <SON>7</SON>
                    <CBPLI/>
                    <FCN>0</FCN>
                    <I>True</I>
                    <BI>8</BI>
                    <LS>1</LS>
                    <W>2</W>
                  </BdrOvlyProps>
                </BdrOvly>
              </BdrOvlys>
            </StlOvly>
            <StlOvly>
              <StlOvlyProps>
                <SON>8</SON>
              </StlOvlyProps>
              <FntOvly>
                <FntOvlyProps>
                  <PT>1</PT>
                  <SON>8</SON>
                  <CBPLI>0,0,0,0,0</CBPLI>
                  <FCN>0</FCN>
                  <CN>0</CN>
                  <IC>True</IC>
                  <CT>-2</CT>
                  <CNU>0</CNU>
                  <CPR>0</CPR>
                  <TAS>0</TAS>
                </FntOvlyProps>
              </FntOvly>
            </StlOvly>
            <StlOvly>
              <StlOvlyProps>
                <SON>9</SON>
                <INF>True</INF>
                <NT>0</NT>
                <DP>0</DP>
                <CNF/>
              </StlOvlyProps>
              <BdrOvlys>
                <BdrOvly>
                  <BdrOvlyProps>
                    <PT>1</PT>
                    <SON>9</SON>
                    <CBPLI/>
                    <FCN>0</FCN>
                    <I>True</I>
                    <BI>8</BI>
                    <LS>-4115</LS>
                    <W>2</W>
                  </BdrOvlyProps>
                </BdrOvly>
              </BdrOvlys>
            </StlOvly>
          </StlOvlys>
          <ElmtsGrps>
            <ElmtsGrp>
              <ElmtsGrpProps>
                <NU>1</NU>
                <NA><![CDATA[Inventory]]></NA>
                <EGT>0</EGT>
                <DCC>3</DCC>
                <AST>False</AST>
                <ISTH>True</ISTH>
                <PTMCN>0</PTMCN>
                <PTBN>0</PTBN>
                <PTBI>0</PTBI>
                <GLN/>
                <CLOT>0</CLOT>
                <CLIT>0</CLIT>
                <PMLO>0</PMLO>
                <IPMLO>0</IPMLO>
              </ElmtsGrpProps>
            </ElmtsGrp>
            <ElmtsGrp>
              <ElmtsGrpProps>
                <NU>2</NU>
                <NA><![CDATA[Cost of Goods Sold]]></NA>
                <EGT>0</EGT>
                <DCC>6</DCC>
                <AST>False</AST>
                <ISTH>True</ISTH>
                <PTMCN>0</PTMCN>
                <PTBN>0</PTBN>
                <PTBI>0</PTBI>
                <GLN/>
                <CLOT>0</CLOT>
                <CLIT>0</CLIT>
                <PMLO>0</PMLO>
                <IPMLO>0</IPMLO>
              </ElmtsGrpProps>
            </ElmtsGrp>
          </ElmtsGrps>
          <ModComps>
            <ModComp>
              <ModCompProps>
                <MN>34</MN>
                <MCN>1</MCN>
                <MCTK>BaseCase</MCTK>
                <RT><![CDATA[<ModuleName>]]></RT>
                <ERN>MODMC52</ERN>
                <MCST>1</MCST>
                <IPMC>False</IPMC>
                <SN>11</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19</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Cost of Goods Sold Alloc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ost of Goods Sold]]></VOFFF>
                              </ClmnBlkPtProps>
                            </ClmnBlkPt>
                          </ClmnBlkPts>
                        </ClmnBlk>
                        <ClmnBlk>
                          <ClmnBlkProps>
                            <FCPT>3</FCPT>
                            <FCN>8</FCN>
                            <FCOT>0</FCOT>
                            <FCOC>5</FCOC>
                            <FCPTBMCN>4</FCPTBMCN>
                            <FCPTBN>2</FCPTBN>
                            <LCPT>3</LCPT>
                            <LCN>8</LCN>
                            <LCOT>0</LCOT>
                            <LCOC>5</LCOC>
                            <LCPTBMCN>4</LCPTBMCN>
                            <LCPTBN>2</LCPTBN>
                          </ClmnBlkProps>
                          <ClmnBlkPts>
                            <ClmnBlkPt>
                              <ClmnBlkPtProps>
                                <CBPT>5</CBPT>
                                <ST>5</ST>
                                <VOFFF><![CDATA[Allocation]]></VOFFF>
                              </ClmnBlkPtProps>
                            </ClmnBlkPt>
                          </ClmnBlkPts>
                        </ClmnBlk>
                      </ClmnBlks>
                      <TtlCtg>
                        <TtlCtgProps>
                          <R>3</R>
                        </TtlCtgProps>
                      </TtlCtg>
                    </Elmt>
                    <Elmt>
                      <ElmtProps>
                        <CPT>1</CPT>
                        <TOT>False</TOT>
                        <EGN>2</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1,1,7,1,1</CBPLI>
                                    <ELN>1</ELN>
                                    <FFF><![CDATA[=§A¿10,FALSE,0,1,0,FALSE§Z¿]]></FFF>
                                  </LnkInFormProps>
                                </LnkInForm>
                              </LnkInForms>
                            </ClmnBlkPt>
                            <ClmnBlkPt>
                              <ClmnBlkPtProps>
                                <CBPT>1</CBPT>
                                <ST>6</ST>
                                <MC>True</MC>
                                <VOFFF><![CDATA[=§A¿0,1,0,1,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15</ST>
                                <SON>8</SON>
                                <VOFFF><![CDATA[1]]></VOFFF>
                                <UDAV><![CDATA[1]]></UDAV>
                              </ClmnBlkPtProps>
                              <Vdtn>
                                <VdtnProps>
                                  <CBPLI>1,1,7,2,1</CBPLI>
                                  <ADVT>-1</ADVT>
                                  <VT>1</VT>
                                  <AS>1</AS>
                                  <O>1</O>
                                  <F1FFF><![CDATA[1]]></F1FFF>
                                  <F2FFF><![CDATA[=ROWS(§A¿1,1,2,1,6,0,1,1,1§Z¿)+1]]></F2FFF>
                                  <IB>False</IB>
                                  <ICDD>False</ICDD>
                                  <SI>False</SI>
                                  <IT/>
                                  <IM/>
                                  <SE>True</SE>
                                  <ET><![CDATA[Drop Down Box Cell Link]]></ET>
                                  <EM><![CDATA[The value in a drop down box cell link must be a whole number within the control's lookup range rows.]]></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1,1,7,3,1</CBPLI>
                                  <ADVT>0</ADVT>
                                  <VT>7</VT>
                                </VdtnProps>
                              </Vdtn>
                              <LnkInForms>
                                <LnkInForm>
                                  <LnkInFormProps>
                                    <CBPLI>1,1,7,3,1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Props>
                            <R>1</R>
                          </SubTtlProps>
                          <SubTtlHdgRow>
                            <SubTtlHdgRowProps>
                              <STLI>1,1,7,1</STLI>
                              <R>1</R>
                            </SubTtlHdgRowProps>
                          </SubTtlHdgRow>
                          <TtlSpcrRow>
                            <TtlSpcrRowProps>
                              <RSN>2</RSN>
                            </TtlSpcrRowProps>
                          </TtlSpcrRow>
                          <Ctgs>
                            <Ctg>
                              <CtgProps>
                                <R>3</R>
                              </CtgProps>
                              <ShpNmes>
                                <ShpNme>
                                  <ShpNmeProps>
                                    <ELI>1,1,7</ELI>
                                    <COSTN>1</COSTN>
                                    <ST>1</ST>
                                    <SNPT>5</SNPT>
                                    <N><![CDATA[bpmDropDownInv1]]></N>
                                    <SHN>1</SHN>
                                    <SHTN>1</SHTN>
                                  </ShpNmeProps>
                                </ShpNme>
                              </ShpNmes>
                              <LnkIn>
                                <LnkInProps>
                                  <MN>34</MN>
                                  <CLI>1,1,7,False,1</CLI>
                                  <ELN>1</ELN>
                                  <LOOT>0</LOOT>
                                  <LOMN>15</LOMN>
                                  <LOMCN>4</LOMCN>
                                  <LOSN>1</LOSN>
                                  <LOEN>4</LOEN>
                                  <LOCN>1</LOCN>
                                </LnkInProps>
                              </LnkIn>
                            </Ctg>
                            <Ctg>
                              <CtgProps>
                                <R>6</R>
                              </CtgProps>
                              <ShpNmes>
                                <ShpNme>
                                  <ShpNmeProps>
                                    <ELI>1,1,7</ELI>
                                    <COSTN>2</COSTN>
                                    <ST>1</ST>
                                    <SNPT>5</SNPT>
                                    <N><![CDATA[bpmDropDownInv2]]></N>
                                    <SHN>1</SHN>
                                    <SHTN>1</SHTN>
                                  </ShpNmeProps>
                                </ShpNme>
                              </ShpNmes>
                              <LnkIn>
                                <LnkInProps>
                                  <MN>34</MN>
                                  <CLI>1,1,7,False,2</CLI>
                                  <ELN>1</ELN>
                                  <LOOT>0</LOOT>
                                  <LOMN>15</LOMN>
                                  <LOMCN>4</LOMCN>
                                  <LOSN>1</LOSN>
                                  <LOEN>4</LOEN>
                                  <LOCN>2</LOCN>
                                </LnkInProps>
                              </LnkIn>
                            </Ctg>
                            <Ctg>
                              <CtgProps>
                                <R>6</R>
                              </CtgProps>
                              <ShpNmes>
                                <ShpNme>
                                  <ShpNmeProps>
                                    <ELI>1,1,7</ELI>
                                    <COSTN>3</COSTN>
                                    <ST>1</ST>
                                    <SNPT>5</SNPT>
                                    <N><![CDATA[bpmDropDownInv3]]></N>
                                    <SHN>1</SHN>
                                    <SHTN>1</SHTN>
                                  </ShpNmeProps>
                                </ShpNme>
                              </ShpNmes>
                              <LnkIn>
                                <LnkInProps>
                                  <MN>34</MN>
                                  <CLI>1,1,7,False,3</CLI>
                                  <ELN>1</ELN>
                                  <LOOT>0</LOOT>
                                  <LOMN>15</LOMN>
                                  <LOMCN>4</LOMCN>
                                  <LOSN>1</LOSN>
                                  <LOEN>4</LOEN>
                                  <LOCN>3</LOCN>
                                </LnkInProps>
                              </LnkIn>
                            </Ctg>
                          </Ctgs>
                        </SubTtl>
                      </SubTtls>
                      <TtlCtg>
                        <TtlCtgProps>
                          <R>1</R>
                        </TtlCtgProps>
                        <TtlSpcrRow>
                          <TtlSpcrRowProps>
                            <RSN>2</RSN>
                          </TtlSpcrRowProps>
                        </TtlSpcrRow>
                      </TtlCtg>
                      <ElmtLnksIn>
                        <ElmtLnk>
                          <ElmtLnkProps>
                            <ELI>1,1,7</ELI>
                            <ELN>1</ELN>
                            <ELGN>1</ELGN>
                            <MLG>5C860D93-DDC3-4B7A-BA2B-039792DD83BD</MLG>
                            <ICBI>1,3</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chedule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Timing]]></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ays i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9,4,0,0,1,5,3,1,-1,0,0,TRUE,FALSE§Z¿-§A¿9,4,0,0,1,4,3,1,-1,0,0,TRU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Start Timing]]></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9,4,0,0,1,6,3,1,-1,0,0,TRUE,FALSE§Z¿=1,0,§A¿0,1,0,1,14,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End Timing]]></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13,2,1,-1,0,0,FALSE,FALSE§Z¿+§A¿0,1,0,1,12,2,1,-1,0,0,FALSE,FALSE§Z¿]]></VOFFF>
                              </ClmnBlkPtProps>
                            </ClmnBlkPt>
                          </ClmnBlkPts>
                        </ClmnBlk>
                      </ClmnBlks>
                      <TtlCtg>
                        <TtlCtgProps>
                          <R>1</R>
                        </TtlCtgProps>
                      </TtlCtg>
                    </Elmt>
                  </Elmts>
                </Sect>
                <Sect>
                  <SectProps>
                    <LI>1,2</LI>
                    <EGN>1</EGN>
                  </SectProps>
                  <Elmts>
                    <Elmt>
                      <ElmtProps>
                        <CPT>1</CPT>
                        <TOT>False</TOT>
                        <EGN>1</EGN>
                      </ElmtProps>
                      <SubTtls>
                        <SubTtl>
                          <SubTtlHdgRow>
                            <SubTtlHdgRowProps>
                              <STLI>1,2,1,1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ModuleName> Category <CategoryNumber>]]></VOFFF>
                                <UDAV><![CDATA[Category <CategoryNumber> Name]]></UDAV>
                              </ClmnBlkPtProps>
                              <LnkInForms>
                                <LnkInForm>
                                  <LnkInFormProps>
                                    <CBPLI>1,2,2,1,1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STLI>
                              <R>0</R>
                            </SubTtlHdgRowProps>
                          </SubTtlHdgRow>
                          <Ctgs>
                            <Ctg>
                              <CtgProps>
                                <R>3</R>
                              </CtgProps>
                              <LnkIn>
                                <LnkInProps>
                                  <MN>34</MN>
                                  <CLI>1,2,2,False,1</CLI>
                                  <ELN>1</ELN>
                                  <LOOT>0</LOOT>
                                  <LOMN>3</LOMN>
                                  <LOMCN>1</LOMCN>
                                  <LOSN>1</LOSN>
                                  <LOEN>8</LOEN>
                                  <LOCN>1</LOCN>
                                </LnkInProps>
                              </LnkIn>
                            </Ctg>
                          </Ctgs>
                        </SubTtl>
                      </SubTtls>
                      <TtlCtg/>
                      <ElmtLnksIn>
                        <ElmtLnk>
                          <ElmtLnkProps>
                            <ELI>1,2,2</ELI>
                            <ELN>1</ELN>
                            <ELGN>2</ELGN>
                            <MLG>39BFC107-4A0B-457A-BD82-6451A83B1403</MLG>
                            <ICBI>1</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Open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9,4,1,0,1,6,3,1,-1,0,0,TRUE,FALSE§Z¿=1,0,§A¿0,1,0,2,15,2,1,0,0,0,FALSE,FALSE§Z¿)]]></VOFFF>
                              </ClmnBlkPtProps>
                              <LnkInForms>
                                <LnkInForm>
                                  <LnkInFormProps>
                                    <CBPLI>1,2,3,2,1</CBPLI>
                                    <ELN>1</ELN>
                                    <FFF><![CDATA[=IF(§A¿9,4,1,0,1,6,3,1,-1,0,0,TRUE,FALSE§Z¿=1,§A¿10,FALSE,0,2,0,FALSE§Z¿,§A¿0,1,0,2,15,2,1,0,0,0,FALSE,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1,2,3,1</STLI>
                              <R>0</R>
                            </SubTtlHdgRowProps>
                          </SubTtlHdgRow>
                          <Ctgs>
                            <Ctg>
                              <CtgProps>
                                <R>3</R>
                              </CtgProps>
                              <LnkIn>
                                <LnkInProps>
                                  <MN>34</MN>
                                  <CLI>1,2,3,False,1</CLI>
                                  <ELN>1</ELN>
                                  <LOOT>0</LOOT>
                                  <LOMN>3</LOMN>
                                  <LOMCN>1</LOMCN>
                                  <LOSN>1</LOSN>
                                  <LOEN>8</LOEN>
                                  <LOCN>1</LOCN>
                                </LnkInProps>
                              </LnkIn>
                            </Ctg>
                          </Ctgs>
                        </SubTtl>
                      </SubTtls>
                      <TtlCtg/>
                      <ElmtLnksIn>
                        <ElmtLnk>
                          <ElmtLnkProps>
                            <ELI>1,2,3</ELI>
                            <ELN>1</ELN>
                            <ELGN>2</ELGN>
                            <MLG>39BFC107-4A0B-457A-BD82-6451A83B1403</MLG>
                            <ICBI>2</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ventory Purchase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15,3,1,0,0,0,FALSE,FALSE§Z¿-§A¿0,1,0,2,5,2,1,0,0,0,FALSE,FALSE§Z¿-§A¿0,1,0,2,3,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1,2,4,1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ost of Goods Sol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0,1,1,1,7,2,1,1,0,0,TRUE,TRUE,1,7,2,1,2,0,0,TRUE,TRUE§Z¿,ROWS(§A¿0,2,1,1,6,1,1,0,0,0,FALSE,TRUE,1,6,1,1,1,0,0,TRUE,TRUE§Z¿)+1,§A¿0,1,1,1,7,3,1,1,0,0,TRUE,FALSE,1,7,3,1,2,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1,2,5,1</STLI>
                              <R>0</R>
                            </SubTtlHdgRowProps>
                          </SubTtlHdgRow>
                          <Ctgs>
                            <Ctg>
                              <CtgProps>
                                <R>3</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Inventory Receipt Period (Day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9</SON>
                                <VOFFF><![CDATA[=§A¿0,1,0,2,1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1,2,6,1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Base COGS - Start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9</SON>
                                <VOFFF><![CDATA[=MAX(§A¿0,1,0,1,13,2,1,-1,0,0,TRUE,FALSE§Z¿,§A¿0,1,0,2,8,2,1,0,0,0,FALSE,FALSE§Z¿-§A¿0,1,0,2,6,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1,2,7,1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Base COGS - End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MIN(§A¿0,1,0,1,14,3,1,-1,0,0,TRUE,FALSE§Z¿+§A¿0,1,0,2,6,2,1,0,0,0,FALSE,FALSE§Z¿,MAX(§A¿0,1,1,1,14,3,1,-1,0,0,TRUE,TRUE,1,14,3,1,-1,1,0,TRU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1,2,8,1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Gross Up % (If Not Enough Period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19</ST>
                                <VOFFF><![CDATA[=IF(§A¿0,1,0,2,8,2,1,0,0,0,FALSE,FALSE§Z¿=§A¿0,1,0,2,7,2,1,0,0,0,FALSE,FALSE§Z¿,1,§A¿0,1,0,2,6,2,1,0,0,0,FALSE,FALSE§Z¿/(§A¿0,1,0,2,8,2,1,0,0,0,FALSE,FALSE§Z¿-§A¿0,1,0,2,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1,2,9,1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Base COGS - Start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9</SON>
                                <VOFFF><![CDATA[=MATCH(§A¿0,1,0,2,7,2,1,0,0,0,FALSE,FALSE§Z¿,§A¿0,1,1,1,13,2,1,-1,0,0,TRUE,TRUE,1,13,2,1,-1,1,0,TRUE,TRU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1,2,10,1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Base COGS - End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MATCH(§A¿0,1,0,2,8,2,1,0,0,0,FALSE,FALSE§Z¿,§A¿0,1,1,1,13,2,1,-1,0,0,TRUE,TRUE,1,13,2,1,-1,1,0,TRUE,TRU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1,2,11,1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First Period COGS Amoun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9,4,0,1,1,6,3,1,-1,0,0,TRUE,TRUE,1,6,3,1,-1,1,0,TRUE,TRUE§Z¿,§A¿0,1,0,2,10,2,1,0,0,0,FALSE,FALSE§Z¿,§A¿0,1,1,2,5,2,1,0,0,0,FALSE,TRUE,2,5,2,1,0,1,0,FALSE,TRUE§Z¿)/INDEX(§A¿0,1,1,1,12,2,1,-1,0,0,TRUE,TRUE,1,12,2,1,-1,1,0,TRUE,TRUE§Z¿,§A¿0,1,0,2,10,2,1,0,0,0,FALSE,FALSE§Z¿)*(MIN(§A¿0,1,0,2,8,2,1,0,0,0,FALSE,FALSE§Z¿,INDEX(§A¿0,1,1,1,14,3,1,-1,0,0,TRUE,TRUE,1,14,3,1,-1,1,0,TRUE,TRUE§Z¿,§A¿0,1,0,2,10,2,1,0,0,0,FALSE,FALSE§Z¿))-MAX(§A¿0,1,0,2,7,2,1,0,0,0,FALSE,FALSE§Z¿,INDEX(§A¿0,1,1,1,13,2,1,-1,0,0,TRUE,TRUE,1,13,2,1,-1,1,0,TRUE,TRUE§Z¿,§A¿0,1,0,2,10,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1,2,12,1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In Between Periods COGS Amoun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0,1,0,2,11,2,1,0,0,0,FALSE,FALSE§Z¿-§A¿0,1,0,2,10,2,1,0,0,0,FALSE,FALSE§Z¿<2,0,SUM(OFFSET(§A¿0,1,0,2,5,2,1,0,0,0,FALSE,TRUE§Z¿,0,§A¿0,1,0,2,10,2,1,0,0,0,FALSE,FALSE§Z¿,1,§A¿0,1,0,2,11,2,1,0,0,0,FALSE,FALSE§Z¿-§A¿0,1,0,2,10,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1,2,13,1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Last Period COGS Amoun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0,1,0,2,11,2,1,0,0,0,FALSE,FALSE§Z¿<=§A¿0,1,0,2,10,2,1,0,0,0,FALSE,FALSE§Z¿,0,SUMIF(§A¿9,4,0,1,1,6,3,1,-1,0,0,TRUE,TRUE,1,6,3,1,-1,1,0,TRUE,TRUE§Z¿,§A¿0,1,0,2,11,2,1,0,0,0,FALSE,FALSE§Z¿,§A¿0,1,1,2,5,2,1,0,0,0,FALSE,TRUE,2,5,2,1,0,1,0,FALSE,TRUE§Z¿)/INDEX(§A¿0,1,1,1,12,2,1,-1,0,0,TRUE,TRUE,1,12,2,1,-1,1,0,TRUE,TRUE§Z¿,§A¿0,1,0,2,11,2,1,0,0,0,FALSE,FALSE§Z¿))*(MIN(§A¿0,1,0,2,8,2,1,0,0,0,FALSE,FALSE§Z¿,INDEX(§A¿0,1,1,1,14,3,1,-1,0,0,TRUE,TRUE,1,14,3,1,-1,1,0,TRUE,TRUE§Z¿,§A¿0,1,0,2,11,2,1,0,0,0,FALSE,FALSE§Z¿))-MAX(§A¿0,1,0,2,7,2,1,0,0,0,FALSE,FALSE§Z¿,INDEX(§A¿0,1,1,1,13,2,1,-1,0,0,TRUE,TRUE,1,13,2,1,-1,1,0,TRUE,TRUE§Z¿,§A¿0,1,0,2,11,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1,2,14,1</STLI>
                              <R>0</R>
                            </SubTtlHdgRowProps>
                          </SubTtlHdgRow>
                          <Ctgs>
                            <Ctg>
                              <CtgProps>
                                <R>5</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Clos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SUM(§A¿0,1,1,2,12,2,1,0,0,0,FALSE,FALSE,2,14,2,1,0,0,0,FALSE,FALSE§Z¿)*§A¿0,1,0,2,9,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1,2,15,1</STLI>
                              <R>0</R>
                            </SubTtlHdgRowProps>
                          </SubTtlHdgRow>
                          <Ctgs>
                            <Ctg>
                              <CtgProps>
                                <R>3</R>
                              </CtgProps>
                            </Ctg>
                          </Ctgs>
                        </SubTtl>
                      </SubTtls>
                      <TtlCtg/>
                    </Elmt>
                    <Elmt>
                      <ElmtProps>
                        <CPT>1</CPT>
                        <TOT>False</TOT>
                        <EGN>1</EGN>
                      </ElmtProps>
                      <SubTtls>
                        <SubTtl>
                          <SubTtlHdgRow>
                            <SubTtlHdgRowProps>
                              <STLI>1,2,16,1</STLI>
                              <R>0</R>
                            </SubTtlHdgRowProps>
                          </SubTtlHdgRow>
                          <Ctgs>
                            <Ctg>
                              <CtgProps>
                                <R>4</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ventory Receipt Period (Day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SON>2</SON>
                                <VOFFF><![CDATA[0]]></VOFFF>
                                <UDAV><![CDATA[0]]></UDAV>
                              </ClmnBlkPtProps>
                              <Vdtn>
                                <VdtnProps>
                                  <CBPLI>1,2,17,2,1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1,2,17,1</STLI>
                              <R>0</R>
                            </SubTtlHdgRowProps>
                          </SubTtlHdgRow>
                          <Ctgs>
                            <Ctg>
                              <CtgProps>
                                <R>3</R>
                              </CtgProps>
                            </Ctg>
                          </Ctgs>
                        </SubTtl>
                      </SubTtls>
                      <TtlCtg/>
                    </Elmt>
                  </Elmts>
                </Sect>
                <Sect>
                  <SectProps>
                    <LI>1,3</LI>
                    <EGN>0</EGN>
                  </SectProps>
                  <Elmts>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4,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Open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3,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1,3,4,1</STLI>
                              <R>0</R>
                            </SubTtlHdgRowProps>
                          </SubTtlHdgRow>
                          <Ctgs>
                            <Ctg>
                              <CtgProps>
                                <R>5</R>
                              </CtgProps>
                            </Ctg>
                          </Ctgs>
                        </SubTtl>
                      </SubTtls>
                      <TtlCtg>
                        <TtlCtgProps>
                          <R>3</R>
                        </TtlCtgProps>
                      </TtlCtg>
                      <ElmtLnksOut>
                        <ElmtLnk>
                          <ElmtLnkProps>
                            <ELI>1,3,4</ELI>
                            <ELN>1</ELN>
                            <ELGN>1</ELGN>
                            <MLG>C80BDBDB-DC59-48B2-ACFD-DD95083D3A66</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6,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Inventory Purchase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4,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1,3,6,1</STLI>
                              <R>0</R>
                            </SubTtlHdgRowProps>
                          </SubTtlHdgRow>
                          <Ctgs>
                            <Ctg>
                              <CtgProps>
                                <R>5</R>
                              </CtgProps>
                            </Ctg>
                          </Ctgs>
                        </SubTtl>
                      </SubTtls>
                      <TtlCtg>
                        <TtlCtgProps>
                          <R>3</R>
                        </TtlCtgProps>
                      </TtlCtg>
                      <ElmtLnksOut>
                        <ElmtLnk>
                          <ElmtLnkProps>
                            <ELI>1,3,6</ELI>
                            <ELN>1</ELN>
                            <ELGN>1</ELGN>
                            <MLG>8E388AB7-C3A6-4D08-8BA3-0A54E6268AAB</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8,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Cost of Goods Sold]]></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5,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1,3,8,1</STLI>
                              <R>0</R>
                            </SubTtlHdgRowProps>
                          </SubTtlHdgRow>
                          <Ctgs>
                            <Ctg>
                              <CtgProps>
                                <R>5</R>
                              </CtgProps>
                            </Ctg>
                          </Ctgs>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0,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Increase/(Decrease) in <ModuleGeneric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3,8,2,1,0,0,0,FALSE,FALSE§Z¿+§A¿0,1,0,3,6,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1,3,10,1</STLI>
                              <R>0</R>
                            </SubTtlHdgRowProps>
                          </SubTtlHdgRow>
                          <Ctgs>
                            <Ctg>
                              <CtgProps>
                                <R>5</R>
                              </CtgProps>
                            </Ctg>
                          </Ctgs>
                        </SubTtl>
                      </SubTtls>
                      <TtlCtg>
                        <TtlCtgProps>
                          <R>3</R>
                        </TtlCtgProps>
                      </TtlCtg>
                      <ElmtLnksOut>
                        <ElmtLnk>
                          <ElmtLnkProps>
                            <ELI>1,3,10</ELI>
                            <ELN>1</ELN>
                            <ELGN>1</ELGN>
                            <MLG>BDF9E606-635A-4BF1-BFD3-235023B5A780</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2,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5</ST>
                                <VOFFF><![CDATA[Clos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15,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SubTtlHdgRow>
                            <SubTtlHdgRowProps>
                              <STLI>1,3,12,1</STLI>
                              <R>0</R>
                            </SubTtlHdgRowProps>
                          </SubTtlHdgRow>
                          <Ctgs>
                            <Ctg>
                              <CtgProps>
                                <R>5</R>
                              </CtgProps>
                            </Ctg>
                          </Ctgs>
                        </SubTtl>
                      </SubTtls>
                      <TtlCtg>
                        <TtlCtgProps>
                          <R>3</R>
                        </TtlCtgProps>
                      </TtlCtg>
                      <ElmtLnksOut>
                        <ElmtLnk>
                          <ElmtLnkProps>
                            <ELI>1,3,12</ELI>
                            <ELN>1</ELN>
                            <ELGN>1</ELGN>
                            <MLG>CDFD7453-535A-4D43-9D09-4562C804C3F6</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ISERROR(§A¿0,1,0,3,4,2,6,-1,0,0,FALSE,FALSE§Z¿-§A¿0,1,0,3,10,2,6,-1,0,0,FALSE,FALSE§Z¿-§A¿0,1,0,3,12,2,6,-1,0,0,FALSE,FALSE§Z¿),1,0)]]></VOFFF>
                              </ClmnBlkPtProps>
                              <FmtCnds>
                                <FmtCnd>
                                  <FmtCndProps>
                                    <CBPLI>1,3,14,2,1</CBPLI>
                                    <FCN>1</FCN>
                                    <FCT>1</FCT>
                                    <FCO>4</FCO>
                                    <F1FFF><![CDATA[=0]]></F1FFF>
                                    <F2FFF/>
                                    <SIT>False</SIT>
                                    <BSV>True</BSV>
                                    <BCT>0</BCT>
                                    <CNBCN>0</CNBCN>
                                    <BTAS>0</BTAS>
                                    <IST>1</IST>
                                    <RO>False</RO>
                                    <SIO>False</SIO>
                                    <TO>0</TO>
                                    <TS/>
                                    <DO>1</DO>
                                    <TB>1</TB>
                                    <R>10</R>
                                    <P>False</P>
                                    <AB>0</AB>
                                    <NSD>1</NSD>
                                    <DU>1</DU>
                                    <INF>False</INF>
                                    <NT>0</NT>
                                    <DP>0</DP>
                                    <CNF/>
                                  </FmtCndProps>
                                  <FntOvly>
                                    <FntOvlyProps>
                                      <PT>2</PT>
                                      <SON>0</SON>
                                      <CBPLI>1,3,14,2,1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4,2,1,-1,0,0,FALSE,FALSE§Z¿<>0,0,IF(ROUND(§A¿0,1,0,3,12,2,6,-1,0,0,FALSE,FALSE§Z¿-§A¿0,1,0,3,10,2,6,-1,0,0,FALSE,FALSE§Z¿-§A¿0,1,0,3,4,2,6,-1,0,0,FALSE,FALSE§Z¿,5)<>0,1,0))]]></VOFFF>
                              </ClmnBlkPtProps>
                              <FmtCnds>
                                <FmtCnd>
                                  <FmtCndProps>
                                    <CBPLI>1,3,15,2,1</CBPLI>
                                    <FCN>1</FCN>
                                    <FCT>1</FCT>
                                    <FCO>4</FCO>
                                    <F1FFF><![CDATA[=0]]></F1FFF>
                                    <F2FFF/>
                                    <SIT>False</SIT>
                                    <BSV>True</BSV>
                                    <BCT>0</BCT>
                                    <CNBCN>0</CNBCN>
                                    <BTAS>0</BTAS>
                                    <IST>1</IST>
                                    <RO>False</RO>
                                    <SIO>False</SIO>
                                    <TO>0</TO>
                                    <TS/>
                                    <DO>1</DO>
                                    <TB>1</TB>
                                    <R>10</R>
                                    <P>False</P>
                                    <AB>0</AB>
                                    <NSD>1</NSD>
                                    <DU>1</DU>
                                    <INF>False</INF>
                                    <NT>0</NT>
                                    <DP>0</DP>
                                    <CNF/>
                                  </FmtCndProps>
                                  <FntOvly>
                                    <FntOvlyProps>
                                      <PT>2</PT>
                                      <SON>0</SON>
                                      <CBPLI>1,3,15,2,1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16,3,1,0,0,0,FALSE,FALSE,3,16,3,1,0,1,0,FALSE,FALSE§Z¿)),1,MIN(SUM(§A¿0,1,1,3,16,3,1,0,0,0,FALSE,FALSE,3,16,3,1,0,1,0,FALSE,FALSE§Z¿),1))]]></VOFFF>
                              </ClmnBlkPtProps>
                              <Chk>
                                <ChkProps>
                                  <CBPLI>1,3,16,2,1</CBPLI>
                                  <CT>0</CT>
                                  <CN>13</CN>
                                  <HST>1</HST>
                                  <CHT/>
                                  <HCBPLI>1,1,2,1,1</HCBPLI>
                                </ChkProps>
                              </Chk>
                              <Cmts>
                                <Cmt>
                                  <CmtProps>
                                    <CBPLI>1,3,16,2,1</CBPLI>
                                    <WRN>1</WRN>
                                    <ERT>5</ERT>
                                    <COSTN>0</COSTN>
                                    <OC>0</OC>
                                    <HT><![CDATA[Error Check]]></HT>
                                    <HFS>0</HFS>
                                    <BT><![CDATA[Flags the existence of errors.]]></BT>
                                    <BFS>0</BFS>
                                    <H>350</H>
                                    <W>128</W>
                                  </CmtProps>
                                </Cmt>
                              </Cmts>
                              <FmtCnds>
                                <FmtCnd>
                                  <FmtCndProps>
                                    <CBPLI>1,3,16,2,1</CBPLI>
                                    <FCN>1</FCN>
                                    <FCT>1</FCT>
                                    <FCO>4</FCO>
                                    <F1FFF><![CDATA[=0]]></F1FFF>
                                    <F2FFF/>
                                    <SIT>False</SIT>
                                    <BSV>True</BSV>
                                    <BCT>0</BCT>
                                    <CNBCN>0</CNBCN>
                                    <BTAS>0</BTAS>
                                    <IST>1</IST>
                                    <RO>False</RO>
                                    <SIO>False</SIO>
                                    <TO>0</TO>
                                    <TS/>
                                    <DO>1</DO>
                                    <TB>1</TB>
                                    <R>10</R>
                                    <P>False</P>
                                    <AB>0</AB>
                                    <NSD>1</NSD>
                                    <DU>1</DU>
                                    <INF>False</INF>
                                    <NT>0</NT>
                                    <DP>0</DP>
                                    <CNF/>
                                  </FmtCndProps>
                                  <FntOvly>
                                    <FntOvlyProps>
                                      <PT>2</PT>
                                      <SON>0</SON>
                                      <CBPLI>1,3,16,2,1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1,1,3,14,2,1,-1,0,0,FALSE,FALSE,3,15,2,1,-1,0,0,FALSE,FALSE§Z¿),1)]]></VOFFF>
                              </ClmnBlkPtProps>
                              <FmtCnds>
                                <FmtCnd>
                                  <FmtCndProps>
                                    <CBPLI>1,3,16,3,1</CBPLI>
                                    <FCN>1</FCN>
                                    <FCT>1</FCT>
                                    <FCO>4</FCO>
                                    <F1FFF><![CDATA[=0]]></F1FFF>
                                    <F2FFF/>
                                    <SIT>False</SIT>
                                    <BSV>True</BSV>
                                    <BCT>0</BCT>
                                    <CNBCN>0</CNBCN>
                                    <BTAS>0</BTAS>
                                    <IST>1</IST>
                                    <RO>False</RO>
                                    <SIO>False</SIO>
                                    <TO>0</TO>
                                    <TS/>
                                    <DO>1</DO>
                                    <TB>1</TB>
                                    <R>10</R>
                                    <P>False</P>
                                    <AB>0</AB>
                                    <NSD>1</NSD>
                                    <DU>1</DU>
                                    <INF>False</INF>
                                    <NT>0</NT>
                                    <DP>0</DP>
                                    <CNF/>
                                  </FmtCndProps>
                                  <FntOvly>
                                    <FntOvlyProps>
                                      <PT>2</PT>
                                      <SON>0</SON>
                                      <CBPLI>1,3,16,3,1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ModuleGenericNa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0,1,0,3,16,3,1,-1,0,0,FALSE,FALSE§Z¿<>0,0,IF(ROUND(MIN(§A¿0,1,1,3,12,2,1,1,0,0,FALSE,FALSE,3,12,2,1,2,0,0,FALSE,FALSE§Z¿),5)<0,1,0))]]></VOFFF>
                              </ClmnBlkPtProps>
                              <FmtCnds>
                                <FmtCnd>
                                  <FmtCndProps>
                                    <CBPLI>1,3,18,2,1</CBPLI>
                                    <FCN>1</FCN>
                                    <FCT>1</FCT>
                                    <FCO>4</FCO>
                                    <F1FFF><![CDATA[=0]]></F1FFF>
                                    <F2FFF/>
                                    <SIT>False</SIT>
                                    <BSV>True</BSV>
                                    <BCT>0</BCT>
                                    <CNBCN>0</CNBCN>
                                    <BTAS>0</BTAS>
                                    <IST>1</IST>
                                    <RO>False</RO>
                                    <SIO>False</SIO>
                                    <TO>0</TO>
                                    <TS/>
                                    <DO>1</DO>
                                    <TB>1</TB>
                                    <R>10</R>
                                    <P>False</P>
                                    <AB>0</AB>
                                    <NSD>1</NSD>
                                    <DU>1</DU>
                                    <INF>False</INF>
                                    <NT>0</NT>
                                    <DP>0</DP>
                                    <CNF/>
                                  </FmtCndProps>
                                  <FntOvly>
                                    <FntOvlyProps>
                                      <PT>2</PT>
                                      <SON>0</SON>
                                      <CBPLI>1,3,18,2,1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ositive Inventory Purchas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6,3,1,-1,0,0,FALSE,FALSE§Z¿<>0,0,IF(ROUND(MIN(§A¿0,1,1,3,6,2,1,1,0,0,FALSE,FALSE,3,6,2,1,2,0,0,FALSE,FALSE§Z¿),5)<0,1,0))]]></VOFFF>
                              </ClmnBlkPtProps>
                              <FmtCnds>
                                <FmtCnd>
                                  <FmtCndProps>
                                    <CBPLI>1,3,19,2,1</CBPLI>
                                    <FCN>1</FCN>
                                    <FCT>1</FCT>
                                    <FCO>4</FCO>
                                    <F1FFF><![CDATA[=0]]></F1FFF>
                                    <F2FFF/>
                                    <SIT>False</SIT>
                                    <BSV>True</BSV>
                                    <BCT>0</BCT>
                                    <CNBCN>0</CNBCN>
                                    <BTAS>0</BTAS>
                                    <IST>1</IST>
                                    <RO>False</RO>
                                    <SIO>False</SIO>
                                    <TO>0</TO>
                                    <TS/>
                                    <DO>1</DO>
                                    <TB>1</TB>
                                    <R>10</R>
                                    <P>False</P>
                                    <AB>0</AB>
                                    <NSD>1</NSD>
                                    <DU>1</DU>
                                    <INF>False</INF>
                                    <NT>0</NT>
                                    <DP>0</DP>
                                    <CNF/>
                                  </FmtCndProps>
                                  <FntOvly>
                                    <FntOvlyProps>
                                      <PT>2</PT>
                                      <SON>0</SON>
                                      <CBPLI>1,3,19,2,1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20,3,1,0,0,0,FALSE,FALSE,3,20,3,1,0,1,0,FALSE,FALSE§Z¿)),1,MIN(SUM(§A¿0,1,1,3,20,3,1,0,0,0,FALSE,FALSE,3,20,3,1,0,1,0,FALSE,FALSE§Z¿),1))]]></VOFFF>
                              </ClmnBlkPtProps>
                              <Chk>
                                <ChkProps>
                                  <CBPLI>1,3,20,2,1</CBPLI>
                                  <CT>2</CT>
                                  <CN>9</CN>
                                  <HST>1</HST>
                                  <CHT/>
                                  <HCBPLI>1,1,2,1,1</HCBPLI>
                                </ChkProps>
                              </Chk>
                              <Cmts>
                                <Cmt>
                                  <CmtProps>
                                    <CBPLI>1,3,20,2,1</CBPLI>
                                    <WRN>1</WRN>
                                    <ERT>5</ERT>
                                    <COSTN>0</COSTN>
                                    <OC>0</OC>
                                    <HT><![CDATA[Alert Check]]></HT>
                                    <HFS>0</HFS>
                                    <BT><![CDATA[Flags the occurrence of designated events.]]></BT>
                                    <BFS>0</BFS>
                                    <H>95</H>
                                    <W>128</W>
                                  </CmtProps>
                                </Cmt>
                              </Cmts>
                              <FmtCnds>
                                <FmtCnd>
                                  <FmtCndProps>
                                    <CBPLI>1,3,20,2,1</CBPLI>
                                    <FCN>1</FCN>
                                    <FCT>1</FCT>
                                    <FCO>4</FCO>
                                    <F1FFF><![CDATA[=0]]></F1FFF>
                                    <F2FFF/>
                                    <SIT>False</SIT>
                                    <BSV>True</BSV>
                                    <BCT>0</BCT>
                                    <CNBCN>0</CNBCN>
                                    <BTAS>0</BTAS>
                                    <IST>1</IST>
                                    <RO>False</RO>
                                    <SIO>False</SIO>
                                    <TO>0</TO>
                                    <TS/>
                                    <DO>1</DO>
                                    <TB>1</TB>
                                    <R>10</R>
                                    <P>False</P>
                                    <AB>0</AB>
                                    <NSD>1</NSD>
                                    <DU>1</DU>
                                    <INF>False</INF>
                                    <NT>0</NT>
                                    <DP>0</DP>
                                    <CNF/>
                                  </FmtCndProps>
                                  <FntOvly>
                                    <FntOvlyProps>
                                      <PT>2</PT>
                                      <SON>0</SON>
                                      <CBPLI>1,3,20,2,1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2</SON>
                                <VOFFF><![CDATA[=MIN(SUM(§A¿0,1,1,3,18,2,1,-1,0,0,FALSE,FALSE,3,19,2,1,-1,0,0,FALSE,FALSE§Z¿),1)]]></VOFFF>
                              </ClmnBlkPtProps>
                              <FmtCnds>
                                <FmtCnd>
                                  <FmtCndProps>
                                    <CBPLI>1,3,20,3,1</CBPLI>
                                    <FCN>1</FCN>
                                    <FCT>1</FCT>
                                    <FCO>4</FCO>
                                    <F1FFF><![CDATA[=0]]></F1FFF>
                                    <F2FFF/>
                                    <SIT>False</SIT>
                                    <BSV>True</BSV>
                                    <BCT>0</BCT>
                                    <CNBCN>0</CNBCN>
                                    <BTAS>0</BTAS>
                                    <IST>1</IST>
                                    <RO>False</RO>
                                    <SIO>False</SIO>
                                    <TO>0</TO>
                                    <TS/>
                                    <DO>1</DO>
                                    <TB>1</TB>
                                    <R>10</R>
                                    <P>False</P>
                                    <AB>0</AB>
                                    <NSD>1</NSD>
                                    <DU>1</DU>
                                    <INF>False</INF>
                                    <NT>0</NT>
                                    <DP>0</DP>
                                    <CNF/>
                                  </FmtCndProps>
                                  <FntOvly>
                                    <FntOvlyProps>
                                      <PT>2</PT>
                                      <SON>0</SON>
                                      <CBPLI>1,3,20,3,1</CBPLI>
                                      <FCN>1</FCN>
                                      <CN>0</CN>
                                      <IB>True</IB>
                                      <IC>True</IC>
                                      <B>True</B>
                                      <CT>2</CT>
                                      <CNU>3</CNU>
                                      <CPR>0</CPR>
                                      <TAS>0</TAS>
                                    </FntOvlyProps>
                                  </FntOvly>
                                </FmtCnd>
                              </FmtCnds>
                            </ClmnBlkPt>
                          </ClmnBlkPts>
                        </ClmnBlk>
                      </ClmnBlks>
                      <TtlCtg>
                        <TtlCtgProps>
                          <R>3</R>
                        </TtlCtgProps>
                      </TtlCtg>
                    </Elmt>
                  </Elmts>
                </Sect>
              </Sects>
              <Ctrls>
                <Ctrl>
                  <CtrlProps>
                    <MN>34</MN>
                    <MCN>1</MCN>
                    <SIT>1</SIT>
                    <TLCRSN>1</TLCRSN>
                    <TLCREN>7</TLCREN>
                    <TLCRSRT>0</TLCRSRT>
                    <TLCCPT>3</TLCCPT>
                    <TLCCN>8</TLCCN>
                    <TLCCOT>0</TLCCOT>
                    <TLCCOC>5</TLCCOC>
                    <TLCCPTBMCN>4</TLCCPTBMCN>
                    <TLCCPTBN>2</TLCCPTBN>
                    <BRCRSN>1</BRCRSN>
                    <BRCREN>7</BRCREN>
                    <BRCRSRT>0</BRCRSRT>
                    <BRCCPT>3</BRCCPT>
                    <BRCCN>9</BRCCN>
                    <BRCCOT>1</BRCCOT>
                    <BRCCOC>0</BRCCOC>
                    <BRCCPTBMCN>4</BRCCPTBMCN>
                    <BRCCPTBN>2</BRCCPTBN>
                    <P>1</P>
                    <HAL>-4131</HAL>
                    <WA>1</WA>
                    <VA>-4108</VA>
                    <HAD>1</HAD>
                    <TI>0</TI>
                    <CT>0</CT>
                    <N/>
                    <D3DS>False</D3DS>
                    <PO>True</PO>
                    <L>True</L>
                    <OA/>
                    <T/>
                    <THA>-4108</THA>
                    <TVA>-4108</TVA>
                    <LT>True</LT>
                    <LCFFA><![CDATA[§A¿0,1,0,1,7,2,1,0,0,0,TRUE,TRUE§Z¿]]></LCFFA>
                    <LCCA/>
                    <CV>1</CV>
                    <MIV>0</MIV>
                    <MAV>100</MAV>
                    <SC>1</SC>
                    <LC>10</LC>
                    <LFRFFA><![CDATA[§A¿0,2,1,1,6,1,6,-1,0,0,TRUE,TRUE,1,6,1,1,2,0,0,TRUE,TRUE§Z¿]]></LFRFFA>
                    <LFRCA/>
                    <DDL>0</DDL>
                  </CtrlProps>
                </Ctrl>
              </Ctrls>
            </ModComp>
            <ModComp>
              <ModCompProps>
                <MN>34</MN>
                <MCN>2</MCN>
                <MCTK>LU</MCTK>
                <RT><![CDATA[<ModuleName> - Lookups]]></RT>
                <ERN>MODMC53</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20</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ModuleGenericName> Allocation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A¿0,1,0,2,2,1,1,0,0,0,FALSE,FALSE§Z¿]]></VOFFF>
                              </ClmnBlkPtProps>
                              <RgeNmes>
                                <RgeNme>
                                  <RgeNmeProps>
                                    <CBPLI>2,1,6,1,1</CBPLI>
                                    <MCN>2</MCN>
                                    <SN>1</SN>
                                    <EN>6</EN>
                                    <CN>0</CN>
                                    <CBN>1</CBN>
                                    <CBPN>1</CBPN>
                                    <PT>1</PT>
                                    <CBPRNT>2</CBPRNT>
                                    <NT>11</NT>
                                    <SP1><![CDATA[Cat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None (Cas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Inv_Cat_Names]]></VOFFF>
                              </ClmnBlkPtProps>
                            </ClmnBlkPt>
                          </ClmnBlkPts>
                        </ClmnBlk>
                      </ClmnBlks>
                      <SubTtls>
                        <SubTtl>
                          <SubTtlHdgRow>
                            <SubTtlHdgRowProps>
                              <STLI>2,1,6,1</STLI>
                              <R>0</R>
                            </SubTtlHdgRowProps>
                          </SubTtlHdgRow>
                          <Ctgs>
                            <Ctg>
                              <CtgProps>
                                <R>3</R>
                              </CtgProps>
                              <LuTblLbl>
                                <LuTblLblProps>
                                  <CLI>2,1,6,False,1</CLI>
                                  <L><![CDATA[Lookup Label <CategoryNumber>.]]></L>
                                </LuTblLblProps>
                              </LuTblLbl>
                            </Ctg>
                          </Ctgs>
                        </SubTtl>
                      </SubTtls>
                      <TtlCtg>
                        <TtlCtgProps>
                          <R>3</R>
                        </TtlCtgProps>
                      </TtlCtg>
                    </Elmt>
                  </Elmts>
                </Sect>
              </Sects>
            </ModComp>
          </ModComps>
        </Mod>
        <Mod>
          <ModProps>
            <MVS>14.0.5.0</MVS>
            <RAV/>
            <RXV>0</RXV>
            <FV>3</FV>
            <MT>0</MT>
            <SCT>-1</SCT>
            <P><![CDATA[Creditors]]></P>
            <OI>300</OI>
            <MN>0</MN>
            <MAG>AE1B75D9-5A46-40DB-A8A0-11F841A50A57</MAG>
            <BN><![CDATA[Creditors]]></BN>
            <N><![CDATA[Creditors]]></N>
            <TS><![CDATA[Monthly]]></TS>
            <D><![CDATA[Calculates creditors balances for a number of creditors categories over a number of time series periods.]]></D>
            <FS><![CDATA[Collects cash payment delay assumptions for each creditors category for each time series period.&#10;Operating expenditure and cost of goods sold amounts (including VAT) are then either assumed or linked in before being used to calculate creditors closing balances based on these cash payment delay assumptions.]]></FS>
            <R><![CDATA[United Kingdom]]></R>
            <GE><![CDATA[Creditors]]></GE>
            <CA><![CDATA[Days Terms, COGS]]></CA>
            <VA><![CDATA[Single Component]]></VA>
            <GST><![CDATA[VAT]]></GST>
            <DE><![CDATA[Modano]]></DE>
            <E><![CDATA[info@modano.com]]></E>
            <C><![CDATA[Modano]]></C>
            <W><![CDATA[www.modano.com]]></W>
            <K/>
            <CO/>
            <V>10.10.2.0.</V>
            <AX>2</AX>
            <SX/>
            <PMLO>False</PMLO>
            <IPMLO>False</IPMLO>
            <MACA>0</MACA>
            <HP>False</HP>
            <DR>False</DR>
            <RTSM>True</RTSM>
            <CC>True</CC>
            <X>False</X>
            <G>3383AA76-DF0F-4915-B7AD-8FBB3925A9AD</G>
          </ModProps>
          <RowStgs>
            <RowStg>
              <RowStgProps>
                <RSN>1</RSN>
                <RHST>0</RHST>
                <HS>0</HS>
                <OL>3</OL>
                <RH>False</RH>
              </RowStgProps>
            </RowStg>
            <RowStg>
              <RowStgProps>
                <RSN>2</RSN>
                <RHST>1</RHST>
                <HS>50</HS>
                <OL>3</OL>
                <RH>False</RH>
              </RowStgProps>
            </RowStg>
            <RowStg>
              <RowStgProps>
                <RSN>3</RSN>
                <RHST>0</RHST>
                <HS>100</HS>
                <OL>2</OL>
                <RH>False</RH>
              </RowStgProps>
            </RowStg>
            <RowStg>
              <RowStgProps>
                <RSN>4</RSN>
                <RHST>1</RHST>
                <HS>50</HS>
                <OL>2</OL>
                <RH>False</RH>
              </RowStgProps>
            </RowStg>
            <RowStg>
              <RowStgProps>
                <RSN>5</RSN>
                <RHST>0</RHST>
                <HS>0</HS>
                <OL>3</OL>
                <RH>True</RH>
              </RowStgProps>
            </RowStg>
          </RowStgs>
          <StlOvlys>
            <StlOvly>
              <StlOvlyProps>
                <SON>1</SON>
              </StlOvlyProps>
              <BdrOvlys>
                <BdrOvly>
                  <BdrOvlyProps>
                    <PT>1</PT>
                    <SON>1</SON>
                    <CBPLI/>
                    <FCN>0</FCN>
                    <I>True</I>
                    <BI>9</BI>
                    <LS>1</LS>
                    <W>2</W>
                  </BdrOvlyProps>
                </BdrOvly>
              </BdrOvlys>
            </StlOvly>
            <StlOvly>
              <StlOvlyProps>
                <SON>2</SON>
                <INF>True</INF>
                <NT>0</NT>
                <DP>0</DP>
                <CNF/>
              </StlOvlyProps>
            </StlOvly>
            <StlOvly>
              <StlOvlyProps>
                <SON>3</SON>
                <INF>True</INF>
                <NT>0</NT>
                <DP>0</DP>
                <CNF/>
              </StlOvlyProps>
              <BdrOvlys>
                <BdrOvly>
                  <BdrOvlyProps>
                    <PT>1</PT>
                    <SON>3</SON>
                    <CBPLI/>
                    <FCN>0</FCN>
                    <I>True</I>
                    <BI>9</BI>
                    <LS>-4115</LS>
                    <W>2</W>
                  </BdrOvlyProps>
                </BdrOvly>
              </BdrOvlys>
            </StlOvly>
            <StlOvly>
              <StlOvlyProps>
                <SON>4</SON>
                <INF>True</INF>
                <NT>0</NT>
                <DP>0</DP>
                <CNF><![CDATA[_(#,##0.0_);(#,##0.0);_-"-"_-]]></CNF>
              </StlOvlyProps>
            </StlOvly>
            <StlOvly>
              <StlOvlyProps>
                <SON>5</SON>
                <INF>True</INF>
                <NT>0</NT>
                <DP>0</DP>
                <CNF><![CDATA[_(#,##0.0_);(#,##0.0);_-"-"_-]]></CNF>
              </StlOvlyProps>
              <FntOvly>
                <FntOvlyProps>
                  <PT>1</PT>
                  <SON>5</SON>
                  <CBPLI>0,0,0,0,0</CBPLI>
                  <FCN>0</FCN>
                  <CN>0</CN>
                  <IB>True</IB>
                  <B>True</B>
                </FntOvlyProps>
              </FntOvly>
              <BdrOvlys>
                <BdrOvly>
                  <BdrOvlyProps>
                    <PT>1</PT>
                    <SON>5</SON>
                    <CBPLI/>
                    <FCN>0</FCN>
                    <I>True</I>
                    <BI>10</BI>
                    <LS>1</LS>
                    <W>2</W>
                  </BdrOvlyProps>
                </BdrOvly>
              </BdrOvlys>
            </StlOvly>
            <StlOvly>
              <StlOvlyProps>
                <SON>6</SON>
              </StlOvlyProps>
              <FntOvly>
                <FntOvlyProps>
                  <PT>1</PT>
                  <SON>6</SON>
                  <CBPLI>0,0,0,0,0</CBPLI>
                  <FCN>0</FCN>
                  <CN>0</CN>
                  <IB>True</IB>
                  <B>True</B>
                </FntOvlyProps>
              </FntOvly>
            </StlOvly>
            <StlOvly>
              <StlOvlyProps>
                <SON>7</SON>
              </StlOvlyProps>
              <BdrOvlys>
                <BdrOvly>
                  <BdrOvlyProps>
                    <PT>1</PT>
                    <SON>7</SON>
                    <CBPLI/>
                    <FCN>0</FCN>
                    <I>True</I>
                    <BI>9</BI>
                    <LS>-4115</LS>
                    <W>2</W>
                  </BdrOvlyProps>
                </BdrOvly>
              </BdrOvlys>
            </StlOvly>
            <StlOvly>
              <StlOvlyProps>
                <SON>8</SON>
              </StlOvlyProps>
              <FntOvly>
                <FntOvlyProps>
                  <PT>1</PT>
                  <SON>8</SON>
                  <CBPLI>0,0,0,0,0</CBPLI>
                  <FCN>0</FCN>
                  <CN>0</CN>
                  <IB>True</IB>
                  <B>True</B>
                </FntOvlyProps>
              </FntOvly>
              <BdrOvlys>
                <BdrOvly>
                  <BdrOvlyProps>
                    <PT>1</PT>
                    <SON>8</SON>
                    <CBPLI/>
                    <FCN>0</FCN>
                    <I>True</I>
                    <BI>8</BI>
                    <LS>1</LS>
                    <W>2</W>
                  </BdrOvlyProps>
                </BdrOvly>
              </BdrOvlys>
            </StlOvly>
            <StlOvly>
              <StlOvlyProps>
                <SON>9</SON>
              </StlOvlyProps>
              <FntOvly>
                <FntOvlyProps>
                  <PT>1</PT>
                  <SON>9</SON>
                  <CBPLI>0,0,0,0,0</CBPLI>
                  <FCN>0</FCN>
                  <CN>0</CN>
                  <IC>True</IC>
                  <CT>-2</CT>
                  <CNU>0</CNU>
                  <CPR>0</CPR>
                  <TAS>0</TAS>
                </FntOvlyProps>
              </FntOvly>
            </StlOvly>
            <StlOvly>
              <StlOvlyProps>
                <SON>10</SON>
                <INF>True</INF>
                <NT>0</NT>
                <DP>0</DP>
                <CNF/>
              </StlOvlyProps>
              <BdrOvlys>
                <BdrOvly>
                  <BdrOvlyProps>
                    <PT>1</PT>
                    <SON>10</SON>
                    <CBPLI/>
                    <FCN>0</FCN>
                    <I>True</I>
                    <BI>8</BI>
                    <LS>-4115</LS>
                    <W>2</W>
                  </BdrOvlyProps>
                </BdrOvly>
              </BdrOvlys>
            </StlOvly>
            <StlOvly>
              <StlOvlyProps>
                <SON>11</SON>
                <INF>True</INF>
                <NT>0</NT>
                <DP>0</DP>
                <CNF/>
              </StlOvlyProps>
              <BdrOvlys>
                <BdrOvly>
                  <BdrOvlyProps>
                    <PT>1</PT>
                    <SON>11</SON>
                    <CBPLI/>
                    <FCN>0</FCN>
                    <I>True</I>
                    <BI>10</BI>
                    <LS>1</LS>
                    <W>2</W>
                  </BdrOvlyProps>
                </BdrOvly>
              </BdrOvlys>
            </StlOvly>
            <StlOvly>
              <StlOvlyProps>
                <SON>12</SON>
                <INF>True</INF>
                <NT>1</NT>
                <DP>2</DP>
                <CNF/>
              </StlOvlyProps>
              <BdrOvlys>
                <BdrOvly>
                  <BdrOvlyProps>
                    <PT>1</PT>
                    <SON>12</SON>
                    <CBPLI/>
                    <FCN>0</FCN>
                    <I>True</I>
                    <BI>8</BI>
                    <LS>-4115</LS>
                    <W>2</W>
                  </BdrOvlyProps>
                </BdrOvly>
              </BdrOvlys>
            </StlOvly>
            <StlOvly>
              <StlOvlyProps>
                <SON>13</SON>
                <IHA>True</IHA>
                <HA>-4108</HA>
              </StlOvlyProps>
            </StlOvly>
          </StlOvlys>
          <ElmtsGrps>
            <ElmtsGrp>
              <ElmtsGrpProps>
                <NU>1</NU>
                <NA><![CDATA[Creditors]]></NA>
                <EGT>0</EGT>
                <DCC>3</DCC>
                <AST>False</AST>
                <ISTH>True</ISTH>
                <PTMCN>0</PTMCN>
                <PTBN>0</PTBN>
                <PTBI>0</PTBI>
                <GLN/>
                <CLOT>0</CLOT>
                <CLIT>0</CLIT>
                <PMLO>0</PMLO>
                <IPMLO>0</IPMLO>
              </ElmtsGrpProps>
            </ElmtsGrp>
            <ElmtsGrp>
              <ElmtsGrpProps>
                <NU>2</NU>
                <NA><![CDATA[Expenses]]></NA>
                <EGT>0</EGT>
                <DCC>6</DCC>
                <AST>False</AST>
                <ISTH>True</ISTH>
                <PTMCN>0</PTMCN>
                <PTBN>0</PTBN>
                <PTBI>0</PTBI>
                <GLN/>
                <CLOT>0</CLOT>
                <CLIT>0</CLIT>
                <PMLO>0</PMLO>
                <IPMLO>0</IPMLO>
              </ElmtsGrpProps>
            </ElmtsGrp>
          </ElmtsGrps>
          <ModComps>
            <ModComp>
              <ModCompProps>
                <MN>35</MN>
                <MCN>1</MCN>
                <MCTK>BaseCase</MCTK>
                <RT><![CDATA[<ModuleName>]]></RT>
                <ERN>MODMC54</ERN>
                <MCST>1</MCST>
                <IPMC>False</IPMC>
                <SN>11</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11</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Expenses Alloc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Expenses (Inc. VAT)]]></VOFFF>
                              </ClmnBlkPtProps>
                            </ClmnBlkPt>
                          </ClmnBlkPts>
                        </ClmnBlk>
                        <ClmnBlk>
                          <ClmnBlkProps>
                            <FCPT>3</FCPT>
                            <FCN>8</FCN>
                            <FCOT>0</FCOT>
                            <FCOC>5</FCOC>
                            <FCPTBMCN>4</FCPTBMCN>
                            <FCPTBN>2</FCPTBN>
                            <LCPT>3</LCPT>
                            <LCN>8</LCN>
                            <LCOT>0</LCOT>
                            <LCOC>5</LCOC>
                            <LCPTBMCN>4</LCPTBMCN>
                            <LCPTBN>2</LCPTBN>
                          </ClmnBlkProps>
                          <ClmnBlkPts>
                            <ClmnBlkPt>
                              <ClmnBlkPtProps>
                                <CBPT>5</CBPT>
                                <ST>5</ST>
                                <VOFFF><![CDATA[Allocation]]></VOFFF>
                              </ClmnBlkPtProps>
                            </ClmnBlkPt>
                          </ClmnBlkPts>
                        </ClmnBlk>
                      </ClmnBlks>
                      <TtlCtg>
                        <TtlCtgProps>
                          <R>3</R>
                        </TtlCtgProps>
                      </TtlCtg>
                    </Elmt>
                    <Elmt>
                      <ElmtProps>
                        <CPT>1</CPT>
                        <TOT>False</TOT>
                        <EGN>2</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1,1,7,1,1</CBPLI>
                                    <ELN>3</ELN>
                                    <FFF><![CDATA[=§A¿10,FALSE,0,1,0,FALSE§Z¿]]></FFF>
                                  </LnkInFormProps>
                                </LnkInForm>
                                <LnkInForm>
                                  <LnkInFormProps>
                                    <CBPLI>1,1,7,1,1</CBPLI>
                                    <ELN>2</ELN>
                                    <FFF><![CDATA[=§A¿10,FALSE,0,1,0,FALSE§Z¿]]></FFF>
                                  </LnkInFormProps>
                                </LnkInForm>
                                <LnkInForm>
                                  <LnkInFormProps>
                                    <CBPLI>1,1,7,1,1</CBPLI>
                                    <ELN>1</ELN>
                                    <FFF><![CDATA[=§A¿10,FALSE,0,1,0,FALSE§Z¿]]></FFF>
                                  </LnkInFormProps>
                                </LnkInForm>
                              </LnkInForms>
                            </ClmnBlkPt>
                            <ClmnBlkPt>
                              <ClmnBlkPtProps>
                                <CBPT>1</CBPT>
                                <ST>6</ST>
                                <MC>True</MC>
                                <VOFFF><![CDATA[=§A¿0,1,0,1,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15</ST>
                                <SON>9</SON>
                                <VOFFF><![CDATA[1]]></VOFFF>
                                <UDAV><![CDATA[1]]></UDAV>
                              </ClmnBlkPtProps>
                              <Vdtn>
                                <VdtnProps>
                                  <CBPLI>1,1,7,2,1</CBPLI>
                                  <ADVT>-1</ADVT>
                                  <VT>1</VT>
                                  <AS>1</AS>
                                  <O>1</O>
                                  <F1FFF><![CDATA[1]]></F1FFF>
                                  <F2FFF><![CDATA[=ROWS(§A¿1,1,2,1,6,0,1,1,1§Z¿)+1]]></F2FFF>
                                  <IB>False</IB>
                                  <ICDD>False</ICDD>
                                  <SI>False</SI>
                                  <IT/>
                                  <IM/>
                                  <SE>True</SE>
                                  <ET><![CDATA[Drop Down Box Cell Link]]></ET>
                                  <EM><![CDATA[The value in a drop down box cell link must be a whole number within the control's lookup range rows.]]></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1,1,7,3,1</CBPLI>
                                  <ADVT>0</ADVT>
                                  <VT>7</VT>
                                </VdtnProps>
                              </Vdtn>
                              <LnkInForms>
                                <LnkInForm>
                                  <LnkInFormProps>
                                    <CBPLI>1,1,7,3,1</CBPLI>
                                    <ELN>3</ELN>
                                    <FFF><![CDATA[=§A¿10,FALSE,0,2,0,FALSE§Z¿]]></FFF>
                                  </LnkInFormProps>
                                </LnkInForm>
                                <LnkInForm>
                                  <LnkInFormProps>
                                    <CBPLI>1,1,7,3,1</CBPLI>
                                    <ELN>2</ELN>
                                    <FFF><![CDATA[=§A¿10,FALSE,0,2,0,FALSE§Z¿]]></FFF>
                                  </LnkInFormProps>
                                </LnkInForm>
                                <LnkInForm>
                                  <LnkInFormProps>
                                    <CBPLI>1,1,7,3,1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Props>
                            <R>1</R>
                          </SubTtlProps>
                          <SubTtlHdgRow>
                            <SubTtlHdgRowProps>
                              <STLI>1,1,7,1</STLI>
                              <R>1</R>
                            </SubTtlHdgRowProps>
                          </SubTtlHdgRow>
                          <TtlSpcrRow>
                            <TtlSpcrRowProps>
                              <RSN>2</RSN>
                            </TtlSpcrRowProps>
                          </TtlSpcrRow>
                          <Ctgs>
                            <Ctg>
                              <CtgProps>
                                <R>3</R>
                              </CtgProps>
                              <ShpNmes>
                                <ShpNme>
                                  <ShpNmeProps>
                                    <ELI>1,1,7</ELI>
                                    <COSTN>1</COSTN>
                                    <ST>1</ST>
                                    <SNPT>5</SNPT>
                                    <N><![CDATA[bpmDropDownCreditors1]]></N>
                                    <SHN>1</SHN>
                                    <SHTN>1</SHTN>
                                  </ShpNmeProps>
                                </ShpNme>
                              </ShpNmes>
                              <LnkIn>
                                <LnkInProps>
                                  <MN>35</MN>
                                  <CLI>1,1,7,False,1</CLI>
                                  <ELN>1</ELN>
                                  <LOOT>0</LOOT>
                                  <LOMN>45</LOMN>
                                  <LOMCN>1</LOMCN>
                                  <LOSN>1</LOSN>
                                  <LOEN>145</LOEN>
                                  <LOCN>1</LOCN>
                                </LnkInProps>
                              </LnkIn>
                            </Ctg>
                            <Ctg>
                              <CtgProps>
                                <R>3</R>
                              </CtgProps>
                              <ShpNmes>
                                <ShpNme>
                                  <ShpNmeProps>
                                    <ELI>1,1,7</ELI>
                                    <COSTN>2</COSTN>
                                    <ST>1</ST>
                                    <SNPT>5</SNPT>
                                    <N><![CDATA[bpmDropDownCreditors2]]></N>
                                    <SHN>1</SHN>
                                    <SHTN>1</SHTN>
                                  </ShpNmeProps>
                                </ShpNme>
                              </ShpNmes>
                              <LnkIn>
                                <LnkInProps>
                                  <MN>35</MN>
                                  <CLI>1,1,7,False,2</CLI>
                                  <ELN>1</ELN>
                                  <LOOT>0</LOOT>
                                  <LOMN>45</LOMN>
                                  <LOMCN>1</LOMCN>
                                  <LOSN>1</LOSN>
                                  <LOEN>145</LOEN>
                                  <LOCN>2</LOCN>
                                </LnkInProps>
                              </LnkIn>
                            </Ctg>
                            <Ctg>
                              <CtgProps>
                                <R>3</R>
                              </CtgProps>
                              <ShpNmes>
                                <ShpNme>
                                  <ShpNmeProps>
                                    <ELI>1,1,7</ELI>
                                    <COSTN>3</COSTN>
                                    <ST>1</ST>
                                    <SNPT>5</SNPT>
                                    <N><![CDATA[bpmDropDownCreditors7]]></N>
                                    <SHN>1</SHN>
                                    <SHTN>1</SHTN>
                                  </ShpNmeProps>
                                </ShpNme>
                              </ShpNmes>
                              <LnkIn>
                                <LnkInProps>
                                  <MN>35</MN>
                                  <CLI>1,1,7,False,3</CLI>
                                  <ELN>1</ELN>
                                  <LOOT>0</LOOT>
                                  <LOMN>45</LOMN>
                                  <LOMCN>1</LOMCN>
                                  <LOSN>1</LOSN>
                                  <LOEN>145</LOEN>
                                  <LOCN>3</LOCN>
                                </LnkInProps>
                              </LnkIn>
                            </Ctg>
                            <Ctg>
                              <CtgProps>
                                <R>3</R>
                              </CtgProps>
                              <ShpNmes>
                                <ShpNme>
                                  <ShpNmeProps>
                                    <ELI>1,1,7</ELI>
                                    <COSTN>4</COSTN>
                                    <ST>1</ST>
                                    <SNPT>5</SNPT>
                                    <N><![CDATA[bpmDropDownCreditors4]]></N>
                                    <SHN>1</SHN>
                                    <SHTN>1</SHTN>
                                  </ShpNmeProps>
                                </ShpNme>
                              </ShpNmes>
                              <LnkIn>
                                <LnkInProps>
                                  <MN>35</MN>
                                  <CLI>1,1,7,False,4</CLI>
                                  <ELN>2</ELN>
                                  <LOOT>0</LOOT>
                                  <LOMN>45</LOMN>
                                  <LOMCN>1</LOMCN>
                                  <LOSN>1</LOSN>
                                  <LOEN>151</LOEN>
                                  <LOCN>1</LOCN>
                                </LnkInProps>
                              </LnkIn>
                            </Ctg>
                            <Ctg>
                              <CtgProps>
                                <R>3</R>
                              </CtgProps>
                              <ShpNmes>
                                <ShpNme>
                                  <ShpNmeProps>
                                    <ELI>1,1,7</ELI>
                                    <COSTN>5</COSTN>
                                    <ST>1</ST>
                                    <SNPT>5</SNPT>
                                    <N><![CDATA[bpmDropDownCreditors3]]></N>
                                    <SHN>1</SHN>
                                    <SHTN>1</SHTN>
                                  </ShpNmeProps>
                                </ShpNme>
                              </ShpNmes>
                              <LnkIn>
                                <LnkInProps>
                                  <MN>35</MN>
                                  <CLI>1,1,7,False,5</CLI>
                                  <ELN>2</ELN>
                                  <LOOT>0</LOOT>
                                  <LOMN>45</LOMN>
                                  <LOMCN>1</LOMCN>
                                  <LOSN>1</LOSN>
                                  <LOEN>151</LOEN>
                                  <LOCN>2</LOCN>
                                </LnkInProps>
                              </LnkIn>
                            </Ctg>
                            <Ctg>
                              <CtgProps>
                                <R>3</R>
                              </CtgProps>
                              <ShpNmes>
                                <ShpNme>
                                  <ShpNmeProps>
                                    <ELI>1,1,7</ELI>
                                    <COSTN>6</COSTN>
                                    <ST>1</ST>
                                    <SNPT>5</SNPT>
                                    <N><![CDATA[bpmDropDownCreditors8]]></N>
                                    <SHN>1</SHN>
                                    <SHTN>1</SHTN>
                                  </ShpNmeProps>
                                </ShpNme>
                              </ShpNmes>
                              <LnkIn>
                                <LnkInProps>
                                  <MN>35</MN>
                                  <CLI>1,1,7,False,6</CLI>
                                  <ELN>2</ELN>
                                  <LOOT>0</LOOT>
                                  <LOMN>45</LOMN>
                                  <LOMCN>1</LOMCN>
                                  <LOSN>1</LOSN>
                                  <LOEN>151</LOEN>
                                  <LOCN>3</LOCN>
                                </LnkInProps>
                              </LnkIn>
                            </Ctg>
                            <Ctg>
                              <CtgProps>
                                <R>3</R>
                              </CtgProps>
                              <ShpNmes>
                                <ShpNme>
                                  <ShpNmeProps>
                                    <ELI>1,1,7</ELI>
                                    <COSTN>7</COSTN>
                                    <ST>1</ST>
                                    <SNPT>5</SNPT>
                                    <N><![CDATA[bpmDropDownCreditors10]]></N>
                                    <SHN>1</SHN>
                                    <SHTN>1</SHTN>
                                  </ShpNmeProps>
                                </ShpNme>
                              </ShpNmes>
                              <LnkIn>
                                <LnkInProps>
                                  <MN>35</MN>
                                  <CLI>1,1,7,False,7</CLI>
                                  <ELN>2</ELN>
                                  <LOOT>0</LOOT>
                                  <LOMN>45</LOMN>
                                  <LOMCN>1</LOMCN>
                                  <LOSN>1</LOSN>
                                  <LOEN>151</LOEN>
                                  <LOCN>4</LOCN>
                                </LnkInProps>
                              </LnkIn>
                            </Ctg>
                            <Ctg>
                              <CtgProps>
                                <R>3</R>
                              </CtgProps>
                              <ShpNmes>
                                <ShpNme>
                                  <ShpNmeProps>
                                    <ELI>1,1,7</ELI>
                                    <COSTN>8</COSTN>
                                    <ST>1</ST>
                                    <SNPT>5</SNPT>
                                    <N><![CDATA[bpmDropDownCreditors11]]></N>
                                    <SHN>1</SHN>
                                    <SHTN>1</SHTN>
                                  </ShpNmeProps>
                                </ShpNme>
                              </ShpNmes>
                              <LnkIn>
                                <LnkInProps>
                                  <MN>35</MN>
                                  <CLI>1,1,7,False,8</CLI>
                                  <ELN>2</ELN>
                                  <LOOT>0</LOOT>
                                  <LOMN>45</LOMN>
                                  <LOMCN>1</LOMCN>
                                  <LOSN>1</LOSN>
                                  <LOEN>151</LOEN>
                                  <LOCN>5</LOCN>
                                </LnkInProps>
                              </LnkIn>
                            </Ctg>
                            <Ctg>
                              <CtgProps>
                                <R>3</R>
                              </CtgProps>
                              <ShpNmes>
                                <ShpNme>
                                  <ShpNmeProps>
                                    <ELI>1,1,7</ELI>
                                    <COSTN>9</COSTN>
                                    <ST>1</ST>
                                    <SNPT>5</SNPT>
                                    <N><![CDATA[bpmDropDownCreditors12]]></N>
                                    <SHN>1</SHN>
                                    <SHTN>1</SHTN>
                                  </ShpNmeProps>
                                </ShpNme>
                              </ShpNmes>
                              <LnkIn>
                                <LnkInProps>
                                  <MN>35</MN>
                                  <CLI>1,1,7,False,9</CLI>
                                  <ELN>2</ELN>
                                  <LOOT>0</LOOT>
                                  <LOMN>45</LOMN>
                                  <LOMCN>1</LOMCN>
                                  <LOSN>1</LOSN>
                                  <LOEN>151</LOEN>
                                  <LOCN>6</LOCN>
                                </LnkInProps>
                              </LnkIn>
                            </Ctg>
                            <Ctg>
                              <CtgProps>
                                <R>3</R>
                              </CtgProps>
                              <ShpNmes>
                                <ShpNme>
                                  <ShpNmeProps>
                                    <ELI>1,1,7</ELI>
                                    <COSTN>10</COSTN>
                                    <ST>1</ST>
                                    <SNPT>5</SNPT>
                                    <N><![CDATA[bpmDropDownCreditors5]]></N>
                                    <SHN>1</SHN>
                                    <SHTN>1</SHTN>
                                  </ShpNmeProps>
                                </ShpNme>
                              </ShpNmes>
                              <LnkIn>
                                <LnkInProps>
                                  <MN>35</MN>
                                  <CLI>1,1,7,False,10</CLI>
                                  <ELN>2</ELN>
                                  <LOOT>0</LOOT>
                                  <LOMN>45</LOMN>
                                  <LOMCN>1</LOMCN>
                                  <LOSN>1</LOSN>
                                  <LOEN>151</LOEN>
                                  <LOCN>7</LOCN>
                                </LnkInProps>
                              </LnkIn>
                            </Ctg>
                            <Ctg>
                              <CtgProps>
                                <R>3</R>
                              </CtgProps>
                              <ShpNmes>
                                <ShpNme>
                                  <ShpNmeProps>
                                    <ELI>1,1,7</ELI>
                                    <COSTN>11</COSTN>
                                    <ST>1</ST>
                                    <SNPT>5</SNPT>
                                    <N><![CDATA[bpmDropDownCreditors6]]></N>
                                    <SHN>1</SHN>
                                    <SHTN>1</SHTN>
                                  </ShpNmeProps>
                                </ShpNme>
                              </ShpNmes>
                              <LnkIn>
                                <LnkInProps>
                                  <MN>35</MN>
                                  <CLI>1,1,7,False,11</CLI>
                                  <ELN>2</ELN>
                                  <LOOT>0</LOOT>
                                  <LOMN>45</LOMN>
                                  <LOMCN>1</LOMCN>
                                  <LOSN>1</LOSN>
                                  <LOEN>151</LOEN>
                                  <LOCN>8</LOCN>
                                </LnkInProps>
                              </LnkIn>
                            </Ctg>
                            <Ctg>
                              <CtgProps>
                                <R>3</R>
                              </CtgProps>
                              <ShpNmes>
                                <ShpNme>
                                  <ShpNmeProps>
                                    <ELI>1,1,7</ELI>
                                    <COSTN>12</COSTN>
                                    <ST>1</ST>
                                    <SNPT>5</SNPT>
                                    <N><![CDATA[bpmDropDownCreditors9]]></N>
                                    <SHN>1</SHN>
                                    <SHTN>1</SHTN>
                                  </ShpNmeProps>
                                </ShpNme>
                              </ShpNmes>
                              <LnkIn>
                                <LnkInProps>
                                  <MN>35</MN>
                                  <CLI>1,1,7,False,12</CLI>
                                  <ELN>3</ELN>
                                  <LOOT>0</LOOT>
                                  <LOMN>45</LOMN>
                                  <LOMCN>1</LOMCN>
                                  <LOSN>1</LOSN>
                                  <LOEN>154</LOEN>
                                  <LOCN>1</LOCN>
                                </LnkInProps>
                              </LnkIn>
                            </Ctg>
                          </Ctgs>
                        </SubTtl>
                      </SubTtls>
                      <TtlCtg>
                        <TtlCtgProps>
                          <R>1</R>
                        </TtlCtgProps>
                        <TtlSpcrRow>
                          <TtlSpcrRowProps>
                            <RSN>2</RSN>
                          </TtlSpcrRowProps>
                        </TtlSpcrRow>
                      </TtlCtg>
                      <ElmtLnksIn>
                        <ElmtLnk>
                          <ElmtLnkProps>
                            <ELI>1,1,7</ELI>
                            <ELN>1</ELN>
                            <ELGN>1</ELGN>
                            <MLG>C3AEE604-C9C0-4DCC-84BB-FC4235E84FBF</MLG>
                            <ICBI>1,3</ICBI>
                            <ILBN/>
                            <LIBN>0</LIBN>
                          </ElmtLnkProps>
                        </ElmtLnk>
                        <ElmtLnk>
                          <ElmtLnkProps>
                            <ELI>1,1,7</ELI>
                            <ELN>2</ELN>
                            <ELGN>1</ELGN>
                            <MLG>EB190EDC-6436-419B-90CB-392B740B89B0</MLG>
                            <ICBI>1,3</ICBI>
                            <ILBN/>
                            <LIBN>0</LIBN>
                          </ElmtLnkProps>
                        </ElmtLnk>
                        <ElmtLnk>
                          <ElmtLnkProps>
                            <ELI>1,1,7</ELI>
                            <ELN>3</ELN>
                            <ELGN>1</ELGN>
                            <MLG>4FED42CE-E3D8-4B97-809D-09067CC2440C</MLG>
                            <ICBI>1,3</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chedules]]></VOFFF>
                              </ClmnBlkPtProps>
                            </ClmnBlkPt>
                          </ClmnBlkPts>
                        </ClmnBlk>
                        <ClmnBlk>
                          <ClmnBlkProps>
                            <FCPT>3</FCPT>
                            <FCN>3</FCN>
                            <FCOT>0</FCOT>
                            <FCOC>0</FCOC>
                            <FCPTBMCN>4</FCPTBMCN>
                            <FCPTBN>2</FCPTBN>
                            <LCPT>3</LCPT>
                            <LCN>8</LCN>
                            <LCOT>0</LCOT>
                            <LCOC>5</LCOC>
                            <LCPTBMCN>4</LCPTBMCN>
                            <LCPTBN>2</LCPTBN>
                          </ClmnBlkProps>
                          <ClmnBlkPts>
                            <ClmnBlkPt>
                              <ClmnBlkPtProps>
                                <CBPT>5</CBPT>
                                <ST>4</ST>
                                <VOFFF/>
                              </ClmnBlkPtProps>
                            </ClmnBlkPt>
                          </ClmnBlkPts>
                        </ClmnBlk>
                        <ClmnBlk>
                          <ClmnBlkProps>
                            <FCPT>3</FCPT>
                            <FCN>9</FCN>
                            <FCOT>0</FCOT>
                            <FCOC>6</FCOC>
                            <FCPTBMCN>4</FCPTBMCN>
                            <FCPTBN>2</FCPTBN>
                            <LCPT>3</LCPT>
                            <LCN>9</LCN>
                            <LCOT>1</LCOT>
                            <LCOC>0</LCOC>
                            <LCPTBMCN>4</LCPTBMCN>
                            <LCPTBN>2</LCPTBN>
                          </ClmnBlkProps>
                          <ClmnBlkPts>
                            <ClmnBlkPt>
                              <ClmnBlkPtProps>
                                <CBPT>5</CBPT>
                                <ST>4</ST>
                                <SON>13</SON>
                                <VOFFF><![CDATA[Opening]]></VOFFF>
                              </ClmnBlkPtProps>
                            </ClmnBlkPt>
                          </ClmnBlkPts>
                        </ClmnBlk>
                        <ClmnBlk>
                          <ClmnBlkProps>
                            <FCPT>3</FCPT>
                            <FCN>10</FCN>
                            <FCOT>0</FCOT>
                            <FCOC>0</FCOC>
                            <FCPTBMCN>4</FCPTBMCN>
                            <FCPTBN>3</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Timing]]></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ays i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9,4,0,0,1,5,3,1,-1,0,0,TRUE,FALSE§Z¿-§A¿9,4,0,0,1,4,3,1,-1,0,0,TRU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Start Timing]]></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9,4,0,0,1,6,3,1,-1,0,0,TRUE,FALSE§Z¿=1,0,§A¿0,1,0,1,14,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End Timing]]></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13,2,1,-1,0,0,FALSE,FALSE§Z¿+§A¿0,1,0,1,12,2,1,-1,0,0,FALSE,FALSE§Z¿]]></VOFFF>
                              </ClmnBlkPtProps>
                            </ClmnBlkPt>
                          </ClmnBlkPts>
                        </ClmnBlk>
                      </ClmnBlks>
                      <TtlCtg>
                        <TtlCtgProps>
                          <R>1</R>
                        </TtlCtgProps>
                      </TtlCtg>
                    </Elmt>
                  </Elmts>
                </Sect>
                <Sect>
                  <SectProps>
                    <LI>1,2</LI>
                    <EGN>1</EGN>
                  </SectProps>
                  <Elmts>
                    <Elmt>
                      <ElmtProps>
                        <CPT>1</CPT>
                        <TOT>False</TOT>
                        <EGN>1</EGN>
                      </ElmtProps>
                      <SubTtls>
                        <SubTtl>
                          <SubTtlHdgRow>
                            <SubTtlHdgRowProps>
                              <STLI>1,2,1,1</STLI>
                              <R>0</R>
                            </SubTtlHdgRowProps>
                          </SubTtlHdgRow>
                          <CatSpan>
                            <CatSpanProps>
                              <CC>2</CC>
                              <R>3</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ModuleName> Category <CategoryNumber>]]></VOFFF>
                                <UDAV><![CDATA[Category <CategoryNumber> Name]]></UDAV>
                              </ClmnBlkPtProps>
                              <LnkInForms>
                                <LnkInForm>
                                  <LnkInFormProps>
                                    <CBPLI>1,2,2,1,1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STLI>
                              <R>0</R>
                            </SubTtlHdgRowProps>
                          </SubTtlHdgRow>
                          <CatSpan>
                            <CatSpanProps>
                              <CC>2</CC>
                              <R>3</R>
                            </CatSpanProps>
                            <LnkIn>
                              <LnkInProps>
                                <MN>35</MN>
                                <CLI>1,2,2,False,1</CLI>
                                <ELN>1</ELN>
                                <LOOT>0</LOOT>
                                <LOMN>3</LOMN>
                                <LOMCN>1</LOMCN>
                                <LOSN>1</LOSN>
                                <LOEN>22</LOEN>
                                <LOCN>1</LOCN>
                              </LnkInProps>
                            </LnkIn>
                          </CatSpan>
                        </SubTtl>
                      </SubTtls>
                      <TtlCtg/>
                      <ElmtLnksIn>
                        <ElmtLnk>
                          <ElmtLnkProps>
                            <ELI>1,2,2</ELI>
                            <ELN>1</ELN>
                            <ELGN>2</ELGN>
                            <MLG>460D6454-E75E-4D80-A722-B086D521D2BE</MLG>
                            <ICBI>1</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Open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9,4,1,0,1,6,3,1,-1,0,0,TRUE,FALSE§Z¿=1,0,§A¿0,1,0,2,19,2,1,0,0,0,FALSE,FALSE§Z¿)]]></VOFFF>
                              </ClmnBlkPtProps>
                              <LnkInForms>
                                <LnkInForm>
                                  <LnkInFormProps>
                                    <CBPLI>1,2,3,2,1</CBPLI>
                                    <ELN>1</ELN>
                                    <FFF><![CDATA[=IF(§A¿9,4,1,0,1,6,3,1,-1,0,0,TRUE,FALSE§Z¿=1,§A¿10,FALSE,0,2,0,FALSE§Z¿,§A¿0,1,0,2,19,2,1,0,0,0,FALSE,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1,2,3,1</STLI>
                              <R>0</R>
                            </SubTtlHdgRowProps>
                          </SubTtlHdgRow>
                          <CatSpan>
                            <CatSpanProps>
                              <CC>2</CC>
                              <R>3</R>
                            </CatSpanProps>
                            <LnkIn>
                              <LnkInProps>
                                <MN>35</MN>
                                <CLI>1,2,3,False,1</CLI>
                                <ELN>1</ELN>
                                <LOOT>0</LOOT>
                                <LOMN>3</LOMN>
                                <LOMCN>1</LOMCN>
                                <LOSN>1</LOSN>
                                <LOEN>22</LOEN>
                                <LOCN>1</LOCN>
                              </LnkInProps>
                            </LnkIn>
                          </CatSpan>
                        </SubTtl>
                      </SubTtls>
                      <TtlCtg/>
                      <ElmtLnksIn>
                        <ElmtLnk>
                          <ElmtLnkProps>
                            <ELI>1,2,3</ELI>
                            <ELN>1</ELN>
                            <ELGN>2</ELGN>
                            <MLG>460D6454-E75E-4D80-A722-B086D521D2BE</MLG>
                            <ICBI>2</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Expense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0,1,1,1,7,2,1,1,0,0,TRUE,TRUE,1,7,2,1,2,0,0,TRUE,TRUE§Z¿,ROWS(§A¿0,2,1,1,6,1,1,0,0,0,FALSE,TRUE,1,6,1,1,1,0,0,TRUE,TRUE§Z¿)+1,§A¿0,1,1,1,7,3,1,1,0,0,TRUE,FALSE,1,7,3,1,2,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1,2,4,1</STLI>
                              <R>0</R>
                            </SubTtlHdgRowProps>
                          </SubTtlHdgRow>
                          <CatSpan>
                            <CatSpanProps>
                              <CC>2</CC>
                              <R>3</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Opening Balance Cash Payments - Profil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12</SON>
                                <VOFFF><![CDATA[=IF(§A¿0,1,0,2,21,2,1,0,0,0,FALSE,TRUE§Z¿=0,0,(MIN(§A¿0,1,0,2,21,2,1,0,0,0,FALSE,TRUE§Z¿,§A¿0,1,0,1,14,3,1,-1,0,0,TRUE,FALSE§Z¿)-MIN(§A¿0,1,0,2,21,2,1,0,0,0,FALSE,TRUE§Z¿,§A¿0,1,0,1,13,2,1,-1,0,0,TRUE,FALSE§Z¿))/§A¿0,1,0,2,21,2,1,0,0,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1,2,5,1</STLI>
                              <R>0</R>
                            </SubTtlHdgRowProps>
                          </SubTtlHdgRow>
                          <CatSpan>
                            <CatSpanProps>
                              <CC>2</CC>
                              <R>5</R>
                            </CatSpanProps>
                          </CatSpan>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Opening Balance 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TRUE§Z¿*§A¿0,1,0,2,5,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1,2,6,1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A¿0,1,0,2,21,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21,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1,2,7,1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Start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1,13,2,1,-1,0,0,TRUE,FALSE§Z¿+§A¿0,1,0,2,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1,2,8,1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End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8,2,1,0,0,0,FALSE,FALSE§Z¿+§A¿0,1,0,1,12,2,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1,2,9,1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1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10</SON>
                                <VOFFF><![CDATA[=IF(§A¿0,1,0,2,8,2,1,0,0,0,FALSE,FALSE§Z¿>MAX(§A¿0,1,1,1,14,3,1,-1,0,0,TRUE,TRUE,1,14,3,1,-1,1,0,TRUE,TRUE§Z¿),0,MATCH(§A¿0,1,0,2,8,2,1,0,0,0,FALSE,FALSE§Z¿,§A¿0,1,1,1,13,2,1,-1,0,0,TRUE,TRUE,1,13,2,1,-1,1,0,TRUE,TRUE§Z¿,1))]]>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1,2,10,1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2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IF(§A¿0,1,0,2,10,2,1,0,0,0,FALSE,FALSE§Z¿<1,0,IF(§A¿0,1,0,2,10,2,1,0,0,0,FALSE,FALSE§Z¿>=COLUMNS(§A¿0,1,1,2,10,2,1,0,0,0,FALSE,TRUE,2,10,2,1,0,1,0,FALSE,TRUE§Z¿),0,§A¿0,1,0,2,10,2,1,0,0,0,FALSE,FALSE§Z¿+1))]]>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1,2,11,1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3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IF(§A¿0,1,0,2,11,2,1,0,0,0,FALSE,FALSE§Z¿<1,0,IF(§A¿0,1,0,2,11,2,1,0,0,0,FALSE,FALSE§Z¿>=COLUMNS(§A¿0,1,1,2,11,2,1,0,0,0,FALSE,TRUE,2,11,2,1,0,1,0,FALSE,TRUE§Z¿),0,§A¿0,1,0,2,11,2,1,0,0,0,FALSE,FALSE§Z¿+1))]]>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1,2,12,1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1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0,2,1,0,0,0,FALSE,FALSE§Z¿),§A¿0,1,0,2,9,2,1,0,0,0,FALSE,FALSE§Z¿)-§A¿0,1,0,2,8,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1,2,13,1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2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1,2,1,0,0,0,FALSE,FALSE§Z¿),§A¿0,1,0,2,9,2,1,0,0,0,FALSE,FALSE§Z¿)-INDEX(§A¿0,1,1,1,13,2,1,-1,0,0,TRUE,TRUE,1,13,2,1,-1,1,0,TRUE,TRUE§Z¿,§A¿0,1,0,2,11,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1,2,14,1</STLI>
                              <R>0</R>
                            </SubTtlHdgRowProps>
                          </SubTtlHdgRow>
                          <CatSpan>
                            <CatSpanProps>
                              <CC>2</CC>
                              <R>5</R>
                            </CatSpanProps>
                          </CatSpan>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3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A¿0,1,0,1,12,2,1,-1,0,0,TRUE,FALSE§Z¿*MAX(MIN(INDEX(§A¿0,1,1,1,14,3,1,-1,0,0,TRUE,TRUE,1,14,3,1,-1,1,0,TRUE,TRUE§Z¿,§A¿0,1,0,2,12,2,1,0,0,0,FALSE,FALSE§Z¿),§A¿0,1,0,2,9,2,1,0,0,0,FALSE,FALSE§Z¿)-INDEX(§A¿0,1,1,1,13,2,1,-1,0,0,TRUE,TRUE,1,13,2,1,-1,1,0,TRUE,TRUE§Z¿,§A¿0,1,0,2,12,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1,2,15,1</STLI>
                              <R>0</R>
                            </SubTtlHdgRowProps>
                          </SubTtlHdgRow>
                          <CatSpan>
                            <CatSpanProps>
                              <CC>2</CC>
                              <R>5</R>
                            </CatSpanProps>
                          </CatSpan>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Periodic 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PRODUCT(((§A¿0,1,1,2,10,2,1,0,0,0,FALSE,TRUE,2,12,2,1,0,1,0,FALSE,TRUE§Z¿)=§A¿9,4,0,0,1,6,3,1,-1,0,0,TRUE,FALSE§Z¿)*§A¿0,1,1,2,13,2,1,0,0,0,FALSE,TRUE,2,15,2,1,0,1,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1,2,16,1</STLI>
                              <R>0</R>
                            </SubTtlHdgRowProps>
                          </SubTtlHdgRow>
                          <CatSpan>
                            <CatSpanProps>
                              <CC>2</CC>
                              <R>5</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16,2,1,0,0,0,FALSE,FALSE§Z¿+§A¿0,1,0,2,6,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1,2,17,1</STLI>
                              <R>0</R>
                            </SubTtlHdgRowProps>
                          </SubTtlHdgRow>
                          <CatSpan>
                            <CatSpanProps>
                              <CC>2</CC>
                              <R>3</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crease/(Decrease) in <ModuleGenericNa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4,2,1,0,0,0,FALSE,FALSE§Z¿+§A¿0,1,0,2,1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1,2,18,1</STLI>
                              <R>0</R>
                            </SubTtlHdgRowProps>
                          </SubTtlHdgRow>
                          <CatSpan>
                            <CatSpanProps>
                              <CC>2</CC>
                              <R>3</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Clos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3,2,1,0,0,0,FALSE,FALSE§Z¿+§A¿0,1,0,2,18,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1,2,19,1</STLI>
                              <R>0</R>
                            </SubTtlHdgRowProps>
                          </SubTtlHdgRow>
                          <CatSpan>
                            <CatSpanProps>
                              <CC>2</CC>
                              <R>3</R>
                            </CatSpanProps>
                          </CatSpan>
                        </SubTtl>
                      </SubTtls>
                      <TtlCtg/>
                    </Elmt>
                    <Elmt>
                      <ElmtProps>
                        <CPT>1</CPT>
                        <TOT>False</TOT>
                        <EGN>1</EGN>
                      </ElmtProps>
                      <SubTtls>
                        <SubTtl>
                          <SubTtlHdgRow>
                            <SubTtlHdgRowProps>
                              <STLI>1,2,20,1</STLI>
                              <R>0</R>
                            </SubTtlHdgRowProps>
                          </SubTtlHdgRow>
                          <CatSpan>
                            <CatSpanProps>
                              <CC>2</CC>
                              <R>4</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Payment Delay (Day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11</ST>
                                <SON>11</SON>
                                <VOFFF><![CDATA[0]]></VOFFF>
                                <UDAV><![CDATA[0]]></UDAV>
                              </ClmnBlkPtProps>
                              <Vdtn>
                                <VdtnProps>
                                  <CBPLI>1,2,21,2,1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SON>2</SON>
                                <VOFFF><![CDATA[0]]></VOFFF>
                                <UDAV><![CDATA[0]]></UDAV>
                              </ClmnBlkPtProps>
                              <Vdtn>
                                <VdtnProps>
                                  <CBPLI>1,2,21,3,1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1,2,21,1</STLI>
                              <R>0</R>
                            </SubTtlHdgRowProps>
                          </SubTtlHdgRow>
                          <CatSpan>
                            <CatSpanProps>
                              <CC>2</CC>
                              <R>3</R>
                            </CatSpanProps>
                          </CatSpan>
                        </SubTtl>
                      </SubTtls>
                      <TtlCtg/>
                    </Elmt>
                  </Elmts>
                </Sect>
                <Sect>
                  <SectProps>
                    <LI>1,3</LI>
                    <EGN>0</EGN>
                  </SectProps>
                  <Elmts>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4,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Open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1,3,4,1</STLI>
                              <R>0</R>
                            </SubTtlHdgRowProps>
                          </SubTtlHdgRow>
                          <CatSpan>
                            <CatSpanProps>
                              <CC>2</CC>
                              <R>5</R>
                            </CatSpanProps>
                          </CatSpan>
                        </SubTtl>
                      </SubTtls>
                      <TtlCtg>
                        <TtlCtgProps>
                          <R>3</R>
                        </TtlCtgProps>
                      </TtlCtg>
                      <ElmtLnksOut>
                        <ElmtLnk>
                          <ElmtLnkProps>
                            <ELI>1,3,4</ELI>
                            <ELN>1</ELN>
                            <ELGN>1</ELGN>
                            <MLG>EFA62D54-084A-4E64-B007-8EC7BBF2880E</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6,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Expense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1,3,6,1</STLI>
                              <R>0</R>
                            </SubTtlHdgRowProps>
                          </SubTtlHdgRow>
                          <CatSpan>
                            <CatSpanProps>
                              <CC>2</CC>
                              <R>5</R>
                            </CatSpanProps>
                          </CatSpan>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8,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Cash Payment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7,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1,3,8,1</STLI>
                              <R>0</R>
                            </SubTtlHdgRowProps>
                          </SubTtlHdgRow>
                          <CatSpan>
                            <CatSpanProps>
                              <CC>2</CC>
                              <R>5</R>
                            </CatSpanProps>
                          </CatSpan>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0,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Increase/(Decrease) in <ModuleGeneric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8,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1,3,10,1</STLI>
                              <R>0</R>
                            </SubTtlHdgRowProps>
                          </SubTtlHdgRow>
                          <CatSpan>
                            <CatSpanProps>
                              <CC>2</CC>
                              <R>5</R>
                            </CatSpanProps>
                          </CatSpan>
                        </SubTtl>
                      </SubTtls>
                      <TtlCtg>
                        <TtlCtgProps>
                          <R>3</R>
                        </TtlCtgProps>
                      </TtlCtg>
                      <ElmtLnksOut>
                        <ElmtLnk>
                          <ElmtLnkProps>
                            <ELI>1,3,10</ELI>
                            <ELN>1</ELN>
                            <ELGN>1</ELGN>
                            <MLG>22E831F7-9203-4E8A-A39F-574408DBB469</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2,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5</ST>
                                <VOFFF><![CDATA[Clos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19,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SubTtlHdgRow>
                            <SubTtlHdgRowProps>
                              <STLI>1,3,12,1</STLI>
                              <R>0</R>
                            </SubTtlHdgRowProps>
                          </SubTtlHdgRow>
                          <CatSpan>
                            <CatSpanProps>
                              <CC>2</CC>
                              <R>5</R>
                            </CatSpanProps>
                          </CatSpan>
                        </SubTtl>
                      </SubTtls>
                      <TtlCtg>
                        <TtlCtgProps>
                          <R>3</R>
                        </TtlCtgProps>
                      </TtlCtg>
                      <ElmtLnksOut>
                        <ElmtLnk>
                          <ElmtLnkProps>
                            <ELI>1,3,12</ELI>
                            <ELN>1</ELN>
                            <ELGN>1</ELGN>
                            <MLG>5F47C134-7AD0-42C5-8661-F5BA1399E93F</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ISERROR(§A¿0,1,0,3,4,2,6,-1,0,0,FALSE,FALSE§Z¿-§A¿0,1,0,3,10,2,6,-1,0,0,FALSE,FALSE§Z¿-§A¿0,1,0,3,12,2,6,-1,0,0,FALSE,FALSE§Z¿),1,0)]]></VOFFF>
                              </ClmnBlkPtProps>
                              <FmtCnds>
                                <FmtCnd>
                                  <FmtCndProps>
                                    <CBPLI>1,3,14,2,1</CBPLI>
                                    <FCN>1</FCN>
                                    <FCT>1</FCT>
                                    <FCO>4</FCO>
                                    <F1FFF><![CDATA[=0]]></F1FFF>
                                    <F2FFF/>
                                    <SIT>False</SIT>
                                    <BSV>True</BSV>
                                    <BCT>0</BCT>
                                    <CNBCN>0</CNBCN>
                                    <BTAS>0</BTAS>
                                    <IST>1</IST>
                                    <RO>False</RO>
                                    <SIO>False</SIO>
                                    <TO>0</TO>
                                    <TS/>
                                    <DO>1</DO>
                                    <TB>1</TB>
                                    <R>10</R>
                                    <P>False</P>
                                    <AB>0</AB>
                                    <NSD>1</NSD>
                                    <DU>1</DU>
                                    <INF>False</INF>
                                    <NT>0</NT>
                                    <DP>0</DP>
                                    <CNF/>
                                  </FmtCndProps>
                                  <FntOvly>
                                    <FntOvlyProps>
                                      <PT>2</PT>
                                      <SON>0</SON>
                                      <CBPLI>1,3,14,2,1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4,2,1,-1,0,0,FALSE,FALSE§Z¿<>0,0,IF(ROUND(§A¿0,1,0,3,12,2,6,-1,0,0,FALSE,FALSE§Z¿-§A¿0,1,0,3,10,2,6,-1,0,0,FALSE,FALSE§Z¿-§A¿0,1,0,3,4,2,6,-1,0,0,FALSE,FALSE§Z¿,5)<>0,1,0))]]></VOFFF>
                              </ClmnBlkPtProps>
                              <FmtCnds>
                                <FmtCnd>
                                  <FmtCndProps>
                                    <CBPLI>1,3,15,2,1</CBPLI>
                                    <FCN>1</FCN>
                                    <FCT>1</FCT>
                                    <FCO>4</FCO>
                                    <F1FFF><![CDATA[=0]]></F1FFF>
                                    <F2FFF/>
                                    <SIT>False</SIT>
                                    <BSV>True</BSV>
                                    <BCT>0</BCT>
                                    <CNBCN>0</CNBCN>
                                    <BTAS>0</BTAS>
                                    <IST>1</IST>
                                    <RO>False</RO>
                                    <SIO>False</SIO>
                                    <TO>0</TO>
                                    <TS/>
                                    <DO>1</DO>
                                    <TB>1</TB>
                                    <R>10</R>
                                    <P>False</P>
                                    <AB>0</AB>
                                    <NSD>1</NSD>
                                    <DU>1</DU>
                                    <INF>False</INF>
                                    <NT>0</NT>
                                    <DP>0</DP>
                                    <CNF/>
                                  </FmtCndProps>
                                  <FntOvly>
                                    <FntOvlyProps>
                                      <PT>2</PT>
                                      <SON>0</SON>
                                      <CBPLI>1,3,15,2,1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16,3,1,0,0,0,FALSE,FALSE,3,16,3,1,0,1,0,FALSE,FALSE§Z¿)),1,MIN(SUM(§A¿0,1,1,3,16,3,1,0,0,0,FALSE,FALSE,3,16,3,1,0,1,0,FALSE,FALSE§Z¿),1))]]></VOFFF>
                              </ClmnBlkPtProps>
                              <Chk>
                                <ChkProps>
                                  <CBPLI>1,3,16,2,1</CBPLI>
                                  <CT>0</CT>
                                  <CN>6</CN>
                                  <HST>1</HST>
                                  <CHT/>
                                  <HCBPLI>1,1,2,1,1</HCBPLI>
                                </ChkProps>
                              </Chk>
                              <Cmts>
                                <Cmt>
                                  <CmtProps>
                                    <CBPLI>1,3,16,2,1</CBPLI>
                                    <WRN>1</WRN>
                                    <ERT>5</ERT>
                                    <COSTN>0</COSTN>
                                    <OC>0</OC>
                                    <HT><![CDATA[Error Check]]></HT>
                                    <HFS>0</HFS>
                                    <BT><![CDATA[Flags the existence of errors.]]></BT>
                                    <BFS>0</BFS>
                                    <H>1</H>
                                    <W>128</W>
                                  </CmtProps>
                                </Cmt>
                              </Cmts>
                              <FmtCnds>
                                <FmtCnd>
                                  <FmtCndProps>
                                    <CBPLI>1,3,16,2,1</CBPLI>
                                    <FCN>1</FCN>
                                    <FCT>1</FCT>
                                    <FCO>4</FCO>
                                    <F1FFF><![CDATA[=0]]></F1FFF>
                                    <F2FFF/>
                                    <SIT>False</SIT>
                                    <BSV>True</BSV>
                                    <BCT>0</BCT>
                                    <CNBCN>0</CNBCN>
                                    <BTAS>0</BTAS>
                                    <IST>1</IST>
                                    <RO>False</RO>
                                    <SIO>False</SIO>
                                    <TO>0</TO>
                                    <TS/>
                                    <DO>1</DO>
                                    <TB>1</TB>
                                    <R>10</R>
                                    <P>False</P>
                                    <AB>0</AB>
                                    <NSD>1</NSD>
                                    <DU>1</DU>
                                    <INF>False</INF>
                                    <NT>0</NT>
                                    <DP>0</DP>
                                    <CNF/>
                                  </FmtCndProps>
                                  <FntOvly>
                                    <FntOvlyProps>
                                      <PT>2</PT>
                                      <SON>0</SON>
                                      <CBPLI>1,3,16,2,1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1,1,3,14,2,1,-1,0,0,FALSE,FALSE,3,15,2,1,-1,0,0,FALSE,FALSE§Z¿),1)]]></VOFFF>
                              </ClmnBlkPtProps>
                              <FmtCnds>
                                <FmtCnd>
                                  <FmtCndProps>
                                    <CBPLI>1,3,16,3,1</CBPLI>
                                    <FCN>1</FCN>
                                    <FCT>1</FCT>
                                    <FCO>4</FCO>
                                    <F1FFF><![CDATA[=0]]></F1FFF>
                                    <F2FFF/>
                                    <SIT>False</SIT>
                                    <BSV>True</BSV>
                                    <BCT>0</BCT>
                                    <CNBCN>0</CNBCN>
                                    <BTAS>0</BTAS>
                                    <IST>1</IST>
                                    <RO>False</RO>
                                    <SIO>False</SIO>
                                    <TO>0</TO>
                                    <TS/>
                                    <DO>1</DO>
                                    <TB>1</TB>
                                    <R>10</R>
                                    <P>False</P>
                                    <AB>0</AB>
                                    <NSD>1</NSD>
                                    <DU>1</DU>
                                    <INF>False</INF>
                                    <NT>0</NT>
                                    <DP>0</DP>
                                    <CNF/>
                                  </FmtCndProps>
                                  <FntOvly>
                                    <FntOvlyProps>
                                      <PT>2</PT>
                                      <SON>0</SON>
                                      <CBPLI>1,3,16,3,1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ModuleGenericNa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0,1,0,3,16,3,1,-1,0,0,FALSE,FALSE§Z¿<>0,0,IF(ROUND(MIN(§A¿0,1,1,3,12,2,1,1,0,0,FALSE,FALSE,3,12,2,1,2,0,0,FALSE,FALSE§Z¿),5)<0,1,0))]]></VOFFF>
                              </ClmnBlkPtProps>
                              <FmtCnds>
                                <FmtCnd>
                                  <FmtCndProps>
                                    <CBPLI>1,3,18,2,1</CBPLI>
                                    <FCN>1</FCN>
                                    <FCT>1</FCT>
                                    <FCO>4</FCO>
                                    <F1FFF><![CDATA[=0]]></F1FFF>
                                    <F2FFF/>
                                    <SIT>False</SIT>
                                    <BSV>True</BSV>
                                    <BCT>0</BCT>
                                    <CNBCN>0</CNBCN>
                                    <BTAS>0</BTAS>
                                    <IST>1</IST>
                                    <RO>False</RO>
                                    <SIO>False</SIO>
                                    <TO>0</TO>
                                    <TS/>
                                    <DO>1</DO>
                                    <TB>1</TB>
                                    <R>10</R>
                                    <P>False</P>
                                    <AB>0</AB>
                                    <NSD>1</NSD>
                                    <DU>1</DU>
                                    <INF>False</INF>
                                    <NT>0</NT>
                                    <DP>0</DP>
                                    <CNF/>
                                  </FmtCndProps>
                                  <FntOvly>
                                    <FntOvlyProps>
                                      <PT>2</PT>
                                      <SON>0</SON>
                                      <CBPLI>1,3,18,2,1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ositive Cash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6,3,1,-1,0,0,FALSE,FALSE§Z¿<>0,0,IF(ROUND(MAX(§A¿0,1,1,3,8,2,1,1,0,0,FALSE,FALSE,3,8,2,1,2,0,0,FALSE,FALSE§Z¿),5)>0,1,0))]]></VOFFF>
                              </ClmnBlkPtProps>
                              <FmtCnds>
                                <FmtCnd>
                                  <FmtCndProps>
                                    <CBPLI>1,3,19,2,1</CBPLI>
                                    <FCN>1</FCN>
                                    <FCT>1</FCT>
                                    <FCO>4</FCO>
                                    <F1FFF><![CDATA[=0]]></F1FFF>
                                    <F2FFF/>
                                    <SIT>False</SIT>
                                    <BSV>True</BSV>
                                    <BCT>0</BCT>
                                    <CNBCN>0</CNBCN>
                                    <BTAS>0</BTAS>
                                    <IST>1</IST>
                                    <RO>False</RO>
                                    <SIO>False</SIO>
                                    <TO>0</TO>
                                    <TS/>
                                    <DO>1</DO>
                                    <TB>1</TB>
                                    <R>10</R>
                                    <P>False</P>
                                    <AB>0</AB>
                                    <NSD>1</NSD>
                                    <DU>1</DU>
                                    <INF>False</INF>
                                    <NT>0</NT>
                                    <DP>0</DP>
                                    <CNF/>
                                  </FmtCndProps>
                                  <FntOvly>
                                    <FntOvlyProps>
                                      <PT>2</PT>
                                      <SON>0</SON>
                                      <CBPLI>1,3,19,2,1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20,3,1,0,0,0,FALSE,FALSE,3,20,3,1,0,1,0,FALSE,FALSE§Z¿)),1,MIN(SUM(§A¿0,1,1,3,20,3,1,0,0,0,FALSE,FALSE,3,20,3,1,0,1,0,FALSE,FALSE§Z¿),1))]]></VOFFF>
                              </ClmnBlkPtProps>
                              <Chk>
                                <ChkProps>
                                  <CBPLI>1,3,20,2,1</CBPLI>
                                  <CT>2</CT>
                                  <CN>4</CN>
                                  <HST>1</HST>
                                  <CHT/>
                                  <HCBPLI>1,1,2,1,1</HCBPLI>
                                </ChkProps>
                              </Chk>
                              <Cmts>
                                <Cmt>
                                  <CmtProps>
                                    <CBPLI>1,3,20,2,1</CBPLI>
                                    <WRN>1</WRN>
                                    <ERT>5</ERT>
                                    <COSTN>0</COSTN>
                                    <OC>0</OC>
                                    <HT><![CDATA[Alert Check]]></HT>
                                    <HFS>0</HFS>
                                    <BT><![CDATA[Flags the occurrence of designated events.]]></BT>
                                    <BFS>0</BFS>
                                    <H>67</H>
                                    <W>128</W>
                                  </CmtProps>
                                </Cmt>
                              </Cmts>
                              <FmtCnds>
                                <FmtCnd>
                                  <FmtCndProps>
                                    <CBPLI>1,3,20,2,1</CBPLI>
                                    <FCN>1</FCN>
                                    <FCT>1</FCT>
                                    <FCO>4</FCO>
                                    <F1FFF><![CDATA[=0]]></F1FFF>
                                    <F2FFF/>
                                    <SIT>False</SIT>
                                    <BSV>True</BSV>
                                    <BCT>0</BCT>
                                    <CNBCN>0</CNBCN>
                                    <BTAS>0</BTAS>
                                    <IST>1</IST>
                                    <RO>False</RO>
                                    <SIO>False</SIO>
                                    <TO>0</TO>
                                    <TS/>
                                    <DO>1</DO>
                                    <TB>1</TB>
                                    <R>10</R>
                                    <P>False</P>
                                    <AB>0</AB>
                                    <NSD>1</NSD>
                                    <DU>1</DU>
                                    <INF>False</INF>
                                    <NT>0</NT>
                                    <DP>0</DP>
                                    <CNF/>
                                  </FmtCndProps>
                                  <FntOvly>
                                    <FntOvlyProps>
                                      <PT>2</PT>
                                      <SON>0</SON>
                                      <CBPLI>1,3,20,2,1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2</SON>
                                <VOFFF><![CDATA[=MIN(SUM(§A¿0,1,1,3,18,2,1,-1,0,0,FALSE,FALSE,3,19,2,1,-1,0,0,FALSE,FALSE§Z¿),1)]]></VOFFF>
                              </ClmnBlkPtProps>
                              <FmtCnds>
                                <FmtCnd>
                                  <FmtCndProps>
                                    <CBPLI>1,3,20,3,1</CBPLI>
                                    <FCN>1</FCN>
                                    <FCT>1</FCT>
                                    <FCO>4</FCO>
                                    <F1FFF><![CDATA[=0]]></F1FFF>
                                    <F2FFF/>
                                    <SIT>False</SIT>
                                    <BSV>True</BSV>
                                    <BCT>0</BCT>
                                    <CNBCN>0</CNBCN>
                                    <BTAS>0</BTAS>
                                    <IST>1</IST>
                                    <RO>False</RO>
                                    <SIO>False</SIO>
                                    <TO>0</TO>
                                    <TS/>
                                    <DO>1</DO>
                                    <TB>1</TB>
                                    <R>10</R>
                                    <P>False</P>
                                    <AB>0</AB>
                                    <NSD>1</NSD>
                                    <DU>1</DU>
                                    <INF>False</INF>
                                    <NT>0</NT>
                                    <DP>0</DP>
                                    <CNF/>
                                  </FmtCndProps>
                                  <FntOvly>
                                    <FntOvlyProps>
                                      <PT>2</PT>
                                      <SON>0</SON>
                                      <CBPLI>1,3,20,3,1</CBPLI>
                                      <FCN>1</FCN>
                                      <CN>0</CN>
                                      <IB>True</IB>
                                      <IC>True</IC>
                                      <B>True</B>
                                      <CT>2</CT>
                                      <CNU>3</CNU>
                                      <CPR>0</CPR>
                                      <TAS>0</TAS>
                                    </FntOvlyProps>
                                  </FntOvly>
                                </FmtCnd>
                              </FmtCnds>
                            </ClmnBlkPt>
                          </ClmnBlkPts>
                        </ClmnBlk>
                      </ClmnBlks>
                      <TtlCtg>
                        <TtlCtgProps>
                          <R>3</R>
                        </TtlCtgProps>
                      </TtlCtg>
                    </Elmt>
                  </Elmts>
                </Sect>
              </Sects>
              <Ctrls>
                <Ctrl>
                  <CtrlProps>
                    <MN>35</MN>
                    <MCN>1</MCN>
                    <SIT>1</SIT>
                    <TLCRSN>1</TLCRSN>
                    <TLCREN>7</TLCREN>
                    <TLCRSRT>0</TLCRSRT>
                    <TLCCPT>3</TLCCPT>
                    <TLCCN>8</TLCCN>
                    <TLCCOT>0</TLCCOT>
                    <TLCCOC>5</TLCCOC>
                    <TLCCPTBMCN>4</TLCCPTBMCN>
                    <TLCCPTBN>2</TLCCPTBN>
                    <BRCRSN>1</BRCRSN>
                    <BRCREN>7</BRCREN>
                    <BRCRSRT>0</BRCRSRT>
                    <BRCCPT>3</BRCCPT>
                    <BRCCN>9</BRCCN>
                    <BRCCOT>1</BRCCOT>
                    <BRCCOC>0</BRCCOC>
                    <BRCCPTBMCN>4</BRCCPTBMCN>
                    <BRCCPTBN>2</BRCCPTBN>
                    <P>1</P>
                    <HAL>-4131</HAL>
                    <WA>1</WA>
                    <VA>-4108</VA>
                    <HAD>1</HAD>
                    <TI>0</TI>
                    <CT>0</CT>
                    <N/>
                    <D3DS>False</D3DS>
                    <PO>True</PO>
                    <L>True</L>
                    <OA/>
                    <T/>
                    <THA>-4108</THA>
                    <TVA>-4108</TVA>
                    <LT>True</LT>
                    <LCFFA><![CDATA[§A¿0,1,0,1,7,2,1,0,0,0,TRUE,TRUE§Z¿]]></LCFFA>
                    <LCCA/>
                    <CV>1</CV>
                    <MIV>0</MIV>
                    <MAV>100</MAV>
                    <SC>1</SC>
                    <LC>10</LC>
                    <LFRFFA><![CDATA[§A¿0,2,1,1,6,1,6,-1,0,0,TRUE,TRUE,1,6,1,1,2,0,0,TRUE,TRUE§Z¿]]></LFRFFA>
                    <LFRCA/>
                    <DDL>0</DDL>
                  </CtrlProps>
                </Ctrl>
              </Ctrls>
            </ModComp>
            <ModComp>
              <ModCompProps>
                <MN>35</MN>
                <MCN>2</MCN>
                <MCTK>LU</MCTK>
                <RT><![CDATA[<ModuleName> - Lookups]]></RT>
                <ERN>MODMC55</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ModuleGenericName> Allocation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A¿0,1,0,2,2,1,1,0,0,0,FALSE,FALSE§Z¿]]></VOFFF>
                              </ClmnBlkPtProps>
                              <RgeNmes>
                                <RgeNme>
                                  <RgeNmeProps>
                                    <CBPLI>2,1,6,1,1</CBPLI>
                                    <MCN>2</MCN>
                                    <SN>1</SN>
                                    <EN>6</EN>
                                    <CN>0</CN>
                                    <CBN>1</CBN>
                                    <CBPN>1</CBPN>
                                    <PT>1</PT>
                                    <CBPRNT>2</CBPRNT>
                                    <NT>11</NT>
                                    <SP1><![CDATA[Cat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None (Cas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Creditors_Cat_Names]]></VOFFF>
                              </ClmnBlkPtProps>
                            </ClmnBlkPt>
                          </ClmnBlkPts>
                        </ClmnBlk>
                      </ClmnBlks>
                      <SubTtls>
                        <SubTtl>
                          <SubTtlHdgRow>
                            <SubTtlHdgRowProps>
                              <STLI>2,1,6,1</STLI>
                              <R>0</R>
                            </SubTtlHdgRowProps>
                          </SubTtlHdgRow>
                          <Ctgs>
                            <Ctg>
                              <CtgProps>
                                <R>3</R>
                              </CtgProps>
                              <LuTblLbl>
                                <LuTblLblProps>
                                  <CLI>2,1,6,False,1</CLI>
                                  <L><![CDATA[Lookup Label <CategoryNumber>.]]></L>
                                </LuTblLblProps>
                              </LuTblLbl>
                            </Ctg>
                            <Ctg>
                              <CtgProps>
                                <R>3</R>
                              </CtgProps>
                              <LuTblLbl>
                                <LuTblLblProps>
                                  <CLI>2,1,6,False,2</CLI>
                                  <L><![CDATA[Lookup Label <CategoryNumber>.]]></L>
                                </LuTblLblProps>
                              </LuTblLbl>
                            </Ctg>
                          </Ctgs>
                        </SubTtl>
                      </SubTtls>
                      <TtlCtg>
                        <TtlCtgProps>
                          <R>3</R>
                        </TtlCtgProps>
                      </TtlCtg>
                    </Elmt>
                  </Elmts>
                </Sect>
              </Sects>
            </ModComp>
          </ModComps>
        </Mod>
        <Mod>
          <ModProps>
            <MVS>14.0.5.0</MVS>
            <RAV/>
            <RXV>0</RXV>
            <FV>3</FV>
            <MT>0</MT>
            <SCT>-1</SCT>
            <P><![CDATA[Inv_Pay]]></P>
            <OI>400</OI>
            <MN>0</MN>
            <MAG>AE1B75D9-5A46-40DB-A8A0-11F841A50A57</MAG>
            <BN><![CDATA[Inventory Payables]]></BN>
            <N><![CDATA[Inventory Payables]]></N>
            <TS><![CDATA[Monthly]]></TS>
            <D><![CDATA[Calculates inventory payables balances for a number of inventory payables categories over a number of time series periods.]]></D>
            <FS><![CDATA[Collects cash payment delay assumptions for each inventory payables category for each time series period.&#10;Inventory purchases amounts (including VAT) are then either assumed or linked in before being used to calculate inventory payables closing balances based on these cash payment delay assumptions.]]></FS>
            <R><![CDATA[United Kingdom]]></R>
            <GE><![CDATA[Inventory Payables]]></GE>
            <CA><![CDATA[Days Terms]]></CA>
            <VA><![CDATA[Single Component]]></VA>
            <GST><![CDATA[VAT]]></GST>
            <DE><![CDATA[Modano]]></DE>
            <E><![CDATA[info@modano.com]]></E>
            <C><![CDATA[Modano]]></C>
            <W><![CDATA[www.modano.com]]></W>
            <K/>
            <CO/>
            <V>10.10.2.0.</V>
            <AX>2</AX>
            <SX/>
            <PMLO>False</PMLO>
            <IPMLO>False</IPMLO>
            <MACA>0</MACA>
            <HP>False</HP>
            <DR>False</DR>
            <RTSM>True</RTSM>
            <CC>True</CC>
            <X>False</X>
            <G>E67048FD-9406-4322-9B6F-583D337C2CEE</G>
          </ModProps>
          <RowStgs>
            <RowStg>
              <RowStgProps>
                <RSN>1</RSN>
                <RHST>0</RHST>
                <HS>0</HS>
                <OL>3</OL>
                <RH>False</RH>
              </RowStgProps>
            </RowStg>
            <RowStg>
              <RowStgProps>
                <RSN>2</RSN>
                <RHST>1</RHST>
                <HS>50</HS>
                <OL>3</OL>
                <RH>False</RH>
              </RowStgProps>
            </RowStg>
            <RowStg>
              <RowStgProps>
                <RSN>3</RSN>
                <RHST>0</RHST>
                <HS>100</HS>
                <OL>2</OL>
                <RH>False</RH>
              </RowStgProps>
            </RowStg>
            <RowStg>
              <RowStgProps>
                <RSN>4</RSN>
                <RHST>1</RHST>
                <HS>50</HS>
                <OL>2</OL>
                <RH>False</RH>
              </RowStgProps>
            </RowStg>
            <RowStg>
              <RowStgProps>
                <RSN>5</RSN>
                <RHST>0</RHST>
                <HS>0</HS>
                <OL>3</OL>
                <RH>True</RH>
              </RowStgProps>
            </RowStg>
          </RowStgs>
          <StlOvlys>
            <StlOvly>
              <StlOvlyProps>
                <SON>1</SON>
              </StlOvlyProps>
              <BdrOvlys>
                <BdrOvly>
                  <BdrOvlyProps>
                    <PT>1</PT>
                    <SON>1</SON>
                    <CBPLI/>
                    <FCN>0</FCN>
                    <I>True</I>
                    <BI>9</BI>
                    <LS>1</LS>
                    <W>2</W>
                  </BdrOvlyProps>
                </BdrOvly>
              </BdrOvlys>
            </StlOvly>
            <StlOvly>
              <StlOvlyProps>
                <SON>2</SON>
                <INF>True</INF>
                <NT>0</NT>
                <DP>0</DP>
                <CNF/>
              </StlOvlyProps>
            </StlOvly>
            <StlOvly>
              <StlOvlyProps>
                <SON>3</SON>
                <INF>True</INF>
                <NT>0</NT>
                <DP>0</DP>
                <CNF/>
              </StlOvlyProps>
              <BdrOvlys>
                <BdrOvly>
                  <BdrOvlyProps>
                    <PT>1</PT>
                    <SON>3</SON>
                    <CBPLI/>
                    <FCN>0</FCN>
                    <I>True</I>
                    <BI>9</BI>
                    <LS>-4115</LS>
                    <W>2</W>
                  </BdrOvlyProps>
                </BdrOvly>
              </BdrOvlys>
            </StlOvly>
            <StlOvly>
              <StlOvlyProps>
                <SON>4</SON>
                <INF>True</INF>
                <NT>0</NT>
                <DP>0</DP>
                <CNF><![CDATA[_(#,##0.0_);(#,##0.0);_-"-"_-]]></CNF>
              </StlOvlyProps>
            </StlOvly>
            <StlOvly>
              <StlOvlyProps>
                <SON>5</SON>
                <INF>True</INF>
                <NT>0</NT>
                <DP>0</DP>
                <CNF><![CDATA[_(#,##0.0_);(#,##0.0);_-"-"_-]]></CNF>
              </StlOvlyProps>
              <FntOvly>
                <FntOvlyProps>
                  <PT>1</PT>
                  <SON>5</SON>
                  <CBPLI>0,0,0,0,0</CBPLI>
                  <FCN>0</FCN>
                  <CN>0</CN>
                  <IB>True</IB>
                  <B>True</B>
                </FntOvlyProps>
              </FntOvly>
              <BdrOvlys>
                <BdrOvly>
                  <BdrOvlyProps>
                    <PT>1</PT>
                    <SON>5</SON>
                    <CBPLI/>
                    <FCN>0</FCN>
                    <I>True</I>
                    <BI>10</BI>
                    <LS>1</LS>
                    <W>2</W>
                  </BdrOvlyProps>
                </BdrOvly>
              </BdrOvlys>
            </StlOvly>
            <StlOvly>
              <StlOvlyProps>
                <SON>6</SON>
              </StlOvlyProps>
              <FntOvly>
                <FntOvlyProps>
                  <PT>1</PT>
                  <SON>6</SON>
                  <CBPLI>0,0,0,0,0</CBPLI>
                  <FCN>0</FCN>
                  <CN>0</CN>
                  <IB>True</IB>
                  <B>True</B>
                </FntOvlyProps>
              </FntOvly>
            </StlOvly>
            <StlOvly>
              <StlOvlyProps>
                <SON>7</SON>
              </StlOvlyProps>
              <BdrOvlys>
                <BdrOvly>
                  <BdrOvlyProps>
                    <PT>1</PT>
                    <SON>7</SON>
                    <CBPLI/>
                    <FCN>0</FCN>
                    <I>True</I>
                    <BI>9</BI>
                    <LS>-4115</LS>
                    <W>2</W>
                  </BdrOvlyProps>
                </BdrOvly>
              </BdrOvlys>
            </StlOvly>
            <StlOvly>
              <StlOvlyProps>
                <SON>8</SON>
              </StlOvlyProps>
              <FntOvly>
                <FntOvlyProps>
                  <PT>1</PT>
                  <SON>8</SON>
                  <CBPLI>0,0,0,0,0</CBPLI>
                  <FCN>0</FCN>
                  <CN>0</CN>
                  <IB>True</IB>
                  <B>True</B>
                </FntOvlyProps>
              </FntOvly>
              <BdrOvlys>
                <BdrOvly>
                  <BdrOvlyProps>
                    <PT>1</PT>
                    <SON>8</SON>
                    <CBPLI/>
                    <FCN>0</FCN>
                    <I>True</I>
                    <BI>8</BI>
                    <LS>1</LS>
                    <W>2</W>
                  </BdrOvlyProps>
                </BdrOvly>
              </BdrOvlys>
            </StlOvly>
            <StlOvly>
              <StlOvlyProps>
                <SON>9</SON>
              </StlOvlyProps>
              <FntOvly>
                <FntOvlyProps>
                  <PT>1</PT>
                  <SON>9</SON>
                  <CBPLI>0,0,0,0,0</CBPLI>
                  <FCN>0</FCN>
                  <CN>0</CN>
                  <IC>True</IC>
                  <CT>-2</CT>
                  <CNU>0</CNU>
                  <CPR>0</CPR>
                  <TAS>0</TAS>
                </FntOvlyProps>
              </FntOvly>
            </StlOvly>
            <StlOvly>
              <StlOvlyProps>
                <SON>10</SON>
                <INF>True</INF>
                <NT>0</NT>
                <DP>0</DP>
                <CNF/>
              </StlOvlyProps>
              <BdrOvlys>
                <BdrOvly>
                  <BdrOvlyProps>
                    <PT>1</PT>
                    <SON>10</SON>
                    <CBPLI/>
                    <FCN>0</FCN>
                    <I>True</I>
                    <BI>8</BI>
                    <LS>-4115</LS>
                    <W>2</W>
                  </BdrOvlyProps>
                </BdrOvly>
              </BdrOvlys>
            </StlOvly>
            <StlOvly>
              <StlOvlyProps>
                <SON>11</SON>
                <INF>True</INF>
                <NT>0</NT>
                <DP>0</DP>
                <CNF/>
              </StlOvlyProps>
              <BdrOvlys>
                <BdrOvly>
                  <BdrOvlyProps>
                    <PT>1</PT>
                    <SON>11</SON>
                    <CBPLI/>
                    <FCN>0</FCN>
                    <I>True</I>
                    <BI>10</BI>
                    <LS>1</LS>
                    <W>2</W>
                  </BdrOvlyProps>
                </BdrOvly>
              </BdrOvlys>
            </StlOvly>
            <StlOvly>
              <StlOvlyProps>
                <SON>12</SON>
                <INF>True</INF>
                <NT>1</NT>
                <DP>2</DP>
                <CNF/>
              </StlOvlyProps>
              <BdrOvlys>
                <BdrOvly>
                  <BdrOvlyProps>
                    <PT>1</PT>
                    <SON>12</SON>
                    <CBPLI/>
                    <FCN>0</FCN>
                    <I>True</I>
                    <BI>8</BI>
                    <LS>-4115</LS>
                    <W>2</W>
                  </BdrOvlyProps>
                </BdrOvly>
              </BdrOvlys>
            </StlOvly>
            <StlOvly>
              <StlOvlyProps>
                <SON>13</SON>
                <IHA>True</IHA>
                <HA>-4108</HA>
              </StlOvlyProps>
            </StlOvly>
          </StlOvlys>
          <ElmtsGrps>
            <ElmtsGrp>
              <ElmtsGrpProps>
                <NU>1</NU>
                <NA><![CDATA[Inventory Payables]]></NA>
                <EGT>0</EGT>
                <DCC>3</DCC>
                <AST>False</AST>
                <ISTH>True</ISTH>
                <PTMCN>0</PTMCN>
                <PTBN>0</PTBN>
                <PTBI>0</PTBI>
                <GLN/>
                <CLOT>0</CLOT>
                <CLIT>0</CLIT>
                <PMLO>0</PMLO>
                <IPMLO>0</IPMLO>
              </ElmtsGrpProps>
            </ElmtsGrp>
            <ElmtsGrp>
              <ElmtsGrpProps>
                <NU>2</NU>
                <NA><![CDATA[Inventory Purchases]]></NA>
                <EGT>0</EGT>
                <DCC>6</DCC>
                <AST>False</AST>
                <ISTH>True</ISTH>
                <PTMCN>0</PTMCN>
                <PTBN>0</PTBN>
                <PTBI>0</PTBI>
                <GLN/>
                <CLOT>0</CLOT>
                <CLIT>0</CLIT>
                <PMLO>0</PMLO>
                <IPMLO>0</IPMLO>
              </ElmtsGrpProps>
            </ElmtsGrp>
          </ElmtsGrps>
          <ModComps>
            <ModComp>
              <ModCompProps>
                <MN>36</MN>
                <MCN>1</MCN>
                <MCTK>BaseCase</MCTK>
                <RT><![CDATA[<ModuleName>]]></RT>
                <ERN>MODMC56</ERN>
                <MCST>1</MCST>
                <IPMC>False</IPMC>
                <SN>11</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18</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Inventory Purchases Alloc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ventory Purchases]]></VOFFF>
                              </ClmnBlkPtProps>
                            </ClmnBlkPt>
                          </ClmnBlkPts>
                        </ClmnBlk>
                        <ClmnBlk>
                          <ClmnBlkProps>
                            <FCPT>3</FCPT>
                            <FCN>8</FCN>
                            <FCOT>0</FCOT>
                            <FCOC>5</FCOC>
                            <FCPTBMCN>4</FCPTBMCN>
                            <FCPTBN>2</FCPTBN>
                            <LCPT>3</LCPT>
                            <LCN>8</LCN>
                            <LCOT>0</LCOT>
                            <LCOC>5</LCOC>
                            <LCPTBMCN>4</LCPTBMCN>
                            <LCPTBN>2</LCPTBN>
                          </ClmnBlkProps>
                          <ClmnBlkPts>
                            <ClmnBlkPt>
                              <ClmnBlkPtProps>
                                <CBPT>5</CBPT>
                                <ST>5</ST>
                                <VOFFF><![CDATA[Allocation]]></VOFFF>
                              </ClmnBlkPtProps>
                            </ClmnBlkPt>
                          </ClmnBlkPts>
                        </ClmnBlk>
                      </ClmnBlks>
                      <TtlCtg>
                        <TtlCtgProps>
                          <R>3</R>
                        </TtlCtgProps>
                      </TtlCtg>
                    </Elmt>
                    <Elmt>
                      <ElmtProps>
                        <CPT>1</CPT>
                        <TOT>False</TOT>
                        <EGN>2</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1,1,7,1,1</CBPLI>
                                    <ELN>1</ELN>
                                    <FFF><![CDATA[=§A¿10,FALSE,0,1,0,FALSE§Z¿]]></FFF>
                                  </LnkInFormProps>
                                </LnkInForm>
                              </LnkInForms>
                            </ClmnBlkPt>
                            <ClmnBlkPt>
                              <ClmnBlkPtProps>
                                <CBPT>1</CBPT>
                                <ST>6</ST>
                                <MC>True</MC>
                                <VOFFF><![CDATA[=§A¿0,1,0,1,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VOFFF>
                                <UDAV><![CDATA[Total]]></UDAV>
                              </ClmnBlkPtProps>
                            </ClmnBlkPt>
                          </ClmnBlkPts>
                        </ClmnBlk>
                        <ClmnBlk>
                          <ClmnBlkProps>
                            <FCPT>3</FCPT>
                            <FCN>8</FCN>
                            <FCOT>0</FCOT>
                            <FCOC>5</FCOC>
                            <FCPTBMCN>4</FCPTBMCN>
                            <FCPTBN>2</FCPTBN>
                            <LCPT>3</LCPT>
                            <LCN>8</LCN>
                            <LCOT>0</LCOT>
                            <LCOC>5</LCOC>
                            <LCPTBMCN>4</LCPTBMCN>
                            <LCPTBN>2</LCPTBN>
                          </ClmnBlkProps>
                          <ClmnBlkPts>
                            <ClmnBlkPt>
                              <ClmnBlkPtProps>
                                <CBPT>0</CBPT>
                                <ST>15</ST>
                                <SON>9</SON>
                                <VOFFF><![CDATA[1]]></VOFFF>
                                <UDAV><![CDATA[1]]></UDAV>
                              </ClmnBlkPtProps>
                              <Vdtn>
                                <VdtnProps>
                                  <CBPLI>1,1,7,2,1</CBPLI>
                                  <ADVT>-1</ADVT>
                                  <VT>1</VT>
                                  <AS>1</AS>
                                  <O>1</O>
                                  <F1FFF><![CDATA[1]]></F1FFF>
                                  <F2FFF><![CDATA[=ROWS(§A¿1,1,2,1,6,0,1,1,1§Z¿)+1]]></F2FFF>
                                  <IB>False</IB>
                                  <ICDD>False</ICDD>
                                  <SI>False</SI>
                                  <IT/>
                                  <IM/>
                                  <SE>True</SE>
                                  <ET><![CDATA[Drop Down Box Cell Link]]></ET>
                                  <EM><![CDATA[The value in a drop down box cell link must be a whole number within the control's lookup range rows.]]></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1,1,7,3,1</CBPLI>
                                  <ADVT>0</ADVT>
                                  <VT>7</VT>
                                </VdtnProps>
                              </Vdtn>
                              <LnkInForms>
                                <LnkInForm>
                                  <LnkInFormProps>
                                    <CBPLI>1,1,7,3,1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Props>
                            <R>1</R>
                          </SubTtlProps>
                          <SubTtlHdgRow>
                            <SubTtlHdgRowProps>
                              <STLI>1,1,7,1</STLI>
                              <R>1</R>
                            </SubTtlHdgRowProps>
                          </SubTtlHdgRow>
                          <TtlSpcrRow>
                            <TtlSpcrRowProps>
                              <RSN>2</RSN>
                            </TtlSpcrRowProps>
                          </TtlSpcrRow>
                          <Ctgs>
                            <Ctg>
                              <CtgProps>
                                <R>3</R>
                              </CtgProps>
                              <ShpNmes>
                                <ShpNme>
                                  <ShpNmeProps>
                                    <ELI>1,1,7</ELI>
                                    <COSTN>1</COSTN>
                                    <ST>1</ST>
                                    <SNPT>5</SNPT>
                                    <N><![CDATA[bpmDropDownInv_Pay1]]></N>
                                    <SHN>1</SHN>
                                    <SHTN>1</SHTN>
                                  </ShpNmeProps>
                                </ShpNme>
                              </ShpNmes>
                              <LnkIn>
                                <LnkInProps>
                                  <MN>36</MN>
                                  <CLI>1,1,7,False,1</CLI>
                                  <ELN>1</ELN>
                                  <LOOT>0</LOOT>
                                  <LOMN>45</LOMN>
                                  <LOMCN>1</LOMCN>
                                  <LOSN>1</LOSN>
                                  <LOEN>148</LOEN>
                                  <LOCN>1</LOCN>
                                </LnkInProps>
                              </LnkIn>
                            </Ctg>
                          </Ctgs>
                        </SubTtl>
                      </SubTtls>
                      <TtlCtg>
                        <TtlCtgProps>
                          <R>1</R>
                        </TtlCtgProps>
                        <TtlSpcrRow>
                          <TtlSpcrRowProps>
                            <RSN>2</RSN>
                          </TtlSpcrRowProps>
                        </TtlSpcrRow>
                      </TtlCtg>
                      <ElmtLnksIn>
                        <ElmtLnk>
                          <ElmtLnkProps>
                            <ELI>1,1,7</ELI>
                            <ELN>1</ELN>
                            <ELGN>1</ELGN>
                            <MLG>3752BD6F-07D2-4D59-A300-5B482F76BFA2</MLG>
                            <ICBI>1,3</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chedules]]></VOFFF>
                              </ClmnBlkPtProps>
                            </ClmnBlkPt>
                          </ClmnBlkPts>
                        </ClmnBlk>
                        <ClmnBlk>
                          <ClmnBlkProps>
                            <FCPT>3</FCPT>
                            <FCN>3</FCN>
                            <FCOT>0</FCOT>
                            <FCOC>0</FCOC>
                            <FCPTBMCN>4</FCPTBMCN>
                            <FCPTBN>2</FCPTBN>
                            <LCPT>3</LCPT>
                            <LCN>8</LCN>
                            <LCOT>0</LCOT>
                            <LCOC>5</LCOC>
                            <LCPTBMCN>4</LCPTBMCN>
                            <LCPTBN>2</LCPTBN>
                          </ClmnBlkProps>
                          <ClmnBlkPts>
                            <ClmnBlkPt>
                              <ClmnBlkPtProps>
                                <CBPT>5</CBPT>
                                <ST>4</ST>
                                <VOFFF/>
                              </ClmnBlkPtProps>
                            </ClmnBlkPt>
                          </ClmnBlkPts>
                        </ClmnBlk>
                        <ClmnBlk>
                          <ClmnBlkProps>
                            <FCPT>3</FCPT>
                            <FCN>9</FCN>
                            <FCOT>0</FCOT>
                            <FCOC>6</FCOC>
                            <FCPTBMCN>4</FCPTBMCN>
                            <FCPTBN>2</FCPTBN>
                            <LCPT>3</LCPT>
                            <LCN>9</LCN>
                            <LCOT>1</LCOT>
                            <LCOC>0</LCOC>
                            <LCPTBMCN>4</LCPTBMCN>
                            <LCPTBN>2</LCPTBN>
                          </ClmnBlkProps>
                          <ClmnBlkPts>
                            <ClmnBlkPt>
                              <ClmnBlkPtProps>
                                <CBPT>5</CBPT>
                                <ST>4</ST>
                                <SON>13</SON>
                                <VOFFF><![CDATA[Opening]]></VOFFF>
                              </ClmnBlkPtProps>
                            </ClmnBlkPt>
                          </ClmnBlkPts>
                        </ClmnBlk>
                        <ClmnBlk>
                          <ClmnBlkProps>
                            <FCPT>3</FCPT>
                            <FCN>10</FCN>
                            <FCOT>0</FCOT>
                            <FCOC>0</FCOC>
                            <FCPTBMCN>4</FCPTBMCN>
                            <FCPTBN>3</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Flow Timing]]></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ays i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9,4,0,0,1,5,3,1,-1,0,0,TRUE,FALSE§Z¿-§A¿9,4,0,0,1,4,3,1,-1,0,0,TRU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Start Timing]]></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9,4,0,0,1,6,3,1,-1,0,0,TRUE,FALSE§Z¿=1,0,§A¿0,1,0,1,14,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End Timing]]></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13,2,1,-1,0,0,FALSE,FALSE§Z¿+§A¿0,1,0,1,12,2,1,-1,0,0,FALSE,FALSE§Z¿]]></VOFFF>
                              </ClmnBlkPtProps>
                            </ClmnBlkPt>
                          </ClmnBlkPts>
                        </ClmnBlk>
                      </ClmnBlks>
                      <TtlCtg>
                        <TtlCtgProps>
                          <R>1</R>
                        </TtlCtgProps>
                      </TtlCtg>
                    </Elmt>
                  </Elmts>
                </Sect>
                <Sect>
                  <SectProps>
                    <LI>1,2</LI>
                    <EGN>1</EGN>
                  </SectProps>
                  <Elmts>
                    <Elmt>
                      <ElmtProps>
                        <CPT>1</CPT>
                        <TOT>False</TOT>
                        <EGN>1</EGN>
                      </ElmtProps>
                      <SubTtls>
                        <SubTtl>
                          <SubTtlHdgRow>
                            <SubTtlHdgRowProps>
                              <STLI>1,2,1,1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ModuleName> Category <CategoryNumber>]]></VOFFF>
                                <UDAV><![CDATA[Category <CategoryNumber> Name]]></UDAV>
                              </ClmnBlkPtProps>
                              <LnkInForms>
                                <LnkInForm>
                                  <LnkInFormProps>
                                    <CBPLI>1,2,2,1,1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STLI>
                              <R>0</R>
                            </SubTtlHdgRowProps>
                          </SubTtlHdgRow>
                          <Ctgs>
                            <Ctg>
                              <CtgProps>
                                <R>3</R>
                              </CtgProps>
                              <LnkIn>
                                <LnkInProps>
                                  <MN>36</MN>
                                  <CLI>1,2,2,False,1</CLI>
                                  <ELN>1</ELN>
                                  <LOOT>0</LOOT>
                                  <LOMN>3</LOMN>
                                  <LOMCN>1</LOMCN>
                                  <LOSN>1</LOSN>
                                  <LOEN>24</LOEN>
                                  <LOCN>1</LOCN>
                                </LnkInProps>
                              </LnkIn>
                            </Ctg>
                          </Ctgs>
                        </SubTtl>
                      </SubTtls>
                      <TtlCtg/>
                      <ElmtLnksIn>
                        <ElmtLnk>
                          <ElmtLnkProps>
                            <ELI>1,2,2</ELI>
                            <ELN>1</ELN>
                            <ELGN>2</ELGN>
                            <MLG>8052917C-A4D7-4DBF-96F3-BAD9F44274EB</MLG>
                            <ICBI>1</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Open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9,4,1,0,1,6,3,1,-1,0,0,TRUE,FALSE§Z¿=1,0,§A¿0,1,0,2,19,2,1,0,0,0,FALSE,FALSE§Z¿)]]></VOFFF>
                              </ClmnBlkPtProps>
                              <LnkInForms>
                                <LnkInForm>
                                  <LnkInFormProps>
                                    <CBPLI>1,2,3,2,1</CBPLI>
                                    <ELN>1</ELN>
                                    <FFF><![CDATA[=IF(§A¿9,4,1,0,1,6,3,1,-1,0,0,TRUE,FALSE§Z¿=1,§A¿10,FALSE,0,2,0,FALSE§Z¿,§A¿0,1,0,2,19,2,1,0,0,0,FALSE,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1,2,3,1</STLI>
                              <R>0</R>
                            </SubTtlHdgRowProps>
                          </SubTtlHdgRow>
                          <Ctgs>
                            <Ctg>
                              <CtgProps>
                                <R>3</R>
                              </CtgProps>
                              <LnkIn>
                                <LnkInProps>
                                  <MN>36</MN>
                                  <CLI>1,2,3,False,1</CLI>
                                  <ELN>1</ELN>
                                  <LOOT>0</LOOT>
                                  <LOMN>3</LOMN>
                                  <LOMCN>1</LOMCN>
                                  <LOSN>1</LOSN>
                                  <LOEN>24</LOEN>
                                  <LOCN>1</LOCN>
                                </LnkInProps>
                              </LnkIn>
                            </Ctg>
                          </Ctgs>
                        </SubTtl>
                      </SubTtls>
                      <TtlCtg/>
                      <ElmtLnksIn>
                        <ElmtLnk>
                          <ElmtLnkProps>
                            <ELI>1,2,3</ELI>
                            <ELN>1</ELN>
                            <ELGN>2</ELGN>
                            <MLG>8052917C-A4D7-4DBF-96F3-BAD9F44274EB</MLG>
                            <ICBI>2</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ventory Purchase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0,1,1,1,7,2,1,1,0,0,TRUE,TRUE,1,7,2,1,2,0,0,TRUE,TRUE§Z¿,ROWS(§A¿0,2,1,1,6,1,1,0,0,0,FALSE,TRUE,1,6,1,1,1,0,0,TRUE,TRUE§Z¿)+1,§A¿0,1,1,1,7,3,1,1,0,0,TRUE,FALSE,1,7,3,1,2,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1,2,4,1</STLI>
                              <R>0</R>
                            </SubTtlHdgRowProps>
                          </SubTtlHdgRow>
                          <Ctgs>
                            <Ctg>
                              <CtgProps>
                                <R>3</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Opening Balance Cash Payments - Profil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12</SON>
                                <VOFFF><![CDATA[=IF(§A¿0,1,0,2,21,2,1,0,0,0,FALSE,TRUE§Z¿=0,0,(MIN(§A¿0,1,0,2,21,2,1,0,0,0,FALSE,TRUE§Z¿,§A¿0,1,0,1,14,3,1,-1,0,0,TRUE,FALSE§Z¿)-MIN(§A¿0,1,0,2,21,2,1,0,0,0,FALSE,TRUE§Z¿,§A¿0,1,0,1,13,2,1,-1,0,0,TRUE,FALSE§Z¿))/§A¿0,1,0,2,21,2,1,0,0,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1,2,5,1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Opening Balance 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TRUE§Z¿*§A¿0,1,0,2,5,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1,2,6,1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A¿0,1,0,2,21,1,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21,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1,2,7,1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Start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1,13,2,1,-1,0,0,TRUE,FALSE§Z¿+§A¿0,1,0,2,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1,2,8,1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End Ti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8,2,1,0,0,0,FALSE,FALSE§Z¿+§A¿0,1,0,1,12,2,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1,2,9,1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1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10</SON>
                                <VOFFF><![CDATA[=IF(§A¿0,1,0,2,8,2,1,0,0,0,FALSE,FALSE§Z¿>MAX(§A¿0,1,1,1,14,3,1,-1,0,0,TRUE,TRUE,1,14,3,1,-1,1,0,TRUE,TRUE§Z¿),0,MATCH(§A¿0,1,0,2,8,2,1,0,0,0,FALSE,FALSE§Z¿,§A¿0,1,1,1,13,2,1,-1,0,0,TRUE,TRUE,1,13,2,1,-1,1,0,TRUE,TRUE§Z¿,1))]]>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1,2,10,1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2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IF(§A¿0,1,0,2,10,2,1,0,0,0,FALSE,FALSE§Z¿<1,0,IF(§A¿0,1,0,2,10,2,1,0,0,0,FALSE,FALSE§Z¿>=COLUMNS(§A¿0,1,1,2,10,2,1,0,0,0,FALSE,TRUE,2,10,2,1,0,1,0,FALSE,TRUE§Z¿),0,§A¿0,1,0,2,10,2,1,0,0,0,FALSE,FALSE§Z¿+1))]]>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1,2,11,1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3 - Period Number]]></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IF(§A¿0,1,0,2,11,2,1,0,0,0,FALSE,FALSE§Z¿<1,0,IF(§A¿0,1,0,2,11,2,1,0,0,0,FALSE,FALSE§Z¿>=COLUMNS(§A¿0,1,1,2,11,2,1,0,0,0,FALSE,TRUE,2,11,2,1,0,1,0,FALSE,TRUE§Z¿),0,§A¿0,1,0,2,11,2,1,0,0,0,FALSE,FALSE§Z¿+1))]]>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1,2,12,1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1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0,2,1,0,0,0,FALSE,FALSE§Z¿),§A¿0,1,0,2,9,2,1,0,0,0,FALSE,FALSE§Z¿)-§A¿0,1,0,2,8,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1,2,13,1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2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4,2,1,0,0,0,FALSE,FALSE§Z¿/§A¿0,1,0,1,12,2,1,-1,0,0,TRUE,FALSE§Z¿*MAX(MIN(INDEX(§A¿0,1,1,1,14,3,1,-1,0,0,TRUE,TRUE,1,14,3,1,-1,1,0,TRUE,TRUE§Z¿,§A¿0,1,0,2,11,2,1,0,0,0,FALSE,FALSE§Z¿),§A¿0,1,0,2,9,2,1,0,0,0,FALSE,FALSE§Z¿)-INDEX(§A¿0,1,1,1,13,2,1,-1,0,0,TRUE,TRUE,1,13,2,1,-1,1,0,TRUE,TRUE§Z¿,§A¿0,1,0,2,11,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1,2,14,1</STLI>
                              <R>0</R>
                            </SubTtlHdgRowProps>
                          </SubTtlHdgRow>
                          <Ctgs>
                            <Ctg>
                              <CtgProps>
                                <R>5</R>
                              </CtgProps>
                            </Ctg>
                          </Ctgs>
                        </SubTtl>
                      </SubTtls>
                      <TtlCtg/>
                    </Elmt>
                    <Elmt>
                      <ElmtProps>
                        <CPT>1</CPT>
                        <TOT>False</TOT>
                        <EGN>1</EGN>
                      </ElmtProps>
                      <ClmnBlks>
                        <ClmnBlk>
                          <ClmnBlkProps>
                            <FCPT>3</FCPT>
                            <FCN>6</FCN>
                            <FCOT>0</FCOT>
                            <FCOC>3</FCOC>
                            <FCPTBMCN>4</FCPTBMCN>
                            <FCPTBN>2</FCPTBN>
                            <LCPT>3</LCPT>
                            <LCN>6</LCN>
                            <LCOT>0</LCOT>
                            <LCOC>3</LCOC>
                            <LCPTBMCN>4</LCPTBMCN>
                            <LCPTBN>2</LCPTBN>
                          </ClmnBlkProps>
                          <ClmnBlkPts>
                            <ClmnBlkPt>
                              <ClmnBlkPtProps>
                                <CBPT>0</CBPT>
                                <ST>6</ST>
                                <VOFFF><![CDATA[Cash Payments Period 3 - Cash Pai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A¿0,1,0,1,12,2,1,-1,0,0,TRUE,FALSE§Z¿*MAX(MIN(INDEX(§A¿0,1,1,1,14,3,1,-1,0,0,TRUE,TRUE,1,14,3,1,-1,1,0,TRUE,TRUE§Z¿,§A¿0,1,0,2,12,2,1,0,0,0,FALSE,FALSE§Z¿),§A¿0,1,0,2,9,2,1,0,0,0,FALSE,FALSE§Z¿)-INDEX(§A¿0,1,1,1,13,2,1,-1,0,0,TRUE,TRUE,1,13,2,1,-1,1,0,TRUE,TRUE§Z¿,§A¿0,1,0,2,12,2,1,0,0,0,FALSE,FALSE§Z¿),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1,2,15,1</STLI>
                              <R>0</R>
                            </SubTtlHdgRowProps>
                          </SubTtlHdgRow>
                          <Ctgs>
                            <Ctg>
                              <CtgProps>
                                <R>5</R>
                              </CtgProps>
                            </Ctg>
                          </Ctgs>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Periodic 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PRODUCT(((§A¿0,1,1,2,10,2,1,0,0,0,FALSE,TRUE,2,12,2,1,0,1,0,FALSE,TRUE§Z¿)=§A¿9,4,0,0,1,6,3,1,-1,0,0,TRUE,FALSE§Z¿)*§A¿0,1,1,2,13,2,1,0,0,0,FALSE,TRUE,2,15,2,1,0,1,0,FALSE,TRU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1,2,16,1</STLI>
                              <R>0</R>
                            </SubTtlHdgRowProps>
                          </SubTtlHdgRow>
                          <Ctgs>
                            <Ctg>
                              <CtgProps>
                                <R>5</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Paymen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2,16,2,1,0,0,0,FALSE,FALSE§Z¿+§A¿0,1,0,2,6,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1,2,17,1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Increase/(Decrease) in <ModuleGenericNam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4,2,1,0,0,0,FALSE,FALSE§Z¿+§A¿0,1,0,2,17,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1,2,18,1</STLI>
                              <R>0</R>
                            </SubTtlHdgRowProps>
                          </SubTtlHdgRow>
                          <Ctgs>
                            <Ctg>
                              <CtgProps>
                                <R>3</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Closing Balanc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2,3,2,1,0,0,0,FALSE,FALSE§Z¿+§A¿0,1,0,2,18,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1,2,19,1</STLI>
                              <R>0</R>
                            </SubTtlHdgRowProps>
                          </SubTtlHdgRow>
                          <Ctgs>
                            <Ctg>
                              <CtgProps>
                                <R>3</R>
                              </CtgProps>
                            </Ctg>
                          </Ctgs>
                        </SubTtl>
                      </SubTtls>
                      <TtlCtg/>
                    </Elmt>
                    <Elmt>
                      <ElmtProps>
                        <CPT>1</CPT>
                        <TOT>False</TOT>
                        <EGN>1</EGN>
                      </ElmtProps>
                      <SubTtls>
                        <SubTtl>
                          <SubTtlHdgRow>
                            <SubTtlHdgRowProps>
                              <STLI>1,2,20,1</STLI>
                              <R>0</R>
                            </SubTtlHdgRowProps>
                          </SubTtlHdgRow>
                          <Ctgs>
                            <Ctg>
                              <CtgProps>
                                <R>4</R>
                              </CtgProps>
                            </Ctg>
                          </Ctgs>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sh Payment Delay (Day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11</ST>
                                <SON>11</SON>
                                <VOFFF><![CDATA[0]]></VOFFF>
                                <UDAV><![CDATA[0]]></UDAV>
                              </ClmnBlkPtProps>
                              <Vdtn>
                                <VdtnProps>
                                  <CBPLI>1,2,21,2,1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SON>2</SON>
                                <VOFFF><![CDATA[0]]></VOFFF>
                                <UDAV><![CDATA[0]]></UDAV>
                              </ClmnBlkPtProps>
                              <Vdtn>
                                <VdtnProps>
                                  <CBPLI>1,2,21,3,1</CBPLI>
                                  <ADVT>1</ADVT>
                                  <VT>2</VT>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1,2,21,1</STLI>
                              <R>0</R>
                            </SubTtlHdgRowProps>
                          </SubTtlHdgRow>
                          <Ctgs>
                            <Ctg>
                              <CtgProps>
                                <R>3</R>
                              </CtgProps>
                            </Ctg>
                          </Ctgs>
                        </SubTtl>
                      </SubTtls>
                      <TtlCtg/>
                    </Elmt>
                  </Elmts>
                </Sect>
                <Sect>
                  <SectProps>
                    <LI>1,3</LI>
                    <EGN>0</EGN>
                  </SectProps>
                  <Elmts>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4,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Open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3,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1,3,4,1</STLI>
                              <R>0</R>
                            </SubTtlHdgRowProps>
                          </SubTtlHdgRow>
                          <Ctgs>
                            <Ctg>
                              <CtgProps>
                                <R>5</R>
                              </CtgProps>
                            </Ctg>
                          </Ctgs>
                        </SubTtl>
                      </SubTtls>
                      <TtlCtg>
                        <TtlCtgProps>
                          <R>3</R>
                        </TtlCtgProps>
                      </TtlCtg>
                      <ElmtLnksOut>
                        <ElmtLnk>
                          <ElmtLnkProps>
                            <ELI>1,3,4</ELI>
                            <ELN>1</ELN>
                            <ELGN>1</ELGN>
                            <MLG>CC398F68-0F48-439D-8C77-08CCB11CB130</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6,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Purchase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4,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1,3,6,1</STLI>
                              <R>0</R>
                            </SubTtlHdgRowProps>
                          </SubTtlHdgRow>
                          <Ctgs>
                            <Ctg>
                              <CtgProps>
                                <R>5</R>
                              </CtgProps>
                            </Ctg>
                          </Ctgs>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ClmnBlkPtProps>
                            </ClmnBlkPt>
                            <ClmnBlkPt>
                              <ClmnBlkPtProps>
                                <CBPT>1</CBPT>
                                <ST>6</ST>
                                <VOFFF><![CDATA[=§A¿0,1,0,3,8,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Cash Payments]]></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7,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1,3,8,1</STLI>
                              <R>0</R>
                            </SubTtlHdgRowProps>
                          </SubTtlHdgRow>
                          <Ctgs>
                            <Ctg>
                              <CtgProps>
                                <R>5</R>
                              </CtgProps>
                            </Ctg>
                          </Ctgs>
                        </SubTtl>
                      </SubTtls>
                      <TtlCtg>
                        <TtlCtgProps>
                          <R>3</R>
                        </TtlCtgProps>
                      </TtlCtg>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0,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6</ST>
                                <VOFFF><![CDATA[Increase/(Decrease) in <ModuleGenericNam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7</SON>
                                <VOFFF><![CDATA[=§A¿0,1,0,2,18,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1,3,10,1</STLI>
                              <R>0</R>
                            </SubTtlHdgRowProps>
                          </SubTtlHdgRow>
                          <Ctgs>
                            <Ctg>
                              <CtgProps>
                                <R>5</R>
                              </CtgProps>
                            </Ctg>
                          </Ctgs>
                        </SubTtl>
                      </SubTtls>
                      <TtlCtg>
                        <TtlCtgProps>
                          <R>3</R>
                        </TtlCtgProps>
                      </TtlCtg>
                      <ElmtLnksOut>
                        <ElmtLnk>
                          <ElmtLnkProps>
                            <ELI>1,3,10</ELI>
                            <ELN>1</ELN>
                            <ELGN>1</ELGN>
                            <MLG>7629C37B-E7D0-484F-ACB0-7C94DE5E04F9</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2,1,3,0,0,0,FALSE,FALSE§Z¿]]></VOFFF>
                                <UDAV><![CDATA[<CategoriesGroupName> Sub-Total <SubTotalNumber>]]></UDAV>
                              </ClmnBlkPtProps>
                            </ClmnBlkPt>
                            <ClmnBlkPt>
                              <ClmnBlkPtProps>
                                <CBPT>2</CBPT>
                                <ST>5</ST>
                                <VOFFF><![CDATA[=§A¿-2§Z¿]]></VOFFF>
                                <UDAV><![CDATA[Sub-Total <SubTotalNumber>]]></UDAV>
                              </ClmnBlkPtProps>
                            </ClmnBlkPt>
                            <ClmnBlkPt>
                              <ClmnBlkPtProps>
                                <CBPT>3</CBPT>
                                <ST>-1</ST>
                                <VOFFF/>
                              </ClmnBlkPtProps>
                            </ClmnBlkPt>
                            <ClmnBlkPt>
                              <ClmnBlkPtProps>
                                <CBPT>4</CBPT>
                                <ST>-1</ST>
                                <VOFFF/>
                              </ClmnBlkPtProps>
                            </ClmnBlkPt>
                            <ClmnBlkPt>
                              <ClmnBlkPtProps>
                                <CBPT>5</CBPT>
                                <ST>5</ST>
                                <VOFFF><![CDATA[Closing Balanc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A¿0,1,0,2,19,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SubTtlHdgRow>
                            <SubTtlHdgRowProps>
                              <STLI>1,3,12,1</STLI>
                              <R>0</R>
                            </SubTtlHdgRowProps>
                          </SubTtlHdgRow>
                          <Ctgs>
                            <Ctg>
                              <CtgProps>
                                <R>5</R>
                              </CtgProps>
                            </Ctg>
                          </Ctgs>
                        </SubTtl>
                      </SubTtls>
                      <TtlCtg>
                        <TtlCtgProps>
                          <R>3</R>
                        </TtlCtgProps>
                      </TtlCtg>
                      <ElmtLnksOut>
                        <ElmtLnk>
                          <ElmtLnkProps>
                            <ELI>1,3,12</ELI>
                            <ELN>1</ELN>
                            <ELGN>1</ELGN>
                            <MLG>53BA0054-1924-4757-8986-017949EB71A4</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ISERROR(§A¿0,1,0,3,4,2,6,-1,0,0,FALSE,FALSE§Z¿-§A¿0,1,0,3,10,2,6,-1,0,0,FALSE,FALSE§Z¿-§A¿0,1,0,3,12,2,6,-1,0,0,FALSE,FALSE§Z¿),1,0)]]></VOFFF>
                              </ClmnBlkPtProps>
                              <FmtCnds>
                                <FmtCnd>
                                  <FmtCndProps>
                                    <CBPLI>1,3,14,2,1</CBPLI>
                                    <FCN>1</FCN>
                                    <FCT>1</FCT>
                                    <FCO>4</FCO>
                                    <F1FFF><![CDATA[=0]]></F1FFF>
                                    <F2FFF/>
                                    <SIT>False</SIT>
                                    <BSV>True</BSV>
                                    <BCT>0</BCT>
                                    <CNBCN>0</CNBCN>
                                    <BTAS>0</BTAS>
                                    <IST>1</IST>
                                    <RO>False</RO>
                                    <SIO>False</SIO>
                                    <TO>0</TO>
                                    <TS/>
                                    <DO>1</DO>
                                    <TB>1</TB>
                                    <R>10</R>
                                    <P>False</P>
                                    <AB>0</AB>
                                    <NSD>1</NSD>
                                    <DU>1</DU>
                                    <INF>False</INF>
                                    <NT>0</NT>
                                    <DP>0</DP>
                                    <CNF/>
                                  </FmtCndProps>
                                  <FntOvly>
                                    <FntOvlyProps>
                                      <PT>2</PT>
                                      <SON>0</SON>
                                      <CBPLI>1,3,14,2,1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4,2,1,-1,0,0,FALSE,FALSE§Z¿<>0,0,IF(ROUND(§A¿0,1,0,3,12,2,6,-1,0,0,FALSE,FALSE§Z¿-§A¿0,1,0,3,10,2,6,-1,0,0,FALSE,FALSE§Z¿-§A¿0,1,0,3,4,2,6,-1,0,0,FALSE,FALSE§Z¿,5)<>0,1,0))]]></VOFFF>
                              </ClmnBlkPtProps>
                              <FmtCnds>
                                <FmtCnd>
                                  <FmtCndProps>
                                    <CBPLI>1,3,15,2,1</CBPLI>
                                    <FCN>1</FCN>
                                    <FCT>1</FCT>
                                    <FCO>4</FCO>
                                    <F1FFF><![CDATA[=0]]></F1FFF>
                                    <F2FFF/>
                                    <SIT>False</SIT>
                                    <BSV>True</BSV>
                                    <BCT>0</BCT>
                                    <CNBCN>0</CNBCN>
                                    <BTAS>0</BTAS>
                                    <IST>1</IST>
                                    <RO>False</RO>
                                    <SIO>False</SIO>
                                    <TO>0</TO>
                                    <TS/>
                                    <DO>1</DO>
                                    <TB>1</TB>
                                    <R>10</R>
                                    <P>False</P>
                                    <AB>0</AB>
                                    <NSD>1</NSD>
                                    <DU>1</DU>
                                    <INF>False</INF>
                                    <NT>0</NT>
                                    <DP>0</DP>
                                    <CNF/>
                                  </FmtCndProps>
                                  <FntOvly>
                                    <FntOvlyProps>
                                      <PT>2</PT>
                                      <SON>0</SON>
                                      <CBPLI>1,3,15,2,1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16,3,1,0,0,0,FALSE,FALSE,3,16,3,1,0,1,0,FALSE,FALSE§Z¿)),1,MIN(SUM(§A¿0,1,1,3,16,3,1,0,0,0,FALSE,FALSE,3,16,3,1,0,1,0,FALSE,FALSE§Z¿),1))]]></VOFFF>
                              </ClmnBlkPtProps>
                              <Chk>
                                <ChkProps>
                                  <CBPLI>1,3,16,2,1</CBPLI>
                                  <CT>0</CT>
                                  <CN>12</CN>
                                  <HST>1</HST>
                                  <CHT/>
                                  <HCBPLI>1,1,2,1,1</HCBPLI>
                                </ChkProps>
                              </Chk>
                              <Cmts>
                                <Cmt>
                                  <CmtProps>
                                    <CBPLI>1,3,16,2,1</CBPLI>
                                    <WRN>1</WRN>
                                    <ERT>5</ERT>
                                    <COSTN>0</COSTN>
                                    <OC>0</OC>
                                    <HT><![CDATA[Error Check]]></HT>
                                    <HFS>0</HFS>
                                    <BT><![CDATA[Flags the existence of errors.]]></BT>
                                    <BFS>0</BFS>
                                    <H>447</H>
                                    <W>128</W>
                                  </CmtProps>
                                </Cmt>
                              </Cmts>
                              <FmtCnds>
                                <FmtCnd>
                                  <FmtCndProps>
                                    <CBPLI>1,3,16,2,1</CBPLI>
                                    <FCN>1</FCN>
                                    <FCT>1</FCT>
                                    <FCO>4</FCO>
                                    <F1FFF><![CDATA[=0]]></F1FFF>
                                    <F2FFF/>
                                    <SIT>False</SIT>
                                    <BSV>True</BSV>
                                    <BCT>0</BCT>
                                    <CNBCN>0</CNBCN>
                                    <BTAS>0</BTAS>
                                    <IST>1</IST>
                                    <RO>False</RO>
                                    <SIO>False</SIO>
                                    <TO>0</TO>
                                    <TS/>
                                    <DO>1</DO>
                                    <TB>1</TB>
                                    <R>10</R>
                                    <P>False</P>
                                    <AB>0</AB>
                                    <NSD>1</NSD>
                                    <DU>1</DU>
                                    <INF>False</INF>
                                    <NT>0</NT>
                                    <DP>0</DP>
                                    <CNF/>
                                  </FmtCndProps>
                                  <FntOvly>
                                    <FntOvlyProps>
                                      <PT>2</PT>
                                      <SON>0</SON>
                                      <CBPLI>1,3,16,2,1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1,1,3,14,2,1,-1,0,0,FALSE,FALSE,3,15,2,1,-1,0,0,FALSE,FALSE§Z¿),1)]]></VOFFF>
                              </ClmnBlkPtProps>
                              <FmtCnds>
                                <FmtCnd>
                                  <FmtCndProps>
                                    <CBPLI>1,3,16,3,1</CBPLI>
                                    <FCN>1</FCN>
                                    <FCT>1</FCT>
                                    <FCO>4</FCO>
                                    <F1FFF><![CDATA[=0]]></F1FFF>
                                    <F2FFF/>
                                    <SIT>False</SIT>
                                    <BSV>True</BSV>
                                    <BCT>0</BCT>
                                    <CNBCN>0</CNBCN>
                                    <BTAS>0</BTAS>
                                    <IST>1</IST>
                                    <RO>False</RO>
                                    <SIO>False</SIO>
                                    <TO>0</TO>
                                    <TS/>
                                    <DO>1</DO>
                                    <TB>1</TB>
                                    <R>10</R>
                                    <P>False</P>
                                    <AB>0</AB>
                                    <NSD>1</NSD>
                                    <DU>1</DU>
                                    <INF>False</INF>
                                    <NT>0</NT>
                                    <DP>0</DP>
                                    <CNF/>
                                  </FmtCndProps>
                                  <FntOvly>
                                    <FntOvlyProps>
                                      <PT>2</PT>
                                      <SON>0</SON>
                                      <CBPLI>1,3,16,3,1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ModuleGenericNa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IF(§A¿0,1,0,3,16,3,1,-1,0,0,FALSE,FALSE§Z¿<>0,0,IF(ROUND(MIN(§A¿0,1,1,3,12,2,1,1,0,0,FALSE,FALSE,3,12,2,1,2,0,0,FALSE,FALSE§Z¿),5)<0,1,0))]]></VOFFF>
                              </ClmnBlkPtProps>
                              <FmtCnds>
                                <FmtCnd>
                                  <FmtCndProps>
                                    <CBPLI>1,3,18,2,1</CBPLI>
                                    <FCN>1</FCN>
                                    <FCT>1</FCT>
                                    <FCO>4</FCO>
                                    <F1FFF><![CDATA[=0]]></F1FFF>
                                    <F2FFF/>
                                    <SIT>False</SIT>
                                    <BSV>True</BSV>
                                    <BCT>0</BCT>
                                    <CNBCN>0</CNBCN>
                                    <BTAS>0</BTAS>
                                    <IST>1</IST>
                                    <RO>False</RO>
                                    <SIO>False</SIO>
                                    <TO>0</TO>
                                    <TS/>
                                    <DO>1</DO>
                                    <TB>1</TB>
                                    <R>10</R>
                                    <P>False</P>
                                    <AB>0</AB>
                                    <NSD>1</NSD>
                                    <DU>1</DU>
                                    <INF>False</INF>
                                    <NT>0</NT>
                                    <DP>0</DP>
                                    <CNF/>
                                  </FmtCndProps>
                                  <FntOvly>
                                    <FntOvlyProps>
                                      <PT>2</PT>
                                      <SON>0</SON>
                                      <CBPLI>1,3,18,2,1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ositive Cash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3,16,3,1,-1,0,0,FALSE,FALSE§Z¿<>0,0,IF(ROUND(MAX(§A¿0,1,1,3,8,2,1,1,0,0,FALSE,FALSE,3,8,2,1,2,0,0,FALSE,FALSE§Z¿),5)>0,1,0))]]></VOFFF>
                              </ClmnBlkPtProps>
                              <FmtCnds>
                                <FmtCnd>
                                  <FmtCndProps>
                                    <CBPLI>1,3,19,2,1</CBPLI>
                                    <FCN>1</FCN>
                                    <FCT>1</FCT>
                                    <FCO>4</FCO>
                                    <F1FFF><![CDATA[=0]]></F1FFF>
                                    <F2FFF/>
                                    <SIT>False</SIT>
                                    <BSV>True</BSV>
                                    <BCT>0</BCT>
                                    <CNBCN>0</CNBCN>
                                    <BTAS>0</BTAS>
                                    <IST>1</IST>
                                    <RO>False</RO>
                                    <SIO>False</SIO>
                                    <TO>0</TO>
                                    <TS/>
                                    <DO>1</DO>
                                    <TB>1</TB>
                                    <R>10</R>
                                    <P>False</P>
                                    <AB>0</AB>
                                    <NSD>1</NSD>
                                    <DU>1</DU>
                                    <INF>False</INF>
                                    <NT>0</NT>
                                    <DP>0</DP>
                                    <CNF/>
                                  </FmtCndProps>
                                  <FntOvly>
                                    <FntOvlyProps>
                                      <PT>2</PT>
                                      <SON>0</SON>
                                      <CBPLI>1,3,19,2,1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3,20,3,1,0,0,0,FALSE,FALSE,3,20,3,1,0,1,0,FALSE,FALSE§Z¿)),1,MIN(SUM(§A¿0,1,1,3,20,3,1,0,0,0,FALSE,FALSE,3,20,3,1,0,1,0,FALSE,FALSE§Z¿),1))]]></VOFFF>
                              </ClmnBlkPtProps>
                              <Chk>
                                <ChkProps>
                                  <CBPLI>1,3,20,2,1</CBPLI>
                                  <CT>2</CT>
                                  <CN>8</CN>
                                  <HST>1</HST>
                                  <CHT/>
                                  <HCBPLI>1,1,2,1,1</HCBPLI>
                                </ChkProps>
                              </Chk>
                              <Cmts>
                                <Cmt>
                                  <CmtProps>
                                    <CBPLI>1,3,20,2,1</CBPLI>
                                    <WRN>1</WRN>
                                    <ERT>5</ERT>
                                    <COSTN>0</COSTN>
                                    <OC>0</OC>
                                    <HT><![CDATA[Alert Check]]></HT>
                                    <HFS>0</HFS>
                                    <BT><![CDATA[Flags the occurrence of designated events.]]></BT>
                                    <BFS>0</BFS>
                                    <H>447</H>
                                    <W>128</W>
                                  </CmtProps>
                                </Cmt>
                              </Cmts>
                              <FmtCnds>
                                <FmtCnd>
                                  <FmtCndProps>
                                    <CBPLI>1,3,20,2,1</CBPLI>
                                    <FCN>1</FCN>
                                    <FCT>1</FCT>
                                    <FCO>4</FCO>
                                    <F1FFF><![CDATA[=0]]></F1FFF>
                                    <F2FFF/>
                                    <SIT>False</SIT>
                                    <BSV>True</BSV>
                                    <BCT>0</BCT>
                                    <CNBCN>0</CNBCN>
                                    <BTAS>0</BTAS>
                                    <IST>1</IST>
                                    <RO>False</RO>
                                    <SIO>False</SIO>
                                    <TO>0</TO>
                                    <TS/>
                                    <DO>1</DO>
                                    <TB>1</TB>
                                    <R>10</R>
                                    <P>False</P>
                                    <AB>0</AB>
                                    <NSD>1</NSD>
                                    <DU>1</DU>
                                    <INF>False</INF>
                                    <NT>0</NT>
                                    <DP>0</DP>
                                    <CNF/>
                                  </FmtCndProps>
                                  <FntOvly>
                                    <FntOvlyProps>
                                      <PT>2</PT>
                                      <SON>0</SON>
                                      <CBPLI>1,3,20,2,1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2</SON>
                                <VOFFF><![CDATA[=MIN(SUM(§A¿0,1,1,3,18,2,1,-1,0,0,FALSE,FALSE,3,19,2,1,-1,0,0,FALSE,FALSE§Z¿),1)]]></VOFFF>
                              </ClmnBlkPtProps>
                              <FmtCnds>
                                <FmtCnd>
                                  <FmtCndProps>
                                    <CBPLI>1,3,20,3,1</CBPLI>
                                    <FCN>1</FCN>
                                    <FCT>1</FCT>
                                    <FCO>4</FCO>
                                    <F1FFF><![CDATA[=0]]></F1FFF>
                                    <F2FFF/>
                                    <SIT>False</SIT>
                                    <BSV>True</BSV>
                                    <BCT>0</BCT>
                                    <CNBCN>0</CNBCN>
                                    <BTAS>0</BTAS>
                                    <IST>1</IST>
                                    <RO>False</RO>
                                    <SIO>False</SIO>
                                    <TO>0</TO>
                                    <TS/>
                                    <DO>1</DO>
                                    <TB>1</TB>
                                    <R>10</R>
                                    <P>False</P>
                                    <AB>0</AB>
                                    <NSD>1</NSD>
                                    <DU>1</DU>
                                    <INF>False</INF>
                                    <NT>0</NT>
                                    <DP>0</DP>
                                    <CNF/>
                                  </FmtCndProps>
                                  <FntOvly>
                                    <FntOvlyProps>
                                      <PT>2</PT>
                                      <SON>0</SON>
                                      <CBPLI>1,3,20,3,1</CBPLI>
                                      <FCN>1</FCN>
                                      <CN>0</CN>
                                      <IB>True</IB>
                                      <IC>True</IC>
                                      <B>True</B>
                                      <CT>2</CT>
                                      <CNU>3</CNU>
                                      <CPR>0</CPR>
                                      <TAS>0</TAS>
                                    </FntOvlyProps>
                                  </FntOvly>
                                </FmtCnd>
                              </FmtCnds>
                            </ClmnBlkPt>
                          </ClmnBlkPts>
                        </ClmnBlk>
                      </ClmnBlks>
                      <TtlCtg>
                        <TtlCtgProps>
                          <R>3</R>
                        </TtlCtgProps>
                      </TtlCtg>
                    </Elmt>
                  </Elmts>
                </Sect>
              </Sects>
              <Ctrls>
                <Ctrl>
                  <CtrlProps>
                    <MN>36</MN>
                    <MCN>1</MCN>
                    <SIT>1</SIT>
                    <TLCRSN>1</TLCRSN>
                    <TLCREN>7</TLCREN>
                    <TLCRSRT>0</TLCRSRT>
                    <TLCCPT>3</TLCCPT>
                    <TLCCN>8</TLCCN>
                    <TLCCOT>0</TLCCOT>
                    <TLCCOC>5</TLCCOC>
                    <TLCCPTBMCN>4</TLCCPTBMCN>
                    <TLCCPTBN>2</TLCCPTBN>
                    <BRCRSN>1</BRCRSN>
                    <BRCREN>7</BRCREN>
                    <BRCRSRT>0</BRCRSRT>
                    <BRCCPT>3</BRCCPT>
                    <BRCCN>9</BRCCN>
                    <BRCCOT>1</BRCCOT>
                    <BRCCOC>0</BRCCOC>
                    <BRCCPTBMCN>4</BRCCPTBMCN>
                    <BRCCPTBN>2</BRCCPTBN>
                    <P>1</P>
                    <HAL>-4131</HAL>
                    <WA>1</WA>
                    <VA>-4108</VA>
                    <HAD>1</HAD>
                    <TI>0</TI>
                    <CT>0</CT>
                    <N/>
                    <D3DS>False</D3DS>
                    <PO>True</PO>
                    <L>True</L>
                    <OA/>
                    <T/>
                    <THA>-4108</THA>
                    <TVA>-4108</TVA>
                    <LT>True</LT>
                    <LCFFA><![CDATA[§A¿0,1,0,1,7,2,1,0,0,0,TRUE,TRUE§Z¿]]></LCFFA>
                    <LCCA/>
                    <CV>1</CV>
                    <MIV>0</MIV>
                    <MAV>100</MAV>
                    <SC>1</SC>
                    <LC>10</LC>
                    <LFRFFA><![CDATA[§A¿0,2,1,1,6,1,6,-1,0,0,TRUE,TRUE,1,6,1,1,2,0,0,TRUE,TRUE§Z¿]]></LFRFFA>
                    <LFRCA/>
                    <DDL>0</DDL>
                  </CtrlProps>
                </Ctrl>
              </Ctrls>
            </ModComp>
            <ModComp>
              <ModCompProps>
                <MN>36</MN>
                <MCN>2</MCN>
                <MCTK>LU</MCTK>
                <RT><![CDATA[<ModuleName> - Lookups]]></RT>
                <ERN>MODMC57</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ModuleGenericName>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A¿0,1,0,2,2,1,1,0,0,0,FALSE,FALSE§Z¿]]></VOFFF>
                              </ClmnBlkPtProps>
                              <RgeNmes>
                                <RgeNme>
                                  <RgeNmeProps>
                                    <CBPLI>2,1,6,1,1</CBPLI>
                                    <MCN>2</MCN>
                                    <SN>1</SN>
                                    <EN>6</EN>
                                    <CN>0</CN>
                                    <CBN>1</CBN>
                                    <CBPN>1</CBPN>
                                    <PT>1</PT>
                                    <CBPRNT>2</CBPRNT>
                                    <NT>11</NT>
                                    <SP1><![CDATA[Cat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None (Cas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Inv_Pay_Cat_Names]]></VOFFF>
                              </ClmnBlkPtProps>
                            </ClmnBlkPt>
                          </ClmnBlkPts>
                        </ClmnBlk>
                      </ClmnBlks>
                      <SubTtls>
                        <SubTtl>
                          <SubTtlHdgRow>
                            <SubTtlHdgRowProps>
                              <STLI>2,1,6,1</STLI>
                              <R>0</R>
                            </SubTtlHdgRowProps>
                          </SubTtlHdgRow>
                          <Ctgs>
                            <Ctg>
                              <CtgProps>
                                <R>3</R>
                              </CtgProps>
                              <LuTblLbl>
                                <LuTblLblProps>
                                  <CLI>2,1,6,False,1</CLI>
                                  <L><![CDATA[Lookup Label <CategoryNumber>.]]></L>
                                </LuTblLblProps>
                              </LuTblLbl>
                            </Ctg>
                          </Ctgs>
                        </SubTtl>
                      </SubTtls>
                      <TtlCtg>
                        <TtlCtgProps>
                          <R>3</R>
                        </TtlCtgProps>
                      </TtlCtg>
                    </Elmt>
                  </Elmts>
                </Sect>
              </Sects>
            </ModComp>
          </ModComps>
        </Mod>
        <Mod>
          <ModProps>
            <MVS>14.0.5.0</MVS>
            <RAV/>
            <RXV>0</RXV>
            <FV>3</FV>
            <MT>0</MT>
            <SCT>-1</SCT>
            <P><![CDATA[Capex]]></P>
            <OI>50</OI>
            <MN>0</MN>
            <MAG>67F2F4B9-E31F-4D93-B5C4-EC19B7A8BB60</MAG>
            <BN><![CDATA[Capital Expenditure]]></BN>
            <N><![CDATA[Capital Expenditure]]></N>
            <TS><![CDATA[Scenarios & Monthly]]></TS>
            <D><![CDATA[Calculates capital expenditure for a number of capital expenditure categories over a number of time series periods.]]></D>
            <FS><![CDATA[Allows for a separate module for each capital expenditure category to facilitate variable drivers functionalities.&#13;&#10;Allows for scenario assumptions to be included within a central scenario manager.]]></FS>
            <R><![CDATA[Any]]></R>
            <GE><![CDATA[Capital Expenditure]]></GE>
            <CA><![CDATA[Variable Drivers, Scenarios]]></CA>
            <VA><![CDATA[Single Component]]></VA>
            <GST><![CDATA[None]]></GST>
            <DE><![CDATA[Modano]]></DE>
            <E><![CDATA[info@modano.com]]></E>
            <C><![CDATA[Modano]]></C>
            <W><![CDATA[www.modano.com]]></W>
            <K/>
            <CO/>
            <V>11.0.1.0.</V>
            <AX>2</AX>
            <SX/>
            <PMLO>False</PMLO>
            <IPMLO>False</IPMLO>
            <MACA>0</MACA>
            <HP>False</HP>
            <DR>False</DR>
            <RTSM>True</RTSM>
            <CC>True</CC>
            <X>False</X>
            <G>986CADCA-B29B-48A4-81DA-CAE95B73A109</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
              <RowStgProps>
                <RSN>6</RSN>
                <RHST>1</RHST>
                <HS>25</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CDATA[_(#,##0.0_);(#,##0.0);_-"-"_-]]></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
              <StlOvlyProps>
                <SON>5</SON>
                <INF>True</INF>
                <NT>0</NT>
                <DP>0</DP>
                <CNF><![CDATA[_(#,##0_);(#,##0);_-"-"_-]]></CNF>
              </StlOvlyProps>
            </StlOvly>
            <StlOvly>
              <StlOvlyProps>
                <SON>6</SON>
                <IHA>True</IHA>
                <HA>-4108</HA>
              </StlOvlyProps>
              <FntOvly>
                <FntOvlyProps>
                  <PT>1</PT>
                  <SON>6</SON>
                  <CBPLI>0,0,0,0,0</CBPLI>
                  <FCN>0</FCN>
                  <CN>0</CN>
                  <IC>True</IC>
                  <CT>-3</CT>
                  <CNU>2</CNU>
                  <CPR>8421504</CPR>
                  <TAS>0.4999847</TAS>
                </FntOvlyProps>
              </FntOvly>
            </StlOvly>
            <StlOvly>
              <StlOvlyProps>
                <SON>7</SON>
                <INF>True</INF>
                <NT>0</NT>
                <DP>0</DP>
                <CNF/>
              </StlOvlyProps>
              <BdrOvlys>
                <BdrOvly>
                  <BdrOvlyProps>
                    <PT>1</PT>
                    <SON>7</SON>
                    <CBPLI/>
                    <FCN>0</FCN>
                    <I>True</I>
                    <BI>9</BI>
                    <LS>-4115</LS>
                    <W>2</W>
                  </BdrOvlyProps>
                </BdrOvly>
              </BdrOvlys>
            </StlOvly>
            <StlOvly>
              <StlOvlyProps>
                <SON>8</SON>
                <INF>True</INF>
                <NT>0</NT>
                <DP>0</DP>
                <CNF><![CDATA[_(#,##0.0_);(#,##0.0);_-"-"_-;_)@_)]]></CNF>
              </StlOvlyProps>
              <FntOvly>
                <FntOvlyProps>
                  <PT>1</PT>
                  <SON>8</SON>
                  <CBPLI>0,0,0,0,0</CBPLI>
                  <FCN>0</FCN>
                  <CN>0</CN>
                  <IB>True</IB>
                  <B>True</B>
                </FntOvlyProps>
              </FntOvly>
              <BdrOvlys>
                <BdrOvly>
                  <BdrOvlyProps>
                    <PT>1</PT>
                    <SON>8</SON>
                    <CBPLI/>
                    <FCN>0</FCN>
                    <I>True</I>
                    <BI>10</BI>
                    <LS>1</LS>
                    <W>2</W>
                  </BdrOvlyProps>
                </BdrOvly>
              </BdrOvlys>
            </StlOvly>
          </StlOvlys>
          <ElmtsGrps>
            <ElmtsGrp>
              <ElmtsGrpProps>
                <NU>1</NU>
                <NA><![CDATA[Capital Expenditure]]></NA>
                <EGT>0</EGT>
                <DCC>6</DCC>
                <AST>False</AST>
                <ISTH>True</ISTH>
                <PTMCN>0</PTMCN>
                <PTBN>0</PTBN>
                <PTBI>0</PTBI>
                <GLN/>
                <CLOT>0</CLOT>
                <CLIT>0</CLIT>
                <PMLO>0</PMLO>
                <IPMLO>0</IPMLO>
              </ElmtsGrpProps>
            </ElmtsGrp>
          </ElmtsGrps>
          <ModComps>
            <ModComp>
              <ModCompProps>
                <MN>37</MN>
                <MCN>1</MCN>
                <MCTK>BaseCase</MCTK>
                <RT><![CDATA[<ModuleName> - Scenarios]]></RT>
                <ERN>MODMC116</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TtlCtg>
                        <TtlCtgProps>
                          <R>1</R>
                        </TtlCtgProps>
                      </TtlCtg>
                    </Elmt>
                    <Elmt>
                      <ElmtProps>
                        <CPT>2</CPT>
                      </ElmtProps>
                      <ClmnBlks>
                        <ClmnBlk>
                          <ClmnBlkProps>
                            <FCPT>3</FCPT>
                            <FCN>1</FCN>
                            <FCOT>0</FCOT>
                            <FCOC>-1</FCOC>
                            <FCPTBMCN>3</FCPTBMCN>
                            <FCPTBN>1</FCPTBN>
                            <LCPT>3</LCPT>
                            <LCN>1</LCN>
                            <LCOT>0</LCOT>
                            <LCOC>-1</LCOC>
                            <LCPTBMCN>3</LCPTBMCN>
                            <LCPTBN>1</LCPTBN>
                          </ClmnBlkProps>
                          <ClmnBlkPts>
                            <ClmnBlkPt>
                              <ClmnBlkPtProps>
                                <CBPT>5</CBPT>
                                <ST>50</ST>
                                <VOFFF><![CDATA[ð]]></VOFFF>
                              </ClmnBlkPtProps>
                              <Hlk>
                                <HlkProps>
                                  <CBPLI>1,1,2,1,1</CBPLI>
                                  <RT>0</RT>
                                  <RRRT>1</RRRT>
                                  <RCBPLI>2,1,2,2,1</RCBPLI>
                                  <RCN>0</RCN>
                                  <RRNPT>1</RRNPT>
                                  <RRNN>1</RRNN>
                                  <TTDT>0</TTDT>
                                  <AGT>False</AGT>
                                  <CT/>
                                </HlkProps>
                              </Hlk>
                            </ClmnBlkPt>
                          </ClmnBlkPts>
                        </ClmnBlk>
                        <ClmnBlk>
                          <ClmnBlkProps>
                            <FCPT>3</FCPT>
                            <FCN>2</FCN>
                            <FCOT>0</FCOT>
                            <FCOC>0</FCOC>
                            <FCPTBMCN>3</FCPTBMCN>
                            <FCPTBN>1</FCPTBN>
                            <LCPT>3</LCPT>
                            <LCN>2</LCN>
                            <LCOT>1</LCOT>
                            <LCOC>0</LCOC>
                            <LCPTBMCN>3</LCPTBMCN>
                            <LCPTBN>1</LCPTBN>
                          </ClmnBlkProps>
                          <ClmnBlkPts>
                            <ClmnBlkPt>
                              <ClmnBlkPtProps>
                                <CBPT>5</CBPT>
                                <HCTHR>True</HCTHR>
                                <CTHN>6</CTHN>
                                <ST>5</ST>
                                <VOFFF><![CDATA[<ModuleName>]]></VOFFF>
                              </ClmnBlkPtProps>
                              <RgeNmes>
                                <RgeNme>
                                  <RgeNmeProps>
                                    <CBPLI>1,1,2,2,1</CBPLI>
                                    <MCN>1</MCN>
                                    <SN>1</SN>
                                    <EN>2</EN>
                                    <CN>0</CN>
                                    <CBN>2</CBN>
                                    <CBPN>1</CBPN>
                                    <PT>1</PT>
                                    <CBPRNT>6</CBPRNT>
                                    <NT>12</NT>
                                    <SP1><![CDATA[Scen_Ass]]></SP1>
                                    <SP2/>
                                    <FFF/>
                                    <CMT/>
                                  </RgeNmeProps>
                                </RgeNme>
                              </RgeNmes>
                            </ClmnBlkPt>
                          </ClmnBlkPts>
                        </ClmnBlk>
                      </ClmnBlks>
                      <TtlCtg>
                        <TtlCtgProps>
                          <R>1</R>
                        </TtlCtgProps>
                      </TtlCtg>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Sensitivity Check (Active Scenarios)]]></VOFFF>
                              </ClmnBlkPtProps>
                            </ClmnBlkPt>
                          </ClmnBlkPts>
                        </ClmnBlk>
                        <ClmnBlk>
                          <ClmnBlkProps>
                            <FCPT>3</FCPT>
                            <FCN>9</FCN>
                            <FCOT>0</FCOT>
                            <FCOC>6</FCOC>
                            <FCPTBMCN>3</FCPTBMCN>
                            <FCPTBN>2</FCPTBN>
                            <LCPT>3</LCPT>
                            <LCN>9</LCN>
                            <LCOT>1</LCOT>
                            <LCOC>0</LCOC>
                            <LCPTBMCN>3</LCPTBMCN>
                            <LCPTBN>2</LCPTBN>
                          </ClmnBlkProps>
                          <ClmnBlkPts>
                            <ClmnBlkPt>
                              <ClmnBlkPtProps>
                                <CBPT>5</CBPT>
                                <ST>18</ST>
                                <SON>8</SON>
                                <VOFFF><![CDATA[=IF(ROWS(§A¿0,3|4,1,1,2,2,1,-1,0,0,TRUE,TRUE,1,1,2,1,-1,0,0,TRUE,TRUE§Z¿)=2,0,IF(COUNTIF(OFFSET(§A¿0,3,0,1,2,2,1,-1,0,0,TRUE,TRUE§Z¿,1,0,ROWS(§A¿0,3|4,1,1,2,2,1,-1,0,0,TRUE,TRUE,1,1,2,1,-1,0,0,TRUE,TRUE§Z¿)-2,1),"<>0")-COUNTBLANK(OFFSET(§A¿0,3,0,1,2,2,1,-1,0,0,TRUE,TRUE§Z¿,1,0,ROWS(§A¿0,3|4,1,1,2,2,1,-1,0,0,TRUE,TRUE,1,1,2,1,-1,0,0,TRUE,TRUE§Z¿)-2,1))>0,1,0))]]></VOFFF>
                              </ClmnBlkPtProps>
                              <Chk>
                                <ChkProps>
                                  <CBPLI>1,1,3,2,1</CBPLI>
                                  <CT>1</CT>
                                  <CN>4</CN>
                                  <HST>1</HST>
                                  <CHT/>
                                  <HCBPLI>1,1,2,2,1</HCBPLI>
                                </ChkProps>
                              </Chk>
                              <Cmts>
                                <Cmt>
                                  <CmtProps>
                                    <CBPLI>1,1,3,2,1</CBPLI>
                                    <WRN>1</WRN>
                                    <ERT>5</ERT>
                                    <COSTN>0</COSTN>
                                    <OC>0</OC>
                                    <HT><![CDATA[Sensitivity]]></HT>
                                    <BT><![CDATA[Flags the existence of operative sensitivity assumptions.]]></BT>
                                  </CmtProps>
                                </Cmt>
                              </Cmts>
                              <FmtCnds>
                                <FmtCnd>
                                  <FmtCndProps>
                                    <CBPLI>1,1,3,2,1</CBPLI>
                                    <FCN>1</FCN>
                                    <FCT>1</FCT>
                                    <FCO>4</FCO>
                                    <F1FFF><![CDATA[=0]]></F1FFF>
                                    <F2FFF/>
                                    <SIT>False</SIT>
                                    <BSV>True</BSV>
                                    <BCT>0</BCT>
                                    <CNBCN>0</CNBCN>
                                    <BTAS>0</BTAS>
                                    <IST>1</IST>
                                    <RO>False</RO>
                                    <SIO>False</SIO>
                                    <TO>0</TO>
                                    <TS/>
                                    <DO>1</DO>
                                    <TB>1</TB>
                                    <R>10</R>
                                    <P>False</P>
                                    <AB>0</AB>
                                    <NSD>1</NSD>
                                    <DU>1</DU>
                                    <INF>False</INF>
                                    <NT>0</NT>
                                    <DP>0</DP>
                                    <CNF/>
                                  </FmtCndProps>
                                  <FntOvly>
                                    <FntOvlyProps>
                                      <PT>2</PT>
                                      <SON>0</SON>
                                      <CBPLI>1,1,3,2,1</CBPLI>
                                      <FCN>1</FCN>
                                      <CN>0</CN>
                                      <IB>True</IB>
                                      <IC>True</IC>
                                      <B>True</B>
                                      <CT>2</CT>
                                      <CNU>3</CNU>
                                      <CPR>0</CPR>
                                      <TAS>0</TAS>
                                    </FntOvlyProps>
                                  </FntOvly>
                                </FmtCnd>
                              </FmtCnds>
                            </ClmnBlkPt>
                          </ClmnBlkPts>
                        </ClmnBlk>
                      </ClmnBlks>
                      <TtlCtg>
                        <TtlCtgProps>
                          <R>4</R>
                        </TtlCtgProps>
                      </TtlCtg>
                    </Elmt>
                    <Elmt>
                      <ElmtProps>
                        <CPT>2</CPT>
                      </ElmtProps>
                      <TtlCtg>
                        <TtlCtgProps>
                          <R>6</R>
                        </TtlCtgProps>
                      </TtlCtg>
                    </Elmt>
                  </Elmts>
                </Sect>
              </Sects>
            </ModComp>
            <ModComp>
              <ModCompProps>
                <MN>37</MN>
                <MCN>2</MCN>
                <MCTK>BaseCase</MCTK>
                <RT><![CDATA[<ModuleName> - Top]]></RT>
                <ERN>MODMC117</ERN>
                <MCST>1</MCST>
                <IPMC>False</IPMC>
                <SN>12</SN>
                <LODS>False</LODS>
                <LST>False</LST>
                <RSTF>False</RSTF>
                <STRA>0</STRA>
                <HS>False</HS>
                <IBOA>0</IBOA>
                <IB>True</IB>
                <CI><![CDATA[Capital Expenditure Assumptions]]></CI>
                <PTI/>
                <PTP>False</PTP>
                <PTD><![CDATA[Monthly time series periods.]]></PTD>
                <PTMCN>4</PTMCN>
                <CROL>0</CROL>
                <CCOL>0</CCOL>
                <AMFN>0</AMFN>
              </ModCompProps>
              <Sects>
                <Sect>
                  <SectProps>
                    <LI>2,1</LI>
                    <EGN>0</EGN>
                  </SectProps>
                  <Elmts>
                    <Elmt>
                      <ElmtProps>
                        <CPT>2</CPT>
                      </ElmtProps>
                      <TtlCtg/>
                    </Elmt>
                    <Elmt>
                      <ElmtProps>
                        <CPT>2</CPT>
                      </ElmtProps>
                      <ClmnBlks>
                        <ClmnBlk>
                          <ClmnBlkProps>
                            <FCPT>3</FCPT>
                            <FCN>1</FCN>
                            <FCOT>0</FCOT>
                            <FCOC>-1</FCOC>
                            <FCPTBMCN>4</FCPTBMCN>
                            <FCPTBN>1</FCPTBN>
                            <LCPT>3</LCPT>
                            <LCN>1</LCN>
                            <LCOT>0</LCOT>
                            <LCOC>-1</LCOC>
                            <LCPTBMCN>4</LCPTBMCN>
                            <LCPTBN>1</LCPTBN>
                          </ClmnBlkProps>
                          <ClmnBlkPts>
                            <ClmnBlkPt>
                              <ClmnBlkPtProps>
                                <CBPT>5</CBPT>
                                <ST>50</ST>
                                <VOFFF><![CDATA[ï]]></VOFFF>
                              </ClmnBlkPtProps>
                              <Hlk>
                                <HlkProps>
                                  <CBPLI>2,1,2,1,1</CBPLI>
                                  <RT>0</RT>
                                  <RRRT>1</RRRT>
                                  <RCBPLI>1,1,2,2,1</RCBPLI>
                                  <RCN>0</RCN>
                                  <RRNPT>1</RRNPT>
                                  <RRNN>1</RRNN>
                                  <TTDT>0</TTDT>
                                  <AGT>False</AGT>
                                  <CT/>
                                </HlkProps>
                              </Hlk>
                            </ClmnBlkPt>
                          </ClmnBlkPts>
                        </ClmnBlk>
                        <ClmnBlk>
                          <ClmnBlkProps>
                            <FCPT>3</FCPT>
                            <FCN>2</FCN>
                            <FCOT>0</FCOT>
                            <FCOC>0</FCOC>
                            <LCPT>3</LCPT>
                            <LCN>2</LCN>
                            <LCOT>1</LCOT>
                            <LCOC>0</LCOC>
                          </ClmnBlkProps>
                          <ClmnBlkPts>
                            <ClmnBlkPt>
                              <ClmnBlkPtProps>
                                <CBPT>5</CBPT>
                                <HCTHR>True</HCTHR>
                                <CTHN>37</CTHN>
                                <ST>3</ST>
                                <VOFFF><![CDATA[<ModuleName>]]></VOFFF>
                              </ClmnBlkPtProps>
                              <RgeNmes>
                                <RgeNme>
                                  <RgeNmeProps>
                                    <CBPLI>2,1,2,2,1</CBPLI>
                                    <MCN>2</MCN>
                                    <SN>1</SN>
                                    <EN>2</EN>
                                    <CN>0</CN>
                                    <CBN>2</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Driver]]></VOFFF>
                              </ClmnBlkPtProps>
                            </ClmnBlkPt>
                          </ClmnBlkPts>
                        </ClmnBlk>
                      </ClmnBlks>
                      <TtlCtg>
                        <TtlCtgProps>
                          <R>1</R>
                        </TtlCtgProps>
                      </TtlCtg>
                    </Elmt>
                  </Elmts>
                </Sect>
              </Sects>
            </ModComp>
            <ModComp>
              <ModCompProps>
                <MN>37</MN>
                <MCN>3</MCN>
                <MCTK>BaseCase</MCTK>
                <RT><![CDATA[<ModuleName> - Middle]]></RT>
                <ERN>MODMC118</ERN>
                <MCST>1</MCST>
                <IPMC>False</IPMC>
                <SN>12</SN>
                <LODS>False</LODS>
                <LST>False</LST>
                <RSTF>False</RSTF>
                <STRA>0</STRA>
                <HS>False</HS>
                <IBOA>0</IBOA>
                <IB>True</IB>
                <CI><![CDATA[Capital Expenditure Outputs]]></CI>
                <PTI/>
                <PTP>False</PTP>
                <PTD><![CDATA[Monthly time series periods.]]></PTD>
                <PTMCN>4</PTMCN>
                <CROL>0</CROL>
                <CCOL>0</CCOL>
                <AMFN>0</AMFN>
              </ModCompProps>
              <Sects>
                <Sect>
                  <SectProps>
                    <LI>3,1</LI>
                    <EGN>0</EGN>
                  </SectProps>
                  <Elmts>
                    <Elmt>
                      <ElmtProps>
                        <CPT>2</CPT>
                      </ElmtProps>
                      <TtlCtg>
                        <TtlCtgProps>
                          <R>3</R>
                        </TtlCtgProps>
                      </TtlCtg>
                    </Elmt>
                    <Elmt>
                      <ElmtProps>
                        <CPT>2</CPT>
                      </ElmtProps>
                      <ClmnBlks>
                        <ClmnBlk>
                          <ClmnBlkProps>
                            <FCPT>3</FCPT>
                            <FCN>2</FCN>
                            <FCOT>0</FCOT>
                            <FCOC>0</FCOC>
                            <LCPT>3</LCPT>
                            <LCN>2</LCN>
                            <LCOT>1</LCOT>
                            <LCOC>0</LCOC>
                          </ClmnBlkProps>
                          <ClmnBlkPts>
                            <ClmnBlkPt>
                              <ClmnBlkPtProps>
                                <CBPT>5</CBPT>
                                <ST>5</ST>
                                <VOFFF><![CDATA[=§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6</SON>
                                <VOFFF><![CDATA[Scenarios]]></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37</MN>
                <MCN>4</MCN>
                <MCTK>BaseCase</MCTK>
                <RT><![CDATA[<ModuleName> - Bottom]]></RT>
                <ERN>MODMC119</ERN>
                <MCST>1</MCST>
                <IPMC>False</IPMC>
                <SN>12</SN>
                <LODS>False</LODS>
                <LST>False</LST>
                <RSTF>False</RSTF>
                <STRA>0</STRA>
                <HS>False</HS>
                <IBOA>4</IBOA>
                <IB>True</IB>
                <CI/>
                <PTI/>
                <PTP>False</PTP>
                <PTD><![CDATA[Monthly time series periods.]]></PTD>
                <PTMCN>4</PTMCN>
                <CROL>0</CROL>
                <CCOL>0</CCOL>
                <AMFN>0</AMFN>
              </ModCompProps>
              <Sects>
                <Sect>
                  <SectProps>
                    <LI>4,1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2,0,1,4,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3|4,1,1,2,3,1,-1,0,0,TRUE,FALSE,1,1,3,1,-1,0,0,TRUE,FALSE§Z¿)=2,0,SUM(OFFSET(§A¿0,3,0,1,2,3,1,-1,0,0,TRUE,FALSE§Z¿,1,0,ROWS(§A¿0,3|4,1,1,2,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2,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ModuleName> Category <CategoryNumber>]]></VOFFF>
                              </ClmnBlkPtProps>
                              <LnkInForms>
                                <LnkInForm>
                                  <LnkInFormProps>
                                    <CBPLI>4,1,4,1,1</CBPLI>
                                    <ELN>1</ELN>
                                    <FFF><![CDATA[=§A¿10,FALSE,0,1,0,FALSE§Z¿]]></FFF>
                                  </LnkInFormProps>
                                </LnkInForm>
                              </LnkInForms>
                            </ClmnBlkPt>
                            <ClmnBlkPt>
                              <ClmnBlkPtProps>
                                <CBPT>1</CBPT>
                                <ST>6</ST>
                                <VOFFF><![CDATA[=§A¿0,4,0,1,4,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4,0,1,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4,1,4,2,1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37</MN>
                                  <CLI>4,1,4,False,1</CLI>
                                  <ELN>1</ELN>
                                  <LOOT>2</LOOT>
                                  <LOMN>38</LOMN>
                                  <LOMCN>3</LOMCN>
                                  <LOSN>1</LOSN>
                                  <LOEN>1</LOEN>
                                  <LOCN>0</LOCN>
                                </LnkInProps>
                              </LnkIn>
                            </Ctg>
                            <Ctg>
                              <CtgProps>
                                <R>4</R>
                              </CtgProps>
                              <LnkIn>
                                <LnkInProps>
                                  <MN>37</MN>
                                  <CLI>4,1,4,False,2</CLI>
                                  <ELN>1</ELN>
                                  <LOOT>2</LOOT>
                                  <LOMN>39</LOMN>
                                  <LOMCN>3</LOMCN>
                                  <LOSN>1</LOSN>
                                  <LOEN>1</LOEN>
                                  <LOCN>0</LOCN>
                                </LnkInProps>
                              </LnkIn>
                            </Ctg>
                          </Ctgs>
                        </SubTtl>
                      </SubTtls>
                      <TtlCtg>
                        <TtlCtgProps>
                          <R>4</R>
                        </TtlCtgProps>
                      </TtlCtg>
                      <ElmtLnksOut>
                        <ElmtLnk>
                          <ElmtLnkProps>
                            <ELI>4,1,4</ELI>
                            <ELN>1</ELN>
                            <ELGN>1</ELGN>
                            <MLG>50577B93-13A0-4BA1-A3D3-EB77A5A336DE</MLG>
                            <ICBI>1,2</ICBI>
                            <ILBN>1,2</ILBN>
                            <LIBN>0</LIBN>
                          </ElmtLnkProps>
                        </ElmtLnk>
                      </ElmtLnksOut>
                      <ElmtLnksIn>
                        <ElmtLnk>
                          <ElmtLnkProps>
                            <ELI>4,1,4</ELI>
                            <ELN>1</ELN>
                            <ELGN>1</ELGN>
                            <MLG>FE788156-8444-4B69-A832-BDAD79E10A8D</MLG>
                            <ICBI>1,2</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4,0,1,1,3,1,-1,0,0,FALSE,FALSE§Z¿-§A¿0,4,0,1,4,2,6,-1,0,0,FALSE,FALSE§Z¿),1,0)]]></VOFFF>
                              </ClmnBlkPtProps>
                              <FmtCnds>
                                <FmtCnd>
                                  <FmtCndProps>
                                    <CBPLI>4,1,6,2,1</CBPLI>
                                    <FCN>1</FCN>
                                    <FCT>1</FCT>
                                    <FCO>4</FCO>
                                    <F1FFF><![CDATA[=0]]></F1FFF>
                                    <F2FFF/>
                                    <SIT>False</SIT>
                                    <BSV>True</BSV>
                                    <BCT>0</BCT>
                                    <CNBCN>0</CNBCN>
                                    <BTAS>0</BTAS>
                                    <IST>1</IST>
                                    <RO>False</RO>
                                    <SIO>False</SIO>
                                    <TO>0</TO>
                                    <TS/>
                                    <DO>1</DO>
                                    <TB>1</TB>
                                    <R>10</R>
                                    <P>False</P>
                                    <AB>0</AB>
                                    <NSD>1</NSD>
                                    <DU>1</DU>
                                    <INF>False</INF>
                                    <NT>0</NT>
                                    <DP>0</DP>
                                    <CNF/>
                                  </FmtCndProps>
                                  <FntOvly>
                                    <FntOvlyProps>
                                      <PT>2</PT>
                                      <SON>0</SON>
                                      <CBPLI>4,1,6,2,1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4,0,1,6,2,1,-1,0,0,FALSE,FALSE§Z¿<>0,0,IF(ROUND(§A¿0,4,0,1,1,3,1,-1,0,0,FALSE,FALSE§Z¿-§A¿0,4,0,1,4,2,6,-1,0,0,FALSE,FALSE§Z¿,5)<>0,1,0))]]></VOFFF>
                              </ClmnBlkPtProps>
                              <FmtCnds>
                                <FmtCnd>
                                  <FmtCndProps>
                                    <CBPLI>4,1,7,2,1</CBPLI>
                                    <FCN>1</FCN>
                                    <FCT>1</FCT>
                                    <FCO>4</FCO>
                                    <F1FFF><![CDATA[=0]]></F1FFF>
                                    <F2FFF/>
                                    <SIT>False</SIT>
                                    <BSV>True</BSV>
                                    <BCT>0</BCT>
                                    <CNBCN>0</CNBCN>
                                    <BTAS>0</BTAS>
                                    <IST>1</IST>
                                    <RO>False</RO>
                                    <SIO>False</SIO>
                                    <TO>0</TO>
                                    <TS/>
                                    <DO>1</DO>
                                    <TB>1</TB>
                                    <R>10</R>
                                    <P>False</P>
                                    <AB>0</AB>
                                    <NSD>1</NSD>
                                    <DU>1</DU>
                                    <INF>False</INF>
                                    <NT>0</NT>
                                    <DP>0</DP>
                                    <CNF/>
                                  </FmtCndProps>
                                  <FntOvly>
                                    <FntOvlyProps>
                                      <PT>2</PT>
                                      <SON>0</SON>
                                      <CBPLI>4,1,7,2,1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3</SON>
                                <VOFFF><![CDATA[=IF(ISERROR(SUM(0,§A¿0,4,1,1,8,3,1,-1,0,0,FALSE,FALSE,1,8,3,1,-1,1,0,FALSE,FALSE§Z¿)),1,MIN(SUM(§A¿0,4,1,1,8,3,1,-1,0,0,FALSE,FALSE,1,8,3,1,-1,1,0,FALSE,FALSE§Z¿),1))]]></VOFFF>
                              </ClmnBlkPtProps>
                              <Chk>
                                <ChkProps>
                                  <CBPLI>4,1,8,2,1</CBPLI>
                                  <CT>0</CT>
                                  <CN>2</CN>
                                  <HST>1</HST>
                                  <CHT/>
                                  <HCBPLI>2,1,2,2,1</HCBPLI>
                                </ChkProps>
                              </Chk>
                              <Cmts>
                                <Cmt>
                                  <CmtProps>
                                    <CBPLI>4,1,8,2,1</CBPLI>
                                    <WRN>1</WRN>
                                    <ERT>5</ERT>
                                    <COSTN>0</COSTN>
                                    <OC>0</OC>
                                    <HT><![CDATA[Error Check]]></HT>
                                    <HFS>0</HFS>
                                    <BT><![CDATA[Flags the existence of errors.]]></BT>
                                    <BFS>0</BFS>
                                    <H>103</H>
                                    <W>128</W>
                                  </CmtProps>
                                </Cmt>
                              </Cmts>
                              <FmtCnds>
                                <FmtCnd>
                                  <FmtCndProps>
                                    <CBPLI>4,1,8,2,1</CBPLI>
                                    <FCN>1</FCN>
                                    <FCT>1</FCT>
                                    <FCO>4</FCO>
                                    <F1FFF><![CDATA[=0]]></F1FFF>
                                    <F2FFF/>
                                    <SIT>False</SIT>
                                    <BSV>True</BSV>
                                    <BCT>0</BCT>
                                    <CNBCN>0</CNBCN>
                                    <BTAS>0</BTAS>
                                    <IST>1</IST>
                                    <RO>False</RO>
                                    <SIO>False</SIO>
                                    <TO>0</TO>
                                    <TS/>
                                    <DO>1</DO>
                                    <TB>1</TB>
                                    <R>10</R>
                                    <P>False</P>
                                    <AB>0</AB>
                                    <NSD>1</NSD>
                                    <DU>1</DU>
                                    <INF>False</INF>
                                    <NT>0</NT>
                                    <DP>0</DP>
                                    <CNF/>
                                  </FmtCndProps>
                                  <FntOvly>
                                    <FntOvlyProps>
                                      <PT>2</PT>
                                      <SON>0</SON>
                                      <CBPLI>4,1,8,2,1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MIN(SUM(§A¿0,4,1,1,6,2,1,-1,0,0,FALSE,FALSE,1,7,2,1,-1,0,0,FALSE,FALSE§Z¿),1)]]></VOFFF>
                              </ClmnBlkPtProps>
                              <FmtCnds>
                                <FmtCnd>
                                  <FmtCndProps>
                                    <CBPLI>4,1,8,3,1</CBPLI>
                                    <FCN>1</FCN>
                                    <FCT>1</FCT>
                                    <FCO>4</FCO>
                                    <F1FFF><![CDATA[=0]]></F1FFF>
                                    <F2FFF/>
                                    <SIT>False</SIT>
                                    <BSV>True</BSV>
                                    <BCT>0</BCT>
                                    <CNBCN>0</CNBCN>
                                    <BTAS>0</BTAS>
                                    <IST>1</IST>
                                    <RO>False</RO>
                                    <SIO>False</SIO>
                                    <TO>0</TO>
                                    <TS/>
                                    <DO>1</DO>
                                    <TB>1</TB>
                                    <R>10</R>
                                    <P>False</P>
                                    <AB>0</AB>
                                    <NSD>1</NSD>
                                    <DU>1</DU>
                                    <INF>False</INF>
                                    <NT>0</NT>
                                    <DP>0</DP>
                                    <CNF/>
                                  </FmtCndProps>
                                  <FntOvly>
                                    <FntOvlyProps>
                                      <PT>2</PT>
                                      <SON>0</SON>
                                      <CBPLI>4,1,8,3,1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LCPT>3</LCPT>
                            <LCN>2</LCN>
                            <LCOT>1</LCOT>
                            <LCOC>0</LCOC>
                          </ClmnBlkProps>
                          <ClmnBlkPts>
                            <ClmnBlkPt>
                              <ClmnBlkPtProps>
                                <CBPT>5</CBPT>
                                <ST>6</ST>
                                <VOFFF><![CDATA[Alert Check (Negative <ModuleGenericName>)]]></VOFFF>
                              </ClmnBlkPtProps>
                            </ClmnBlkPt>
                          </ClmnBlkPts>
                        </ClmnBlk>
                        <ClmnBlk>
                          <ClmnBlkProps>
                            <FCPT>3</FCPT>
                            <FCN>9</FCN>
                            <FCOT>0</FCOT>
                            <FCOC>6</FCOC>
                            <LCPT>3</LCPT>
                            <LCN>9</LCN>
                            <LCOT>1</LCOT>
                            <LCOC>0</LCOC>
                          </ClmnBlkProps>
                          <ClmnBlkPts>
                            <ClmnBlkPt>
                              <ClmnBlkPtProps>
                                <CBPT>5</CBPT>
                                <ST>18</ST>
                                <SON>2</SON>
                                <VOFFF><![CDATA[=IF(ISERROR(SUM(§A¿0,4,1,1,9,3,1,-1,0,0,FALSE,FALSE,1,9,3,1,-1,1,0,FALSE,FALSE§Z¿)),1,MIN(SUM(§A¿0,4,1,1,9,3,1,-1,0,0,FALSE,FALSE,1,9,3,1,-1,1,0,FALSE,FALSE§Z¿),1))]]></VOFFF>
                              </ClmnBlkPtProps>
                              <Chk>
                                <ChkProps>
                                  <CBPLI>4,1,9,2,1</CBPLI>
                                  <CT>2</CT>
                                  <CN>2</CN>
                                  <HST>1</HST>
                                  <CHT/>
                                  <HCBPLI>2,1,2,2,1</HCBPLI>
                                </ChkProps>
                              </Chk>
                              <Cmts>
                                <Cmt>
                                  <CmtProps>
                                    <CBPLI>4,1,9,2,1</CBPLI>
                                    <WRN>1</WRN>
                                    <ERT>5</ERT>
                                    <COSTN>0</COSTN>
                                    <OC>0</OC>
                                    <HT><![CDATA[Alert Check]]></HT>
                                    <HFS>0</HFS>
                                    <BT><![CDATA[Flags the occurrence of designated events.]]></BT>
                                    <BFS>0</BFS>
                                    <H>80</H>
                                    <W>128</W>
                                  </CmtProps>
                                </Cmt>
                              </Cmts>
                              <FmtCnds>
                                <FmtCnd>
                                  <FmtCndProps>
                                    <CBPLI>4,1,9,2,1</CBPLI>
                                    <FCN>1</FCN>
                                    <FCT>1</FCT>
                                    <FCO>4</FCO>
                                    <F1FFF><![CDATA[=0]]></F1FFF>
                                    <F2FFF/>
                                    <SIT>False</SIT>
                                    <BSV>True</BSV>
                                    <BCT>0</BCT>
                                    <CNBCN>0</CNBCN>
                                    <BTAS>0</BTAS>
                                    <IST>1</IST>
                                    <RO>False</RO>
                                    <SIO>False</SIO>
                                    <TO>0</TO>
                                    <TS/>
                                    <DO>1</DO>
                                    <TB>1</TB>
                                    <R>10</R>
                                    <P>False</P>
                                    <AB>0</AB>
                                    <NSD>1</NSD>
                                    <DU>1</DU>
                                    <INF>False</INF>
                                    <NT>0</NT>
                                    <DP>0</DP>
                                    <CNF/>
                                  </FmtCndProps>
                                  <FntOvly>
                                    <FntOvlyProps>
                                      <PT>2</PT>
                                      <SON>0</SON>
                                      <CBPLI>4,1,9,2,1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4,0,1,8,3,1,-1,0,0,FALSE,FALSE§Z¿=1,0,IF(MIN(§A¿0,4,1,1,4,2,1,1,0,0,FALSE,FALSE,1,4,2,1,2,0,0,FALSE,FALSE§Z¿)<0,1,0))]]></VOFFF>
                              </ClmnBlkPtProps>
                              <FmtCnds>
                                <FmtCnd>
                                  <FmtCndProps>
                                    <CBPLI>4,1,9,3,1</CBPLI>
                                    <FCN>1</FCN>
                                    <FCT>1</FCT>
                                    <FCO>4</FCO>
                                    <F1FFF><![CDATA[=0]]></F1FFF>
                                    <F2FFF/>
                                    <SIT>False</SIT>
                                    <BSV>True</BSV>
                                    <BCT>0</BCT>
                                    <CNBCN>0</CNBCN>
                                    <BTAS>0</BTAS>
                                    <IST>1</IST>
                                    <RO>False</RO>
                                    <SIO>False</SIO>
                                    <TO>0</TO>
                                    <TS/>
                                    <DO>1</DO>
                                    <TB>1</TB>
                                    <R>10</R>
                                    <P>False</P>
                                    <AB>0</AB>
                                    <NSD>1</NSD>
                                    <DU>1</DU>
                                    <INF>False</INF>
                                    <NT>0</NT>
                                    <DP>0</DP>
                                    <CNF/>
                                  </FmtCndProps>
                                  <FntOvly>
                                    <FntOvlyProps>
                                      <PT>2</PT>
                                      <SON>0</SON>
                                      <CBPLI>4,1,9,3,1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Capex_Cat]]></P>
            <OI>60</OI>
            <MN>0</MN>
            <MAG>67F2F4B9-E31F-4D93-B5C4-EC19B7A8BB60</MAG>
            <BN><![CDATA[Capital Expenditure Category]]></BN>
            <N><![CDATA[Capital Expenditure - Fencing Equipment]]></N>
            <TS><![CDATA[Scenarios & Monthly]]></TS>
            <D><![CDATA[Calculates capital expenditure for a single capital expenditure category over a number of time series periods.]]></D>
            <FS><![CDATA[Collects capital expenditure assumptions as amounts for each time series period.&#13;&#10;Includes all periods percentage change scenario assumptions to be included within a central scenario manager.]]></FS>
            <R><![CDATA[Any]]></R>
            <GE><![CDATA[Capital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E204D765-BA01-467D-BDEF-9C975A5C87C5</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38</MN>
                <MCN>1</MCN>
                <MCTK>BaseCase</MCTK>
                <RT><![CDATA[<ModuleName> - Scenarios]]></RT>
                <ERN>MODMC120</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38</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38</MN>
                <MCN>2</MCN>
                <MCTK>BaseCase</MCTK>
                <RT><![CDATA[<ModuleName> - Assumptions]]></RT>
                <ERN>MODMC121</ERN>
                <MCST>1</MCST>
                <IPMC>False</IPMC>
                <SN>12</SN>
                <LODS>False</LODS>
                <LST>False</LST>
                <RSTF>False</RSTF>
                <STRA>0</STRA>
                <HS>False</HS>
                <IBOA>0</IBOA>
                <IB>True</IB>
                <CI><![CDATA[Capital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38</MN>
                <MCN>3</MCN>
                <MCTK>BaseCase</MCTK>
                <RT><![CDATA[<ModuleName> - Outputs]]></RT>
                <ERN>MODMC122</ERN>
                <MCST>1</MCST>
                <IPMC>False</IPMC>
                <SN>12</SN>
                <LODS>False</LODS>
                <LST>False</LST>
                <RSTF>False</RSTF>
                <STRA>0</STRA>
                <HS>False</HS>
                <IBOA>0</IBOA>
                <IB>True</IB>
                <CI><![CDATA[Capital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FE788156-8444-4B69-A832-BDAD79E10A8D</MLG>
                            <ICBI>1,3</ICBI>
                            <ILBN>1,2</ILBN>
                            <LIBN>0</LIBN>
                          </ElmtLnkProps>
                        </ElmtLnk>
                      </ElmtLnksOut>
                    </Elmt>
                  </Elmts>
                </Sect>
              </Sects>
            </ModComp>
          </ModComps>
        </Mod>
        <Mod>
          <ModProps>
            <MVS>14.0.5.0</MVS>
            <RAV/>
            <RXV>0</RXV>
            <FV>3</FV>
            <MT>0</MT>
            <SCT>-1</SCT>
            <P><![CDATA[Capex_Cat]]></P>
            <OI>60</OI>
            <MN>2</MN>
            <MAG>67F2F4B9-E31F-4D93-B5C4-EC19B7A8BB60</MAG>
            <BN><![CDATA[Capital Expenditure Category]]></BN>
            <N><![CDATA[Capital Expenditure - Leashold Improvements]]></N>
            <TS><![CDATA[Scenarios & Monthly]]></TS>
            <D><![CDATA[Calculates capital expenditure for a single capital expenditure category over a number of time series periods.]]></D>
            <FS><![CDATA[Collects capital expenditure assumptions as amounts for each time series period.&#13;&#10;Includes all periods percentage change scenario assumptions to be included within a central scenario manager.]]></FS>
            <R><![CDATA[Any]]></R>
            <GE><![CDATA[Capital Expenditure Category]]></GE>
            <CA><![CDATA[Amounts, Percentage Change Scenarios]]></CA>
            <VA><![CDATA[Single Component]]></VA>
            <GST><![CDATA[None]]></GST>
            <DE><![CDATA[Modano]]></DE>
            <E><![CDATA[info@modano.com]]></E>
            <C><![CDATA[Modano]]></C>
            <W><![CDATA[www.modano.com]]></W>
            <K/>
            <CO/>
            <V>11.0.1.0.</V>
            <AX>2</AX>
            <SX/>
            <PMLO>False</PMLO>
            <IPMLO>False</IPMLO>
            <MACA>1</MACA>
            <HP>True</HP>
            <DR>True</DR>
            <RTSM>True</RTSM>
            <CC>False</CC>
            <X>False</X>
            <G>A0E8FEF8-39ED-4949-A411-68FB893AF062</G>
          </ModProps>
          <RowStgs>
            <RowStg>
              <RowStgProps>
                <RSN>1</RSN>
                <RHST>0</RHST>
                <HS>100</HS>
                <OL>2</OL>
                <RH>False</RH>
              </RowStgProps>
            </RowStg>
            <RowStg>
              <RowStgProps>
                <RSN>2</RSN>
                <RHST>1</RHST>
                <HS>25</HS>
                <OL>2</OL>
                <RH>False</RH>
              </RowStgProps>
            </RowStg>
            <RowStg>
              <RowStgProps>
                <RSN>3</RSN>
                <RHST>0</RHST>
                <HS>0</HS>
                <OL>3</OL>
                <RH>True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IHA>True</IHA>
                <NT>-2</NT>
                <DP>0</DP>
                <CNF><![CDATA[_("+"#,##0.0%_);(#,##0.0%);_("-"_);_)@_)]]></CNF>
                <HA>-4108</HA>
              </StlOvlyProps>
              <BdrOvlys>
                <BdrOvly>
                  <BdrOvlyProps>
                    <PT>1</PT>
                    <SON>2</SON>
                    <CBPLI/>
                    <FCN>0</FCN>
                    <I>True</I>
                    <BI>7</BI>
                    <LS>1</LS>
                    <W>2</W>
                    <CT>3</CT>
                    <CN>2</CN>
                    <TAS>0.4999542</TAS>
                  </BdrOvlyProps>
                </BdrOvly>
                <BdrOvly>
                  <BdrOvlyProps>
                    <PT>1</PT>
                    <SON>2</SON>
                    <CBPLI/>
                    <FCN>0</FCN>
                    <I>True</I>
                    <BI>10</BI>
                    <LS>1</LS>
                    <W>2</W>
                    <CT>3</CT>
                    <CN>2</CN>
                    <TAS>0.4999542</TAS>
                  </BdrOvlyProps>
                </BdrOvly>
                <BdrOvly>
                  <BdrOvlyProps>
                    <PT>1</PT>
                    <SON>2</SON>
                    <CBPLI/>
                    <FCN>0</FCN>
                    <I>True</I>
                    <BI>8</BI>
                    <LS>1</LS>
                    <W>2</W>
                    <CT>3</CT>
                    <CN>2</CN>
                    <TAS>0.4999542</TAS>
                  </BdrOvlyProps>
                </BdrOvly>
                <BdrOvly>
                  <BdrOvlyProps>
                    <PT>1</PT>
                    <SON>2</SON>
                    <CBPLI/>
                    <FCN>0</FCN>
                    <I>True</I>
                    <BI>9</BI>
                    <LS>1</LS>
                    <W>2</W>
                    <CT>3</CT>
                    <CN>2</CN>
                    <TAS>0.4999542</TAS>
                  </BdrOvlyProps>
                </BdrOvly>
              </BdrOvlys>
            </StlOvly>
            <StlOvly>
              <StlOvlyProps>
                <SON>3</SON>
                <INF>True</INF>
                <IHA>True</IHA>
                <NT>-2</NT>
                <DP>0</DP>
                <CNF><![CDATA[_("+"#,##0.0%_);(#,##0.0%);_("-"_);_)@_)]]></CNF>
                <HA>-4108</HA>
              </StlOvlyProps>
              <FntOvly>
                <FntOvlyProps>
                  <PT>1</PT>
                  <SON>3</SON>
                  <CBPLI>0,0,0,0,0</CBPLI>
                  <FCN>0</FCN>
                  <CN>0</CN>
                  <IC>True</IC>
                  <CT>-3</CT>
                  <CNU>2</CNU>
                  <CPR>8421504</CPR>
                  <TAS>0.4999847</TAS>
                </FntOvlyProps>
              </FntOvly>
              <BdrOvlys>
                <BdrOvly>
                  <BdrOvlyProps>
                    <PT>1</PT>
                    <SON>3</SON>
                    <CBPLI/>
                    <FCN>0</FCN>
                    <I>True</I>
                    <BI>7</BI>
                    <LS>1</LS>
                    <W>2</W>
                    <CT>3</CT>
                    <CN>2</CN>
                    <TAS>0.4999847</TAS>
                  </BdrOvlyProps>
                </BdrOvly>
                <BdrOvly>
                  <BdrOvlyProps>
                    <PT>1</PT>
                    <SON>3</SON>
                    <CBPLI/>
                    <FCN>0</FCN>
                    <I>True</I>
                    <BI>10</BI>
                    <LS>1</LS>
                    <W>2</W>
                    <CT>3</CT>
                    <CN>2</CN>
                    <TAS>0.4999847</TAS>
                  </BdrOvlyProps>
                </BdrOvly>
                <BdrOvly>
                  <BdrOvlyProps>
                    <PT>1</PT>
                    <SON>3</SON>
                    <CBPLI/>
                    <FCN>0</FCN>
                    <I>True</I>
                    <BI>8</BI>
                    <LS>1</LS>
                    <W>2</W>
                    <CT>3</CT>
                    <CN>2</CN>
                    <TAS>0.4999847</TAS>
                  </BdrOvlyProps>
                </BdrOvly>
                <BdrOvly>
                  <BdrOvlyProps>
                    <PT>1</PT>
                    <SON>3</SON>
                    <CBPLI/>
                    <FCN>0</FCN>
                    <I>True</I>
                    <BI>9</BI>
                    <LS>1</LS>
                    <W>2</W>
                    <CT>3</CT>
                    <CN>2</CN>
                    <TAS>0.4999847</TAS>
                  </BdrOvlyProps>
                </BdrOvly>
              </BdrOvlys>
            </StlOvly>
            <StlOvly>
              <StlOvlyProps>
                <SON>4</SON>
                <INF>True</INF>
                <IHA>True</IHA>
                <NT>0</NT>
                <DP>0</DP>
                <CNF/>
                <HA>-4108</HA>
              </StlOvlyProps>
              <BdrOvlys>
                <BdrOvly>
                  <BdrOvlyProps>
                    <PT>1</PT>
                    <SON>4</SON>
                    <CBPLI/>
                    <FCN>0</FCN>
                    <I>True</I>
                    <BI>7</BI>
                    <LS>1</LS>
                    <W>2</W>
                    <CT>3</CT>
                    <CN>2</CN>
                    <TAS>0.4999542</TAS>
                  </BdrOvlyProps>
                </BdrOvly>
                <BdrOvly>
                  <BdrOvlyProps>
                    <PT>1</PT>
                    <SON>4</SON>
                    <CBPLI/>
                    <FCN>0</FCN>
                    <I>True</I>
                    <BI>10</BI>
                    <LS>1</LS>
                    <W>2</W>
                    <CT>3</CT>
                    <CN>2</CN>
                    <TAS>0.4999542</TAS>
                  </BdrOvlyProps>
                </BdrOvly>
                <BdrOvly>
                  <BdrOvlyProps>
                    <PT>1</PT>
                    <SON>4</SON>
                    <CBPLI/>
                    <FCN>0</FCN>
                    <I>True</I>
                    <BI>8</BI>
                    <LS>1</LS>
                    <W>2</W>
                    <CT>3</CT>
                    <CN>2</CN>
                    <TAS>0.4999542</TAS>
                  </BdrOvlyProps>
                </BdrOvly>
                <BdrOvly>
                  <BdrOvlyProps>
                    <PT>1</PT>
                    <SON>4</SON>
                    <CBPLI/>
                    <FCN>0</FCN>
                    <I>True</I>
                    <BI>9</BI>
                    <LS>1</LS>
                    <W>2</W>
                    <CT>3</CT>
                    <CN>2</CN>
                    <TAS>0.4999542</TAS>
                  </BdrOvlyProps>
                </BdrOvly>
              </BdrOvlys>
            </StlOvly>
            <StlOvly>
              <StlOvlyProps>
                <SON>5</SON>
                <IHA>True</IHA>
                <HA>-4108</HA>
              </StlOvlyProps>
              <FntOvly>
                <FntOvlyProps>
                  <PT>1</PT>
                  <SON>5</SON>
                  <CBPLI>0,0,0,0,0</CBPLI>
                  <FCN>0</FCN>
                  <CN>0</CN>
                  <IC>True</IC>
                  <CT>-3</CT>
                  <CNU>2</CNU>
                  <CPR>8421504</CPR>
                  <TAS>0.4999542</TAS>
                </FntOvlyProps>
              </FntOvly>
            </StlOvly>
            <StlOvly>
              <StlOvlyProps>
                <SON>6</SON>
                <INF>True</INF>
                <IHA>True</IHA>
                <NT>-2</NT>
                <DP>0</DP>
                <CNF><![CDATA[_("+"#,##0.0%_);(#,##0.0%);_("-"_);_)@_)]]></CNF>
                <HA>-4108</HA>
              </StlOvlyProps>
            </StlOvly>
          </StlOvlys>
          <TrigCbps>
            <TrigCbp>
              <TrigCbpProps>
                <LI>3,1,1,1,1</LI>
                <TT>2</TT>
                <RLI/>
                <R2LI/>
                <TS/>
                <OT>0</OT>
                <FO>0</FO>
              </TrigCbpProps>
            </TrigCbp>
          </TrigCbps>
          <ModComps>
            <ModComp>
              <ModCompProps>
                <MN>39</MN>
                <MCN>1</MCN>
                <MCTK>BaseCase</MCTK>
                <RT><![CDATA[<ModuleName> - Scenarios]]></RT>
                <ERN>MODMC123</ERN>
                <MCST>1</MCST>
                <IPMC>False</IPMC>
                <SN>7</SN>
                <LODS>False</LODS>
                <LST>False</LST>
                <RSTF>False</RSTF>
                <STRA>0</STRA>
                <HS>False</HS>
                <IBOA>0</IBOA>
                <IB>True</IB>
                <CI><![CDATA[Scenarios]]></CI>
                <PTI/>
                <PTP>False</PTP>
                <PTD><![CDATA[Provides a foundation for scalable scenario analysis.]]></PTD>
                <PTMCN>3</PTMCN>
                <CROL>0</CROL>
                <CCOL>0</CCOL>
                <AMFN>0</AMFN>
              </ModCompProps>
              <Sects>
                <Sect>
                  <SectProps>
                    <LI>1,1</LI>
                    <EGN>0</EGN>
                  </SectProps>
                  <Elmts>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ctive Scenario]]></VOFFF>
                              </ClmnBlkPtProps>
                            </ClmnBlkPt>
                          </ClmnBlkPts>
                        </ClmnBlk>
                        <ClmnBlk>
                          <ClmnBlkProps>
                            <FCPT>3</FCPT>
                            <FCN>9</FCN>
                            <FCOT>0</FCOT>
                            <FCOC>6</FCOC>
                            <FCPTBMCN>3</FCPTBMCN>
                            <FCPTBN>2</FCPTBN>
                            <LCPT>3</LCPT>
                            <LCN>9</LCN>
                            <LCOT>1</LCOT>
                            <LCOC>0</LCOC>
                            <LCPTBMCN>3</LCPTBMCN>
                            <LCPTBN>2</LCPTBN>
                          </ClmnBlkProps>
                          <ClmnBlkPts>
                            <ClmnBlkPt>
                              <ClmnBlkPtProps>
                                <CBPT>5</CBPT>
                                <ST>11</ST>
                                <SON>4</SON>
                                <VOFFF><![CDATA[1]]></VOFFF>
                                <UDAV><![CDATA[1]]></UDAV>
                              </ClmnBlkPtProps>
                              <Vdtn>
                                <VdtnProps>
                                  <CBPLI>1,1,1,2,1</CBPLI>
                                  <ADVT>-1</ADVT>
                                  <VT>1</VT>
                                  <AS>1</AS>
                                  <O>5</O>
                                  <F1FFF><![CDATA[0]]></F1FFF>
                                  <F2FFF/>
                                  <IB>True</IB>
                                  <ICDD>False</ICDD>
                                  <SI>False</SI>
                                  <IT/>
                                  <IM/>
                                  <SE>True</SE>
                                  <ET><![CDATA[Invalid Assumption]]></ET>
                                  <EM><![CDATA[The active scenario must be a whole number greater than zero.]]></EM>
                                  <IMO>0</IMO>
                                </VdtnProps>
                              </Vdtn>
                              <RgeNmes>
                                <RgeNme>
                                  <RgeNmeProps>
                                    <CBPLI>1,1,1,2,1</CBPLI>
                                    <MCN>1</MCN>
                                    <SN>1</SN>
                                    <EN>1</EN>
                                    <CN>0</CN>
                                    <CBN>2</CBN>
                                    <CBPN>1</CBPN>
                                    <PT>1</PT>
                                    <CBPRNT>6</CBPRNT>
                                    <NT>-1</NT>
                                    <SP1><![CDATA[Active_Scenario]]></SP1>
                                    <SP2/>
                                    <FFF/>
                                    <CMT/>
                                  </RgeNmeProps>
                                </RgeNme>
                              </RgeNmes>
                              <LnkInForms>
                                <LnkInForm>
                                  <LnkInFormProps>
                                    <CBPLI>1,1,1,2,1</CBPLI>
                                    <ELN>1</ELN>
                                    <FFF><![CDATA[=§A¿10,FALSE,0,2,0,FALSE§Z¿]]></FFF>
                                  </LnkInFormProps>
                                </LnkInForm>
                              </LnkInForms>
                            </ClmnBlkPt>
                          </ClmnBlkPts>
                        </ClmnBlk>
                      </ClmnBlks>
                      <TtlCtg>
                        <TtlCtgProps>
                          <R>3</R>
                        </TtlCtgProps>
                        <LnkIn>
                          <LnkInProps>
                            <MN>39</MN>
                            <CLI>1,1,1,True,0</CLI>
                            <ELN>1</ELN>
                            <LOOT>2</LOOT>
                            <LOMN>2</LOMN>
                            <LOMCN>1</LOMCN>
                            <LOSN>1</LOSN>
                            <LOEN>9</LOEN>
                            <LOCN>0</LOCN>
                          </LnkInProps>
                        </LnkIn>
                      </TtlCtg>
                      <ElmtLnksIn>
                        <ElmtLnk>
                          <ElmtLnkProps>
                            <ELI>1,1,1</ELI>
                            <ELN>1</ELN>
                            <ELGN>1</ELGN>
                            <MLG>D4DCC3F9-35E2-4238-8D02-A3DB30F01813</MLG>
                            <ICBI>2</ICBI>
                            <ILBN/>
                            <LIBN>0</LIBN>
                          </ElmtLnkProps>
                        </ElmtLnk>
                      </ElmtLnksIn>
                    </Elmt>
                    <Elmt>
                      <ElmtProps>
                        <CPT>2</CPT>
                      </ElmtProps>
                      <ClmnBlks>
                        <ClmnBlk>
                          <ClmnBlkProps>
                            <FCPT>3</FCPT>
                            <FCN>2</FCN>
                            <FCOT>0</FCOT>
                            <FCOC>0</FCOC>
                            <FCPTBMCN>3</FCPTBMCN>
                            <FCPTBN>1</FCPTBN>
                            <LCPT>3</LCPT>
                            <LCN>2</LCN>
                            <LCOT>1</LCOT>
                            <LCOC>0</LCOC>
                            <LCPTBMCN>3</LCPTBMCN>
                            <LCPTBN>1</LCPTBN>
                          </ClmnBlkProps>
                          <ClmnBlkPts>
                            <ClmnBlkPt>
                              <ClmnBlkPtProps>
                                <CBPT>5</CBPT>
                                <ST>6</ST>
                                <VOFFF><![CDATA[=§A¿0,2,0,1,1,1,1,-1,0,0,FALSE,FALSE§Z¿]]></VOFFF>
                              </ClmnBlkPtProps>
                            </ClmnBlkPt>
                          </ClmnBlkPts>
                        </ClmnBlk>
                        <ClmnBlk>
                          <ClmnBlkProps>
                            <FCPT>3</FCPT>
                            <FCN>8</FCN>
                            <FCOT>0</FCOT>
                            <FCOC>5</FCOC>
                            <FCPTBMCN>3</FCPTBMCN>
                            <FCPTBN>2</FCPTBN>
                            <LCPT>3</LCPT>
                            <LCN>8</LCN>
                            <LCOT>0</LCOT>
                            <LCOC>5</LCOC>
                            <LCPTBMCN>3</LCPTBMCN>
                            <LCPTBN>2</LCPTBN>
                          </ClmnBlkProps>
                          <ClmnBlkPts>
                            <ClmnBlkPt>
                              <ClmnBlkPtProps>
                                <CBPT>5</CBPT>
                                <ST>40</ST>
                                <SON>5</SON>
                                <VOFFF><![CDATA[Y*(1+X%)]]></VOFFF>
                              </ClmnBlkPtProps>
                            </ClmnBlkPt>
                          </ClmnBlkPts>
                        </ClmnBlk>
                        <ClmnBlk>
                          <ClmnBlkProps>
                            <FCPT>3</FCPT>
                            <FCN>9</FCN>
                            <FCOT>0</FCOT>
                            <FCOC>6</FCOC>
                            <FCPTBMCN>3</FCPTBMCN>
                            <FCPTBN>2</FCPTBN>
                            <LCPT>3</LCPT>
                            <LCN>9</LCN>
                            <LCOT>1</LCOT>
                            <LCOC>0</LCOC>
                            <LCPTBMCN>3</LCPTBMCN>
                            <LCPTBN>2</LCPTBN>
                          </ClmnBlkProps>
                          <ClmnBlkPts>
                            <ClmnBlkPt>
                              <ClmnBlkPtProps>
                                <CBPT>5</CBPT>
                                <ST>19</ST>
                                <SON>2</SON>
                                <VOFFF><![CDATA[=INDEX(§A¿0,1,1,1,2,4,1,-1,0,0,FALSE,TRUE,1,2,4,1,-1,1,0,FALSE,TRUE§Z¿,0,§A¿1,1,1,1,1,0,2,1,1§Z¿)]]></VOFFF>
                              </ClmnBlkPtProps>
                            </ClmnBlkPt>
                          </ClmnBlkPts>
                        </ClmnBlk>
                        <ClmnBlk>
                          <ClmnBlkProps>
                            <FCPT>3</FCPT>
                            <FCN>10</FCN>
                            <FCOT>0</FCOT>
                            <FCOC>0</FCOC>
                            <FCPTBMCN>3</FCPTBMCN>
                            <FCPTBN>3</FCPTBN>
                            <LCPT>3</LCPT>
                            <LCN>12</LCN>
                            <LCOT>1</LCOT>
                            <LCOC>0</LCOC>
                            <LCPTBMCN>3</LCPTBMCN>
                            <LCPTBN>3</LCPTBN>
                          </ClmnBlkProps>
                          <ClmnBlkPts>
                            <ClmnBlkPt>
                              <ClmnBlkPtProps>
                                <CBPT>5</CBPT>
                                <ST>12</ST>
                                <SON>6</SON>
                                <VOFFF><![CDATA[0]]></VOFFF>
                                <UDAV><![CDATA[0]]></UDAV>
                              </ClmnBlkPtProps>
                              <Vdtn>
                                <VdtnProps>
                                  <CBPLI>1,1,2,4,1</CBPLI>
                                  <ADVT>0</ADVT>
                                  <VT>7</VT>
                                </VdtnProps>
                              </Vdtn>
                              <FmtCnds>
                                <FmtCnd>
                                  <FmtCndProps>
                                    <CBPLI>1,1,2,4,1</CBPLI>
                                    <FCN>1</FCN>
                                    <FCT>2</FCT>
                                    <FCO>1</FCO>
                                    <F1FFF><![CDATA[=§A¿1,1,1,1,1,0,2,1,1§Z¿=§A¿9,3,1,0,1,2,3,1,-1,0,0,TRUE,FALSE§Z¿]]></F1FFF>
                                    <F2FFF/>
                                    <SIT>False</SIT>
                                    <BSV>True</BSV>
                                    <BCT>0</BCT>
                                    <CNBCN>0</CNBCN>
                                    <BTAS>0</BTAS>
                                    <IST>1</IST>
                                    <RO>False</RO>
                                    <SIO>False</SIO>
                                    <TO>0</TO>
                                    <TS/>
                                    <DO>1</DO>
                                    <TB>1</TB>
                                    <R>10</R>
                                    <P>False</P>
                                    <AB>0</AB>
                                    <NSD>1</NSD>
                                    <DU>1</DU>
                                    <INF>False</INF>
                                    <NT>0</NT>
                                    <DP>0</DP>
                                    <CNF/>
                                  </FmtCndProps>
                                  <IntOvly>
                                    <IntOvlyProps>
                                      <PT>2</PT>
                                      <SON>0</SON>
                                      <CBPLI>1,1,2,4,1</CBPLI>
                                      <FCN>1</FCN>
                                      <IC>True</IC>
                                      <CT>3</CT>
                                      <CN>5</CN>
                                      <TAS>0.5999634</TAS>
                                    </IntOvlyProps>
                                  </IntOvly>
                                </FmtCnd>
                              </FmtCnds>
                            </ClmnBlkPt>
                          </ClmnBlkPts>
                        </ClmnBlk>
                      </ClmnBlks>
                      <TtlCtg>
                        <TtlCtgProps>
                          <R>1</R>
                        </TtlCtgProps>
                      </TtlCtg>
                    </Elmt>
                    <Elmt>
                      <ElmtProps>
                        <CPT>2</CPT>
                      </ElmtProps>
                      <TtlCtg>
                        <TtlCtgProps>
                          <R>2</R>
                        </TtlCtgProps>
                      </TtlCtg>
                    </Elmt>
                  </Elmts>
                </Sect>
              </Sects>
            </ModComp>
            <ModComp>
              <ModCompProps>
                <MN>39</MN>
                <MCN>2</MCN>
                <MCTK>BaseCase</MCTK>
                <RT><![CDATA[<ModuleName> - Assumptions]]></RT>
                <ERN>MODMC124</ERN>
                <MCST>1</MCST>
                <IPMC>False</IPMC>
                <SN>12</SN>
                <LODS>False</LODS>
                <LST>False</LST>
                <RSTF>False</RSTF>
                <STRA>0</STRA>
                <HS>False</HS>
                <IBOA>0</IBOA>
                <IB>True</IB>
                <CI><![CDATA[Capital Expenditure Assumption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6</LCN>
                            <LCOT>0</LCOT>
                            <LCOC>3</LCOC>
                            <LCPTBMCN>4</LCPTBMCN>
                            <LCPTBN>2</LCPTBN>
                          </ClmnBlkProps>
                          <ClmnBlkPts>
                            <ClmnBlkPt>
                              <ClmnBlkPtProps>
                                <CBPT>5</CBPT>
                                <ST>8</ST>
                                <MC>True</MC>
                                <VOFFF><![CDATA[<ModuleGenericName>]]></VOFFF>
                                <UDAV><![CDATA[<ModuleGenericName>]]></UDAV>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Amou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2,1,1,3,1</CBPLI>
                                  <ADVT>0</ADVT>
                                  <VT>7</VT>
                                </VdtnProps>
                              </Vdtn>
                            </ClmnBlkPt>
                          </ClmnBlkPts>
                        </ClmnBlk>
                      </ClmnBlks>
                      <TtlCtg>
                        <TtlCtgProps>
                          <R>1</R>
                        </TtlCtgProps>
                      </TtlCtg>
                    </Elmt>
                    <Elmt>
                      <ElmtProps>
                        <CPT>2</CPT>
                      </ElmtProps>
                      <TtlCtg>
                        <TtlCtgProps>
                          <R>2</R>
                        </TtlCtgProps>
                      </TtlCtg>
                    </Elmt>
                  </Elmts>
                </Sect>
              </Sects>
            </ModComp>
            <ModComp>
              <ModCompProps>
                <MN>39</MN>
                <MCN>3</MCN>
                <MCTK>BaseCase</MCTK>
                <RT><![CDATA[<ModuleName> - Outputs]]></RT>
                <ERN>MODMC125</ERN>
                <MCST>1</MCST>
                <IPMC>False</IPMC>
                <SN>12</SN>
                <LODS>False</LODS>
                <LST>False</LST>
                <RSTF>False</RSTF>
                <STRA>0</STRA>
                <HS>False</HS>
                <IBOA>0</IBOA>
                <IB>True</IB>
                <CI><![CDATA[Capital Expenditure Outputs]]></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43</ST>
                                <SON>3</SON>
                                <VOFFF><![CDATA[=§A¿0,1,0,1,2,3,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2,0,1,1,3,1,-1,0,0,FALSE,FALSE§Z¿*(1+§A¿0,3,0,1,1,2,1,-1,0,0,FALSE,TRUE§Z¿)]]></VOFFF>
                              </ClmnBlkPtProps>
                            </ClmnBlkPt>
                          </ClmnBlkPts>
                        </ClmnBlk>
                      </ClmnBlks>
                      <TtlCtg>
                        <TtlCtgProps>
                          <R>1</R>
                        </TtlCtgProps>
                      </TtlCtg>
                      <ElmtLnksOut>
                        <ElmtLnk>
                          <ElmtLnkProps>
                            <ELI>3,1,1</ELI>
                            <ELN>1</ELN>
                            <ELGN>1</ELGN>
                            <MLG>FE788156-8444-4B69-A832-BDAD79E10A8D</MLG>
                            <ICBI>1,3</ICBI>
                            <ILBN>1,2</ILBN>
                            <LIBN>0</LIBN>
                          </ElmtLnkProps>
                        </ElmtLnk>
                      </ElmtLnksOut>
                    </Elmt>
                  </Elmts>
                </Sect>
              </Sects>
            </ModComp>
          </ModComps>
        </Mod>
        <Mod>
          <ModProps>
            <MVS>14.0.5.0</MVS>
            <RAV/>
            <RXV>0</RXV>
            <FV>3</FV>
            <MT>0</MT>
            <SCT>-1</SCT>
            <P><![CDATA[Assets]]></P>
            <OI>100</OI>
            <MN>0</MN>
            <MAG>67F2F4B9-E31F-4D93-B5C4-EC19B7A8BB60</MAG>
            <BN><![CDATA[Fixed Assets]]></BN>
            <N><![CDATA[Fixed Assets]]></N>
            <TS><![CDATA[Monthly]]></TS>
            <D><![CDATA[Calculates fixed assets balances for a number of fixed assets categories over a number of time series periods, allowing for capital expenditure and book depreciation.]]></D>
            <FS><![CDATA[Calculates the straight-line book depreciation for each fixed assets category based on capital expenditure amounts and straight-line depreciation term assumptions.&#13;&#10;Assumes middle of period capital expenditure timing.]]></FS>
            <R><![CDATA[Any]]></R>
            <GE><![CDATA[Fixed Assets]]></GE>
            <CA><![CDATA[Straight-Line]]></CA>
            <VA><![CDATA[Single Component]]></VA>
            <GST><![CDATA[None]]></GST>
            <DE><![CDATA[Modano]]></DE>
            <E><![CDATA[info@modano.com]]></E>
            <C><![CDATA[Modano]]></C>
            <W><![CDATA[www.modano.com]]></W>
            <K/>
            <CO/>
            <V>10.10.2.0.</V>
            <AX>2</AX>
            <SX/>
            <PMLO>False</PMLO>
            <IPMLO>False</IPMLO>
            <MACA>0</MACA>
            <HP>False</HP>
            <DR>False</DR>
            <RTSM>True</RTSM>
            <CC>True</CC>
            <X>False</X>
            <G>A8659E33-A75E-43CD-ACCC-A9BE12506611</G>
          </ModProps>
          <RowStgs>
            <RowStg>
              <RowStgProps>
                <RSN>1</RSN>
                <RHST>0</RHST>
                <HS>0</HS>
                <OL>3</OL>
                <RH>False</RH>
              </RowStgProps>
            </RowStg>
            <RowStg>
              <RowStgProps>
                <RSN>2</RSN>
                <RHST>1</RHST>
                <HS>50</HS>
                <OL>3</OL>
                <RH>False</RH>
              </RowStgProps>
            </RowStg>
            <RowStg>
              <RowStgProps>
                <RSN>3</RSN>
                <RHST>0</RHST>
                <HS>0</HS>
                <OL>2</OL>
                <RH>False</RH>
              </RowStgProps>
            </RowStg>
            <RowStg>
              <RowStgProps>
                <RSN>4</RSN>
                <RHST>0</RHST>
                <HS>0</HS>
                <OL>3</OL>
                <RH>True</RH>
              </RowStgProps>
            </RowStg>
          </RowStgs>
          <StlOvlys>
            <StlOvly>
              <StlOvlyProps>
                <SON>1</SON>
              </StlOvlyProps>
              <FntOvly>
                <FntOvlyProps>
                  <PT>1</PT>
                  <SON>1</SON>
                  <CBPLI>0,0,0,0,0</CBPLI>
                  <FCN>0</FCN>
                  <CN>0</CN>
                  <IB>True</IB>
                  <B>True</B>
                </FntOvlyProps>
              </FntOvly>
            </StlOvly>
            <StlOvly>
              <StlOvlyProps>
                <SON>2</SON>
              </StlOvlyProps>
              <BdrOvlys>
                <BdrOvly>
                  <BdrOvlyProps>
                    <PT>1</PT>
                    <SON>2</SON>
                    <CBPLI/>
                    <FCN>0</FCN>
                    <I>True</I>
                    <BI>9</BI>
                    <LS>1</LS>
                    <W>2</W>
                  </BdrOvlyProps>
                </BdrOvly>
              </BdrOvlys>
            </StlOvly>
            <StlOvly>
              <StlOvlyProps>
                <SON>3</SON>
              </StlOvlyProps>
              <BdrOvlys>
                <BdrOvly>
                  <BdrOvlyProps>
                    <PT>1</PT>
                    <SON>3</SON>
                    <CBPLI/>
                    <FCN>0</FCN>
                    <I>True</I>
                    <BI>9</BI>
                    <LS>-4115</LS>
                    <W>2</W>
                  </BdrOvlyProps>
                </BdrOvly>
              </BdrOvlys>
            </StlOvly>
            <StlOvly>
              <StlOvlyProps>
                <SON>4</SON>
                <INF>True</INF>
                <NT>0</NT>
                <DP>0</DP>
                <CNF/>
              </StlOvlyProps>
            </StlOvly>
            <StlOvly>
              <StlOvlyProps>
                <SON>5</SON>
                <INF>True</INF>
                <NT>0</NT>
                <DP>0</DP>
                <CNF/>
              </StlOvlyProps>
              <BdrOvlys>
                <BdrOvly>
                  <BdrOvlyProps>
                    <PT>1</PT>
                    <SON>5</SON>
                    <CBPLI/>
                    <FCN>0</FCN>
                    <I>True</I>
                    <BI>9</BI>
                    <LS>-4115</LS>
                    <W>2</W>
                  </BdrOvlyProps>
                </BdrOvly>
              </BdrOvlys>
            </StlOvly>
            <StlOvly>
              <StlOvlyProps>
                <SON>6</SON>
                <INF>True</INF>
                <NT>0</NT>
                <DP>0</DP>
                <CNF><![CDATA[_(#,##0.0_);(#,##0.0);_-"-"_-]]></CNF>
              </StlOvlyProps>
            </StlOvly>
            <StlOvly>
              <StlOvlyProps>
                <SON>7</SON>
                <INF>True</INF>
                <NT>0</NT>
                <DP>0</DP>
                <CNF><![CDATA[_(#,##0.0_);(#,##0.0);_-"-"_-]]></CNF>
              </StlOvlyProps>
              <FntOvly>
                <FntOvlyProps>
                  <PT>1</PT>
                  <SON>7</SON>
                  <CBPLI>0,0,0,0,0</CBPLI>
                  <FCN>0</FCN>
                  <CN>0</CN>
                  <IB>True</IB>
                  <B>True</B>
                </FntOvlyProps>
              </FntOvly>
              <BdrOvlys>
                <BdrOvly>
                  <BdrOvlyProps>
                    <PT>1</PT>
                    <SON>7</SON>
                    <CBPLI/>
                    <FCN>0</FCN>
                    <I>True</I>
                    <BI>10</BI>
                    <LS>1</LS>
                    <W>2</W>
                  </BdrOvlyProps>
                </BdrOvly>
              </BdrOvlys>
            </StlOvly>
            <StlOvly>
              <StlOvlyProps>
                <SON>8</SON>
              </StlOvlyProps>
              <FntOvly>
                <FntOvlyProps>
                  <PT>1</PT>
                  <SON>8</SON>
                  <CBPLI>0,0,0,0,0</CBPLI>
                  <FCN>0</FCN>
                  <CN>0</CN>
                  <IC>True</IC>
                  <CT>-2</CT>
                  <CNU>0</CNU>
                  <CPR>0</CPR>
                  <TAS>0</TAS>
                </FntOvlyProps>
              </FntOvly>
            </StlOvly>
            <StlOvly>
              <StlOvlyProps>
                <SON>9</SON>
                <IHA>True</IHA>
                <HA>-4108</HA>
              </StlOvlyProps>
            </StlOvly>
            <StlOvly>
              <StlOvlyProps>
                <SON>10</SON>
              </StlOvlyProps>
              <FntOvly>
                <FntOvlyProps>
                  <PT>1</PT>
                  <SON>10</SON>
                  <CBPLI>0,0,0,0,0</CBPLI>
                  <FCN>0</FCN>
                  <CN>0</CN>
                  <IB>True</IB>
                  <B>True</B>
                </FntOvlyProps>
              </FntOvly>
              <BdrOvlys>
                <BdrOvly>
                  <BdrOvlyProps>
                    <PT>1</PT>
                    <SON>10</SON>
                    <CBPLI/>
                    <FCN>0</FCN>
                    <I>True</I>
                    <BI>8</BI>
                    <LS>1</LS>
                    <W>2</W>
                  </BdrOvlyProps>
                </BdrOvly>
              </BdrOvlys>
            </StlOvly>
            <StlOvly>
              <StlOvlyProps>
                <SON>11</SON>
              </StlOvlyProps>
              <BdrOvlys>
                <BdrOvly>
                  <BdrOvlyProps>
                    <PT>1</PT>
                    <SON>11</SON>
                    <CBPLI/>
                    <FCN>0</FCN>
                    <I>True</I>
                    <BI>8</BI>
                    <LS>-4115</LS>
                    <W>2</W>
                  </BdrOvlyProps>
                </BdrOvly>
              </BdrOvlys>
            </StlOvly>
          </StlOvlys>
          <ElmtsGrps>
            <ElmtsGrp>
              <ElmtsGrpProps>
                <NU>1</NU>
                <NA><![CDATA[Fixed Assets]]></NA>
                <EGT>0</EGT>
                <DCC>3</DCC>
                <AST>False</AST>
                <ISTH>True</ISTH>
                <PTMCN>0</PTMCN>
                <PTBN>0</PTBN>
                <PTBI>0</PTBI>
                <GLN/>
                <CLOT>0</CLOT>
                <CLIT>0</CLIT>
                <PMLO>0</PMLO>
                <IPMLO>0</IPMLO>
              </ElmtsGrpProps>
            </ElmtsGrp>
            <ElmtsGrp>
              <ElmtsGrpProps>
                <NU>2</NU>
                <NA><![CDATA[Capital Expenditure]]></NA>
                <EGT>0</EGT>
                <DCC>6</DCC>
                <AST>False</AST>
                <ISTH>True</ISTH>
                <PTMCN>0</PTMCN>
                <PTBN>0</PTBN>
                <PTBI>0</PTBI>
                <GLN/>
                <CLOT>0</CLOT>
                <CLIT>0</CLIT>
                <PMLO>0</PMLO>
                <IPMLO>0</IPMLO>
              </ElmtsGrpProps>
            </ElmtsGrp>
          </ElmtsGrps>
          <ModComps>
            <ModComp>
              <ModCompProps>
                <MN>40</MN>
                <MCN>1</MCN>
                <MCTK>BaseCase</MCTK>
                <RT><![CDATA[<ModuleName>]]></RT>
                <ERN>MODMC58</ERN>
                <MCST>1</MCST>
                <IPMC>False</IPMC>
                <SN>12</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14</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Capital Expenditure Alloc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pital Expenditure]]></VOFFF>
                              </ClmnBlkPtProps>
                            </ClmnBlkPt>
                          </ClmnBlkPts>
                        </ClmnBlk>
                        <ClmnBlk>
                          <ClmnBlkProps>
                            <FCPT>3</FCPT>
                            <FCN>8</FCN>
                            <FCOT>0</FCOT>
                            <FCOC>5</FCOC>
                            <FCPTBMCN>4</FCPTBMCN>
                            <FCPTBN>2</FCPTBN>
                            <LCPT>3</LCPT>
                            <LCN>8</LCN>
                            <LCOT>0</LCOT>
                            <LCOC>5</LCOC>
                            <LCPTBMCN>4</LCPTBMCN>
                            <LCPTBN>2</LCPTBN>
                          </ClmnBlkProps>
                          <ClmnBlkPts>
                            <ClmnBlkPt>
                              <ClmnBlkPtProps>
                                <CBPT>5</CBPT>
                                <ST>5</ST>
                                <VOFFF><![CDATA[Allocation]]></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Amounts]]></VOFFF>
                              </ClmnBlkPtProps>
                            </ClmnBlkPt>
                          </ClmnBlkPts>
                        </ClmnBlk>
                      </ClmnBlks>
                      <TtlCtg>
                        <TtlCtgProps>
                          <R>3</R>
                        </TtlCtgProps>
                      </TtlCtg>
                    </Elmt>
                    <Elmt>
                      <ElmtProps>
                        <CPT>0</CPT>
                        <TOT>False</TOT>
                        <EGN>2</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UDAV><![CDATA[<CategoriesGroupName> Category <CategoryNumber>]]></UDAV>
                              </ClmnBlkPtProps>
                              <LnkInForms>
                                <LnkInForm>
                                  <LnkInFormProps>
                                    <CBPLI>1,1,7,1,1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5</ST>
                                <MC>True</MC>
                                <VOFFF><![CDATA[Total Capital Expenditure]]></VOFFF>
                              </ClmnBlkPtProps>
                            </ClmnBlkPt>
                          </ClmnBlkPts>
                        </ClmnBlk>
                        <ClmnBlk>
                          <ClmnBlkProps>
                            <FCPT>3</FCPT>
                            <FCN>8</FCN>
                            <FCOT>0</FCOT>
                            <FCOC>5</FCOC>
                            <FCPTBMCN>4</FCPTBMCN>
                            <FCPTBN>2</FCPTBN>
                            <LCPT>3</LCPT>
                            <LCN>8</LCN>
                            <LCOT>0</LCOT>
                            <LCOC>5</LCOC>
                            <LCPTBMCN>4</LCPTBMCN>
                            <LCPTBN>2</LCPTBN>
                          </ClmnBlkProps>
                          <ClmnBlkPts>
                            <ClmnBlkPt>
                              <ClmnBlkPtProps>
                                <CBPT>0</CBPT>
                                <ST>15</ST>
                                <SON>8</SON>
                                <VOFFF><![CDATA[1]]></VOFFF>
                                <UDAV><![CDATA[1]]></UDAV>
                              </ClmnBlkPtProps>
                              <Vdtn>
                                <VdtnProps>
                                  <CBPLI>1,1,7,2,1</CBPLI>
                                  <ADVT>-1</ADVT>
                                  <VT>1</VT>
                                  <AS>1</AS>
                                  <O>1</O>
                                  <F1FFF><![CDATA[1]]></F1FFF>
                                  <F2FFF><![CDATA[=ROWS(§A¿1,1,2,1,6,0,1,1,1§Z¿)]]></F2FFF>
                                  <IB>False</IB>
                                  <ICDD>False</ICDD>
                                  <SI>False</SI>
                                  <IT/>
                                  <IM/>
                                  <SE>True</SE>
                                  <ET><![CDATA[Drop Down Box Cell Link]]></ET>
                                  <EM><![CDATA[The value in a drop down box cell link must be a whole number within the control's lookup range rows.]]></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UDAV><![CDATA[0]]></UDAV>
                              </ClmnBlkPtProps>
                              <LnkInForms>
                                <LnkInForm>
                                  <LnkInFormProps>
                                    <CBPLI>1,1,7,3,1</CBPLI>
                                    <ELN>1</ELN>
                                    <FFF><![CDATA[=§A¿10,FALSE,0,2,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10</SON>
                                <VOFFF><![CDATA[=§A¿3§Z¿]]></VOFFF>
                              </ClmnBlkPtProps>
                            </ClmnBlkPt>
                          </ClmnBlkPts>
                        </ClmnBlk>
                      </ClmnBlks>
                      <SubTtls>
                        <SubTtl>
                          <Ctgs>
                            <Ctg>
                              <CtgProps>
                                <R>3</R>
                              </CtgProps>
                              <ShpNmes>
                                <ShpNme>
                                  <ShpNmeProps>
                                    <ELI>1,1,7</ELI>
                                    <COSTN>1</COSTN>
                                    <ST>1</ST>
                                    <SNPT>5</SNPT>
                                    <N><![CDATA[bpmDropDownAssets1]]></N>
                                    <SHN>1</SHN>
                                    <SHTN>1</SHTN>
                                  </ShpNmeProps>
                                </ShpNme>
                              </ShpNmes>
                              <LnkIn>
                                <LnkInProps>
                                  <MN>40</MN>
                                  <CLI>1,1,7,False,1</CLI>
                                  <ELN>1</ELN>
                                  <LOOT>0</LOOT>
                                  <LOMN>37</LOMN>
                                  <LOMCN>4</LOMCN>
                                  <LOSN>1</LOSN>
                                  <LOEN>4</LOEN>
                                  <LOCN>1</LOCN>
                                </LnkInProps>
                              </LnkIn>
                            </Ctg>
                            <Ctg>
                              <CtgProps>
                                <R>3</R>
                              </CtgProps>
                              <ShpNmes>
                                <ShpNme>
                                  <ShpNmeProps>
                                    <ELI>1,1,7</ELI>
                                    <COSTN>2</COSTN>
                                    <ST>1</ST>
                                    <SNPT>5</SNPT>
                                    <N><![CDATA[bpmDropDownAssets2]]></N>
                                    <SHN>1</SHN>
                                    <SHTN>1</SHTN>
                                  </ShpNmeProps>
                                </ShpNme>
                              </ShpNmes>
                              <LnkIn>
                                <LnkInProps>
                                  <MN>40</MN>
                                  <CLI>1,1,7,False,2</CLI>
                                  <ELN>1</ELN>
                                  <LOOT>0</LOOT>
                                  <LOMN>37</LOMN>
                                  <LOMCN>4</LOMCN>
                                  <LOSN>1</LOSN>
                                  <LOEN>4</LOEN>
                                  <LOCN>2</LOCN>
                                </LnkInProps>
                              </LnkIn>
                            </Ctg>
                          </Ctgs>
                        </SubTtl>
                      </SubTtls>
                      <TtlCtg>
                        <TtlCtgProps>
                          <R>3</R>
                        </TtlCtgProps>
                      </TtlCtg>
                      <ElmtLnksIn>
                        <ElmtLnk>
                          <ElmtLnkProps>
                            <ELI>1,1,7</ELI>
                            <ELN>1</ELN>
                            <ELGN>1</ELGN>
                            <MLG>50577B93-13A0-4BA1-A3D3-EB77A5A336DE</MLG>
                            <ICBI>1,3</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chedule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s>
                </Sect>
                <Sect>
                  <SectProps>
                    <LI>1,2</LI>
                    <EGN>1</EGN>
                  </SectProps>
                  <Elmts>
                    <Elmt>
                      <ElmtProps>
                        <CPT>1</CPT>
                        <TOT>False</TOT>
                        <EGN>1</EGN>
                      </ElmtProps>
                      <SubTtls>
                        <SubTtl>
                          <SubTtlHdgRow>
                            <SubTtlHdgRowProps>
                              <STLI>1,2,1,1</STLI>
                              <R>0</R>
                            </SubTtlHdgRowProps>
                          </SubTtlHdgRow>
                          <CatSpan>
                            <CatSpanProps>
                              <CC>2</CC>
                              <R>3</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ModuleName> Category <CategoryNumber>]]></VOFFF>
                                <UDAV><![CDATA[Category <CategoryNumber> Name]]></UDAV>
                              </ClmnBlkPtProps>
                              <LnkInForms>
                                <LnkInForm>
                                  <LnkInFormProps>
                                    <CBPLI>1,2,2,1,1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6</ST>
                                <SON>9</SON>
                                <VOFFF><![CDATA[Term (Yr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1,2,2,1</STLI>
                              <R>0</R>
                            </SubTtlHdgRowProps>
                          </SubTtlHdgRow>
                          <CatSpan>
                            <CatSpanProps>
                              <CC>2</CC>
                              <R>3</R>
                            </CatSpanProps>
                            <LnkIn>
                              <LnkInProps>
                                <MN>40</MN>
                                <CLI>1,2,2,False,1</CLI>
                                <ELN>1</ELN>
                                <LOOT>0</LOOT>
                                <LOMN>3</LOMN>
                                <LOMCN>1</LOMCN>
                                <LOSN>1</LOSN>
                                <LOEN>14</LOEN>
                                <LOCN>1</LOCN>
                              </LnkInProps>
                            </LnkIn>
                          </CatSpan>
                        </SubTtl>
                      </SubTtls>
                      <TtlCtg/>
                      <ElmtLnksIn>
                        <ElmtLnk>
                          <ElmtLnkProps>
                            <ELI>1,2,2</ELI>
                            <ELN>1</ELN>
                            <ELGN>2</ELGN>
                            <MLG>904ABC12-7734-434D-9EA5-8EBDF1C665B5</MLG>
                            <ICBI>1</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Opening Net Book Valu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11</ST>
                                <SON>9</SON>
                                <VOFFF><![CDATA[0]]></VOFFF>
                                <UDAV><![CDATA[0]]></UDAV>
                              </ClmnBlkPtProps>
                              <Vdtn>
                                <VdtnProps>
                                  <CBPLI>1,2,3,2,1</CBPLI>
                                  <ADVT>-1</ADVT>
                                  <VT>2</VT>
                                  <AS>1</AS>
                                  <O>7</O>
                                  <F1FFF><![CDATA[0]]></F1FFF>
                                  <F2FFF/>
                                  <IB>True</IB>
                                  <ICDD>False</ICDD>
                                  <SI>False</SI>
                                  <IT/>
                                  <IM/>
                                  <SE>True</SE>
                                  <ET><![CDATA[Invalid Assumption]]></ET>
                                  <EM><![CDATA[Assumption must be a value greater than or equal to zero.]]></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IF(§A¿9,4,1,0,1,6,3,1,-1,0,0,TRUE,FALSE§Z¿=1,0,§A¿0,1,0,2,9,2,1,0,0,0,FALSE,FALSE§Z¿)]]></VOFFF>
                              </ClmnBlkPtProps>
                              <LnkInForms>
                                <LnkInForm>
                                  <LnkInFormProps>
                                    <CBPLI>1,2,3,3,1</CBPLI>
                                    <ELN>1</ELN>
                                    <FFF><![CDATA[=IF(§A¿9,4,1,0,1,6,3,1,-1,0,0,TRUE,FALSE§Z¿=1,§A¿10,FALSE,0,2,0,FALSE§Z¿,§A¿0,1,0,2,9,2,1,0,0,0,FALSE,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1,2,3,1</STLI>
                              <R>0</R>
                            </SubTtlHdgRowProps>
                          </SubTtlHdgRow>
                          <CatSpan>
                            <CatSpanProps>
                              <CC>2</CC>
                              <R>3</R>
                            </CatSpanProps>
                            <LnkIn>
                              <LnkInProps>
                                <MN>40</MN>
                                <CLI>1,2,3,False,1</CLI>
                                <ELN>1</ELN>
                                <LOOT>0</LOOT>
                                <LOMN>3</LOMN>
                                <LOMCN>1</LOMCN>
                                <LOSN>1</LOSN>
                                <LOEN>14</LOEN>
                                <LOCN>1</LOCN>
                              </LnkInProps>
                            </LnkIn>
                          </CatSpan>
                        </SubTtl>
                      </SubTtls>
                      <TtlCtg/>
                      <ElmtLnksIn>
                        <ElmtLnk>
                          <ElmtLnkProps>
                            <ELI>1,2,3</ELI>
                            <ELN>1</ELN>
                            <ELGN>2</ELGN>
                            <MLG>904ABC12-7734-434D-9EA5-8EBDF1C665B5</MLG>
                            <ICBI>3</ICBI>
                            <ILBN/>
                            <LIBN>0</LIBN>
                          </ElmtLnkProps>
                        </ElmtLnk>
                      </ElmtLnksIn>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pital Expenditur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11</ST>
                                <SON>9</SON>
                                <VOFFF><![CDATA[0]]></VOFFF>
                                <UDAV><![CDATA[0]]></UDAV>
                              </ClmnBlkPtProps>
                              <Vdtn>
                                <VdtnProps>
                                  <CBPLI>1,2,4,2,1</CBPLI>
                                  <ADVT>-1</ADVT>
                                  <VT>2</VT>
                                  <AS>1</AS>
                                  <O>7</O>
                                  <F1FFF><![CDATA[0]]></F1FFF>
                                  <F2FFF/>
                                  <IB>True</IB>
                                  <ICDD>False</ICDD>
                                  <SI>False</SI>
                                  <IT/>
                                  <IM/>
                                  <SE>True</SE>
                                  <ET><![CDATA[Invalid Assumption]]></ET>
                                  <EM><![CDATA[Assumption must be a value greater than or equal to zero.]]></EM>
                                  <IMO>0</IMO>
                                </VdtnProps>
                              </Vdtn>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SUMIF(§A¿0,1,1,1,7,2,1,1,0,0,TRUE,TRUE,1,7,2,1,2,0,0,TRUE,TRUE§Z¿,ROWS(§A¿0,2,1,1,6,1,1,1,0,0,TRUE,TRUE,1,6,1,1,0,0,0,FALSE,TRUE§Z¿),§A¿0,1,1,1,7,3,1,1,0,0,TRUE,FALSE,1,7,3,1,2,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1,2,4,1</STLI>
                              <R>0</R>
                            </SubTtlHdgRowProps>
                          </SubTtlHdgRow>
                          <CatSpan>
                            <CatSpanProps>
                              <CC>2</CC>
                              <R>3</R>
                            </CatSpanProps>
                          </CatSpan>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Opening Assets - Depreciation Profil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19</ST>
                                <SON>11</SON>
                                <VOFFF><![CDATA[=IF(§A¿0,1,0,2,3,2,1,0,0,0,FALSE,TRUE§Z¿=0,0,MIN(1-SUM(§A¿0,1,1,2,5,2,1,0,0,0,FALSE,TRUE,2,5,2,1,0,0,0,FALSE,FALSE§Z¿),1/§A¿0,1,0,2,3,2,1,0,0,0,FALSE,TRUE§Z¿/§A¿7,2,2,1,14,7,1,1,1§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1,2,5,1</STLI>
                              <R>0</R>
                            </SubTtlHdgRowProps>
                          </SubTtlHdgRow>
                          <CatSpan>
                            <CatSpanProps>
                              <CC>2</CC>
                              <R>4</R>
                            </CatSpanProps>
                          </CatSpan>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Capital Expenditure - Depreciation Profil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19</ST>
                                <SON>11</SON>
                                <VOFFF><![CDATA[=IF(§A¿0,1,0,2,4,2,1,0,0,0,FALSE,TRUE§Z¿=0,0,MIN(1-SUM(§A¿0,1,1,2,6,2,1,0,0,0,FALSE,TRUE,2,6,2,1,0,0,0,FALSE,FALSE§Z¿),1/§A¿0,1,0,2,4,2,1,0,0,0,FALSE,TRUE§Z¿/§A¿7,2,2,1,14,7,1,1,1§Z¿*IF(§A¿9,4,1,0,1,6,3,1,-1,0,0,TRUE,FALSE§Z¿=1,0.5,1)))]]></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1,2,6,1</STLI>
                              <R>0</R>
                            </SubTtlHdgRowProps>
                          </SubTtlHdgRow>
                          <CatSpan>
                            <CatSpanProps>
                              <CC>2</CC>
                              <R>4</R>
                            </CatSpanProps>
                          </CatSpan>
                        </SubTtl>
                      </SubTtls>
                      <TtlCtg/>
                    </Elmt>
                    <Elmt>
                      <ElmtProps>
                        <CPT>1</CPT>
                        <TOT>False</TOT>
                        <EGN>1</EGN>
                      </ElmtProps>
                      <ClmnBlks>
                        <ClmnBlk>
                          <ClmnBlkProps>
                            <FCPT>3</FCPT>
                            <FCN>3</FCN>
                            <FCOT>0</FCOT>
                            <FCOC>0</FCOC>
                            <FCPTBMCN>4</FCPTBMCN>
                            <FCPTBN>2</FCPTBN>
                            <LCPT>3</LCPT>
                            <LCN>3</LCN>
                            <LCOT>0</LCOT>
                            <LCOC>0</LCOC>
                            <LCPTBMCN>4</LCPTBMCN>
                            <LCPTBN>2</LCPTBN>
                          </ClmnBlkProps>
                          <ClmnBlkPts>
                            <ClmnBlkPt>
                              <ClmnBlkPtProps>
                                <CBPT>0</CBPT>
                                <ST>6</ST>
                                <VOFFF><![CDATA[Capital Expenditure - Depreciation Profile (Reverse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19</ST>
                                <SON>3</SON>
                                <VOFFF><![CDATA[=OFFSET(§A¿0,1,0,2,6,3,1,0,1,0,FALSE,TRUE§Z¿,0,1-§A¿9,4,1,0,1,6,3,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1,2,7,1</STLI>
                              <R>0</R>
                            </SubTtlHdgRowProps>
                          </SubTtlHdgRow>
                          <CatSpan>
                            <CatSpanProps>
                              <CC>2</CC>
                              <R>4</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6</ST>
                                <VOFFF><![CDATA[Book Depreciation]]></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3,3,1,0,0,0,FALSE,TRUE§Z¿*§A¿0,1,0,2,5,3,1,0,0,0,FALSE,FALSE§Z¿-SUMPRODUCT(§A¿0,1,1,2,4,3,1,0,0,0,FALSE,FALSE,2,4,3,1,0,0,0,FALSE,TRUE§Z¿,OFFSET(§A¿0,1,0,2,7,2,1,0,1,0,FALSE,TRUE§Z¿,0,1-§A¿9,4,1,0,1,6,3,1,-1,0,0,TRUE,FALSE§Z¿,1,§A¿9,4,1,0,1,6,3,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1,2,8,1</STLI>
                              <R>0</R>
                            </SubTtlHdgRowProps>
                          </SubTtlHdgRow>
                          <CatSpan>
                            <CatSpanProps>
                              <CC>2</CC>
                              <R>3</R>
                            </CatSpanProps>
                          </CatSpan>
                        </SubTtl>
                      </SubTtls>
                      <TtlCtg/>
                    </Elmt>
                    <Elmt>
                      <ElmtProps>
                        <CPT>1</CPT>
                        <TOT>False</TOT>
                        <EGN>1</EGN>
                      </ElmtProps>
                      <ClmnBlks>
                        <ClmnBlk>
                          <ClmnBlkProps>
                            <FCPT>3</FCPT>
                            <FCN>2</FCN>
                            <FCOT>0</FCOT>
                            <FCOC>0</FCOC>
                            <FCPTBMCN>4</FCPTBMCN>
                            <FCPTBN>1</FCPTBN>
                            <LCPT>3</LCPT>
                            <LCN>2</LCN>
                            <LCOT>1</LCOT>
                            <LCOC>0</LCOC>
                            <LCPTBMCN>4</LCPTBMCN>
                            <LCPTBN>1</LCPTBN>
                          </ClmnBlkProps>
                          <ClmnBlkPts>
                            <ClmnBlkPt>
                              <ClmnBlkPtProps>
                                <CBPT>0</CBPT>
                                <ST>5</ST>
                                <VOFFF><![CDATA[Closing Net Book Valu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1</SON>
                                <VOFFF><![CDATA[=SUM(§A¿0,1,1,2,3,3,1,0,0,0,FALSE,FALSE,2,4,3,1,0,0,0,FALSE,FALSE§Z¿,§A¿0,1,0,2,8,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SubTtlHdgRow>
                            <SubTtlHdgRowProps>
                              <STLI>1,2,9,1</STLI>
                              <R>0</R>
                            </SubTtlHdgRowProps>
                          </SubTtlHdgRow>
                          <CatSpan>
                            <CatSpanProps>
                              <CC>2</CC>
                              <R>3</R>
                            </CatSpanProps>
                          </CatSpan>
                        </SubTtl>
                      </SubTtls>
                      <TtlCtg/>
                    </Elmt>
                  </Elmts>
                </Sect>
                <Sect>
                  <SectProps>
                    <LI>1,3</LI>
                    <EGN>0</EGN>
                  </SectProps>
                  <Elmts>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4,1,3,0,0,0,FALSE,FALSE§Z¿]]></VOFFF>
                                <UDAV><![CDATA[<CategoriesGroupName> Sub-Total <SubTotalNumber>]]></UDAV>
                              </ClmnBlkPtProps>
                            </ClmnBlkPt>
                            <ClmnBlkPt>
                              <ClmnBlkPtProps>
                                <CBPT>2</CBPT>
                                <ST>7</ST>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6</ST>
                                <VOFFF><![CDATA[Opening Net Book Valu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A¿0,1,0,2,3,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1,3,4,1</STLI>
                              <R>0</R>
                            </SubTtlHdgRowProps>
                          </SubTtlHdgRow>
                          <CatSpan>
                            <CatSpanProps>
                              <CC>2</CC>
                              <R>4</R>
                            </CatSpanProps>
                          </CatSpan>
                        </SubTtl>
                      </SubTtls>
                      <TtlCtg>
                        <TtlCtgProps>
                          <R>3</R>
                        </TtlCtgProps>
                      </TtlCtg>
                      <ElmtLnksOut>
                        <ElmtLnk>
                          <ElmtLnkProps>
                            <ELI>1,3,4</ELI>
                            <ELN>1</ELN>
                            <ELGN>1</ELGN>
                            <MLG>0976962C-BD2C-4955-A0AB-7CB560950C62</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6,1,3,0,0,0,FALSE,FALSE§Z¿]]></VOFFF>
                                <UDAV><![CDATA[<CategoriesGroupName> Sub-Total <SubTotalNumber>]]></UDAV>
                              </ClmnBlkPtProps>
                            </ClmnBlkPt>
                            <ClmnBlkPt>
                              <ClmnBlkPtProps>
                                <CBPT>2</CBPT>
                                <ST>5</ST>
                                <VOFFF><![CDATA[=§A¿0,1,0,3,4,1,3,0,0,0,FALSE,FALSE§Z¿]]></VOFFF>
                                <UDAV><![CDATA[Sub-Total <SubTotalNumber>]]></UDAV>
                              </ClmnBlkPtProps>
                            </ClmnBlkPt>
                            <ClmnBlkPt>
                              <ClmnBlkPtProps>
                                <CBPT>3</CBPT>
                                <ST>-1</ST>
                                <VOFFF/>
                              </ClmnBlkPtProps>
                            </ClmnBlkPt>
                            <ClmnBlkPt>
                              <ClmnBlkPtProps>
                                <CBPT>4</CBPT>
                                <ST>-1</ST>
                                <VOFFF/>
                              </ClmnBlkPtProps>
                            </ClmnBlkPt>
                            <ClmnBlkPt>
                              <ClmnBlkPtProps>
                                <CBPT>5</CBPT>
                                <ST>6</ST>
                                <VOFFF><![CDATA[Capital Expenditur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A¿0,1,0,2,4,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1,3,6,1</STLI>
                              <R>0</R>
                            </SubTtlHdgRowProps>
                          </SubTtlHdgRow>
                          <CatSpan>
                            <CatSpanProps>
                              <CC>2</CC>
                              <R>4</R>
                            </CatSpanProps>
                          </CatSpan>
                        </SubTtl>
                      </SubTtls>
                      <TtlCtg>
                        <TtlCtgProps>
                          <R>3</R>
                        </TtlCtgProps>
                      </TtlCtg>
                      <ElmtLnksOut>
                        <ElmtLnk>
                          <ElmtLnkProps>
                            <ELI>1,3,6</ELI>
                            <ELN>1</ELN>
                            <ELGN>1</ELGN>
                            <MLG>5F2DF3CF-CC5E-4FA8-9D2A-79458EFCD4E0</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8,1,3,0,0,0,FALSE,FALSE§Z¿]]></VOFFF>
                                <UDAV><![CDATA[<CategoriesGroupName> Sub-Total <SubTotalNumber>]]></UDAV>
                              </ClmnBlkPtProps>
                            </ClmnBlkPt>
                            <ClmnBlkPt>
                              <ClmnBlkPtProps>
                                <CBPT>2</CBPT>
                                <ST>5</ST>
                                <VOFFF><![CDATA[=§A¿0,1,0,3,4,1,3,0,0,0,FALSE,FALSE§Z¿]]></VOFFF>
                                <UDAV><![CDATA[Sub-Total <SubTotalNumber>]]></UDAV>
                              </ClmnBlkPtProps>
                            </ClmnBlkPt>
                            <ClmnBlkPt>
                              <ClmnBlkPtProps>
                                <CBPT>3</CBPT>
                                <ST>-1</ST>
                                <VOFFF/>
                              </ClmnBlkPtProps>
                            </ClmnBlkPt>
                            <ClmnBlkPt>
                              <ClmnBlkPtProps>
                                <CBPT>4</CBPT>
                                <ST>-1</ST>
                                <VOFFF/>
                              </ClmnBlkPtProps>
                            </ClmnBlkPt>
                            <ClmnBlkPt>
                              <ClmnBlkPtProps>
                                <CBPT>5</CBPT>
                                <ST>6</ST>
                                <VOFFF><![CDATA[Book Depreciation]]></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3</SON>
                                <VOFFF><![CDATA[=§A¿0,1,0,2,8,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1,3,8,1</STLI>
                              <R>0</R>
                            </SubTtlHdgRowProps>
                          </SubTtlHdgRow>
                          <CatSpan>
                            <CatSpanProps>
                              <CC>2</CC>
                              <R>4</R>
                            </CatSpanProps>
                          </CatSpan>
                        </SubTtl>
                      </SubTtls>
                      <TtlCtg>
                        <TtlCtgProps>
                          <R>3</R>
                        </TtlCtgProps>
                      </TtlCtg>
                      <ElmtLnksOut>
                        <ElmtLnk>
                          <ElmtLnkProps>
                            <ELI>1,3,8</ELI>
                            <ELN>1</ELN>
                            <ELGN>1</ELGN>
                            <MLG>97860D50-973B-4E71-BCEE-D80727560486</MLG>
                            <ICBI>1,2</ICBI>
                            <ILBN>1,2</ILBN>
                            <LIBN>0</LIBN>
                          </ElmtLnkProps>
                        </ElmtLnk>
                      </ElmtLnksOut>
                    </Elmt>
                    <Elmt>
                      <ElmtProps>
                        <CPT>2</CPT>
                      </ElmtProp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2,2,1,1,0,0,0,FALSE,FALSE§Z¿]]></VOFFF>
                                <UDAV><![CDATA[Category <CategoryNumber>]]></UDAV>
                              </ClmnBlkPtProps>
                            </ClmnBlkPt>
                            <ClmnBlkPt>
                              <ClmnBlkPtProps>
                                <CBPT>1</CBPT>
                                <ST>6</ST>
                                <VOFFF><![CDATA[=§A¿0,1,0,3,10,1,3,0,0,0,FALSE,FALSE§Z¿]]></VOFFF>
                                <UDAV><![CDATA[<CategoriesGroupName> Sub-Total <SubTotalNumber>]]></UDAV>
                              </ClmnBlkPtProps>
                            </ClmnBlkPt>
                            <ClmnBlkPt>
                              <ClmnBlkPtProps>
                                <CBPT>2</CBPT>
                                <ST>5</ST>
                                <VOFFF><![CDATA[=§A¿0,1,0,3,4,1,3,0,0,0,FALSE,FALSE§Z¿]]></VOFFF>
                                <UDAV><![CDATA[Sub-Total <SubTotalNumber>]]></UDAV>
                              </ClmnBlkPtProps>
                            </ClmnBlkPt>
                            <ClmnBlkPt>
                              <ClmnBlkPtProps>
                                <CBPT>3</CBPT>
                                <ST>-1</ST>
                                <VOFFF/>
                              </ClmnBlkPtProps>
                            </ClmnBlkPt>
                            <ClmnBlkPt>
                              <ClmnBlkPtProps>
                                <CBPT>4</CBPT>
                                <ST>-1</ST>
                                <VOFFF/>
                              </ClmnBlkPtProps>
                            </ClmnBlkPt>
                            <ClmnBlkPt>
                              <ClmnBlkPtProps>
                                <CBPT>5</CBPT>
                                <ST>5</ST>
                                <VOFFF><![CDATA[Closing Net Book Value]]></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2,9,3,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10</SON>
                                <VOFFF><![CDATA[=§A¿3§Z¿]]></VOFFF>
                              </ClmnBlkPtProps>
                            </ClmnBlkPt>
                          </ClmnBlkPts>
                        </ClmnBlk>
                      </ClmnBlks>
                      <SubTtls>
                        <SubTtl>
                          <SubTtlHdgRow>
                            <SubTtlHdgRowProps>
                              <STLI>1,3,10,1</STLI>
                              <R>0</R>
                            </SubTtlHdgRowProps>
                          </SubTtlHdgRow>
                          <CatSpan>
                            <CatSpanProps>
                              <CC>2</CC>
                              <R>4</R>
                            </CatSpanProps>
                          </CatSpan>
                        </SubTtl>
                      </SubTtls>
                      <TtlCtg>
                        <TtlCtgProps>
                          <R>3</R>
                        </TtlCtgProps>
                      </TtlCtg>
                      <ElmtLnksOut>
                        <ElmtLnk>
                          <ElmtLnkProps>
                            <ELI>1,3,10</ELI>
                            <ELN>1</ELN>
                            <ELGN>1</ELGN>
                            <MLG>8C6281B4-8069-469D-A3FB-284FF62C69F4</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1,0,3,4,2,6,-1,0,0,FALSE,FALSE§Z¿+§A¿0,1,0,3,6,2,6,-1,0,0,FALSE,FALSE§Z¿+§A¿0,1,0,3,8,2,6,-1,0,0,FALSE,FALSE§Z¿-§A¿0,1,0,3,10,2,6,-1,0,0,FALSE,FALSE§Z¿),1,0)]]></VOFFF>
                              </ClmnBlkPtProps>
                              <FmtCnds>
                                <FmtCnd>
                                  <FmtCndProps>
                                    <CBPLI>1,3,12,2,1</CBPLI>
                                    <FCN>1</FCN>
                                    <FCT>1</FCT>
                                    <FCO>4</FCO>
                                    <F1FFF><![CDATA[=0]]></F1FFF>
                                    <F2FFF/>
                                    <SIT>False</SIT>
                                    <BSV>True</BSV>
                                    <BCT>0</BCT>
                                    <CNBCN>0</CNBCN>
                                    <BTAS>0</BTAS>
                                    <IST>1</IST>
                                    <RO>False</RO>
                                    <SIO>False</SIO>
                                    <TO>0</TO>
                                    <TS/>
                                    <DO>1</DO>
                                    <TB>1</TB>
                                    <R>10</R>
                                    <P>False</P>
                                    <AB>0</AB>
                                    <NSD>1</NSD>
                                    <DU>1</DU>
                                    <INF>False</INF>
                                    <NT>0</NT>
                                    <DP>0</DP>
                                    <CNF/>
                                  </FmtCndProps>
                                  <FntOvly>
                                    <FntOvlyProps>
                                      <PT>2</PT>
                                      <SON>0</SON>
                                      <CBPLI>1,3,12,2,1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3,12,2,1,-1,0,0,FALSE,FALSE§Z¿<>0,0,IF(ROUND(§A¿0,1,0,3,4,2,6,-1,0,0,FALSE,FALSE§Z¿+§A¿0,1,0,3,6,2,6,-1,0,0,FALSE,FALSE§Z¿+§A¿0,1,0,3,8,2,6,-1,0,0,FALSE,FALSE§Z¿-§A¿0,1,0,3,10,2,6,-1,0,0,FALSE,FALSE§Z¿,5)<>0,1,0))]]></VOFFF>
                              </ClmnBlkPtProps>
                              <FmtCnds>
                                <FmtCnd>
                                  <FmtCndProps>
                                    <CBPLI>1,3,13,2,1</CBPLI>
                                    <FCN>1</FCN>
                                    <FCT>1</FCT>
                                    <FCO>4</FCO>
                                    <F1FFF><![CDATA[=0]]></F1FFF>
                                    <F2FFF/>
                                    <SIT>False</SIT>
                                    <BSV>True</BSV>
                                    <BCT>0</BCT>
                                    <CNBCN>0</CNBCN>
                                    <BTAS>0</BTAS>
                                    <IST>1</IST>
                                    <RO>False</RO>
                                    <SIO>False</SIO>
                                    <TO>0</TO>
                                    <TS/>
                                    <DO>1</DO>
                                    <TB>1</TB>
                                    <R>10</R>
                                    <P>False</P>
                                    <AB>0</AB>
                                    <NSD>1</NSD>
                                    <DU>1</DU>
                                    <INF>False</INF>
                                    <NT>0</NT>
                                    <DP>0</DP>
                                    <CNF/>
                                  </FmtCndProps>
                                  <FntOvly>
                                    <FntOvlyProps>
                                      <PT>2</PT>
                                      <SON>0</SON>
                                      <CBPLI>1,3,13,2,1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7</SON>
                                <VOFFF><![CDATA[=IF(ISERROR(SUM(§A¿0,1,1,3,14,3,1,0,0,0,FALSE,FALSE,3,14,3,1,0,1,0,FALSE,FALSE§Z¿)),1,MIN(SUM(§A¿0,1,1,3,14,3,1,0,0,0,FALSE,FALSE,3,14,3,1,0,1,0,FALSE,FALSE§Z¿),1))]]></VOFFF>
                              </ClmnBlkPtProps>
                              <Chk>
                                <ChkProps>
                                  <CBPLI>1,3,14,2,1</CBPLI>
                                  <CT>0</CT>
                                  <CN>9</CN>
                                  <HST>1</HST>
                                  <CHT/>
                                  <HCBPLI>1,1,2,1,1</HCBPLI>
                                </ChkProps>
                              </Chk>
                              <Cmts>
                                <Cmt>
                                  <CmtProps>
                                    <CBPLI>1,3,14,2,1</CBPLI>
                                    <WRN>1</WRN>
                                    <ERT>5</ERT>
                                    <COSTN>0</COSTN>
                                    <OC>0</OC>
                                    <HT><![CDATA[Error Check]]></HT>
                                    <HFS>0</HFS>
                                    <BT><![CDATA[Flags the existence of errors.]]></BT>
                                    <BFS>0</BFS>
                                    <H>104</H>
                                    <W>128</W>
                                  </CmtProps>
                                </Cmt>
                              </Cmts>
                              <FmtCnds>
                                <FmtCnd>
                                  <FmtCndProps>
                                    <CBPLI>1,3,14,2,1</CBPLI>
                                    <FCN>1</FCN>
                                    <FCT>1</FCT>
                                    <FCO>4</FCO>
                                    <F1FFF><![CDATA[=0]]></F1FFF>
                                    <F2FFF/>
                                    <SIT>False</SIT>
                                    <BSV>True</BSV>
                                    <BCT>0</BCT>
                                    <CNBCN>0</CNBCN>
                                    <BTAS>0</BTAS>
                                    <IST>1</IST>
                                    <RO>False</RO>
                                    <SIO>False</SIO>
                                    <TO>0</TO>
                                    <TS/>
                                    <DO>1</DO>
                                    <TB>1</TB>
                                    <R>10</R>
                                    <P>False</P>
                                    <AB>0</AB>
                                    <NSD>1</NSD>
                                    <DU>1</DU>
                                    <INF>False</INF>
                                    <NT>0</NT>
                                    <DP>0</DP>
                                    <CNF/>
                                  </FmtCndProps>
                                  <FntOvly>
                                    <FntOvlyProps>
                                      <PT>2</PT>
                                      <SON>0</SON>
                                      <CBPLI>1,3,14,2,1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6</SON>
                                <VOFFF><![CDATA[=MIN(SUM(§A¿0,1,1,3,12,2,1,-1,0,0,FALSE,FALSE,3,13,2,1,-1,0,0,FALSE,FALSE§Z¿),1)]]></VOFFF>
                              </ClmnBlkPtProps>
                              <FmtCnds>
                                <FmtCnd>
                                  <FmtCndProps>
                                    <CBPLI>1,3,14,3,1</CBPLI>
                                    <FCN>1</FCN>
                                    <FCT>1</FCT>
                                    <FCO>4</FCO>
                                    <F1FFF><![CDATA[=0]]></F1FFF>
                                    <F2FFF/>
                                    <SIT>False</SIT>
                                    <BSV>True</BSV>
                                    <BCT>0</BCT>
                                    <CNBCN>0</CNBCN>
                                    <BTAS>0</BTAS>
                                    <IST>1</IST>
                                    <RO>False</RO>
                                    <SIO>False</SIO>
                                    <TO>0</TO>
                                    <TS/>
                                    <DO>1</DO>
                                    <TB>1</TB>
                                    <R>10</R>
                                    <P>False</P>
                                    <AB>0</AB>
                                    <NSD>1</NSD>
                                    <DU>1</DU>
                                    <INF>False</INF>
                                    <NT>0</NT>
                                    <DP>0</DP>
                                    <CNF/>
                                  </FmtCndProps>
                                  <FntOvly>
                                    <FntOvlyProps>
                                      <PT>2</PT>
                                      <SON>0</SON>
                                      <CBPLI>1,3,14,3,1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apital Expenditur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3,14,3,1,-1,0,0,FALSE,FALSE§Z¿<>0,0,IF(ROUND(MIN(§A¿0,1,1,3,6,2,1,1,0,0,FALSE,FALSE,3,6,2,1,2,0,0,FALSE,FALSE§Z¿),5)<0,1,0))]]></VOFFF>
                              </ClmnBlkPtProps>
                              <FmtCnds>
                                <FmtCnd>
                                  <FmtCndProps>
                                    <CBPLI>1,3,16,2,1</CBPLI>
                                    <FCN>1</FCN>
                                    <FCT>1</FCT>
                                    <FCO>4</FCO>
                                    <F1FFF><![CDATA[=0]]></F1FFF>
                                    <F2FFF/>
                                    <SIT>False</SIT>
                                    <BSV>True</BSV>
                                    <BCT>0</BCT>
                                    <CNBCN>0</CNBCN>
                                    <BTAS>0</BTAS>
                                    <IST>1</IST>
                                    <RO>False</RO>
                                    <SIO>False</SIO>
                                    <TO>0</TO>
                                    <TS/>
                                    <DO>1</DO>
                                    <TB>1</TB>
                                    <R>10</R>
                                    <P>False</P>
                                    <AB>0</AB>
                                    <NSD>1</NSD>
                                    <DU>1</DU>
                                    <INF>False</INF>
                                    <NT>0</NT>
                                    <DP>0</DP>
                                    <CNF/>
                                  </FmtCndProps>
                                  <FntOvly>
                                    <FntOvlyProps>
                                      <PT>2</PT>
                                      <SON>0</SON>
                                      <CBPLI>1,3,16,2,1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Book Deprec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3,14,3,1,-1,0,0,FALSE,FALSE§Z¿<>0,0,IF(ROUND(MAX(§A¿0,1,1,3,8,2,1,1,0,0,FALSE,FALSE,3,8,2,1,2,0,0,FALSE,FALSE§Z¿),5)>0,1,0))]]></VOFFF>
                              </ClmnBlkPtProps>
                              <FmtCnds>
                                <FmtCnd>
                                  <FmtCndProps>
                                    <CBPLI>1,3,17,2,1</CBPLI>
                                    <FCN>1</FCN>
                                    <FCT>1</FCT>
                                    <FCO>4</FCO>
                                    <F1FFF><![CDATA[=0]]></F1FFF>
                                    <F2FFF/>
                                    <SIT>False</SIT>
                                    <BSV>True</BSV>
                                    <BCT>0</BCT>
                                    <CNBCN>0</CNBCN>
                                    <BTAS>0</BTAS>
                                    <IST>1</IST>
                                    <RO>False</RO>
                                    <SIO>False</SIO>
                                    <TO>0</TO>
                                    <TS/>
                                    <DO>1</DO>
                                    <TB>1</TB>
                                    <R>10</R>
                                    <P>False</P>
                                    <AB>0</AB>
                                    <NSD>1</NSD>
                                    <DU>1</DU>
                                    <INF>False</INF>
                                    <NT>0</NT>
                                    <DP>0</DP>
                                    <CNF/>
                                  </FmtCndProps>
                                  <FntOvly>
                                    <FntOvlyProps>
                                      <PT>2</PT>
                                      <SON>0</SON>
                                      <CBPLI>1,3,17,2,1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losing Balanc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3,14,3,1,-1,0,0,FALSE,FALSE§Z¿<>0,0,IF(ROUND(MIN(§A¿0,1,1,3,10,2,1,1,0,0,FALSE,FALSE,3,10,2,1,2,0,0,FALSE,FALSE§Z¿),5)<0,1,0))]]></VOFFF>
                              </ClmnBlkPtProps>
                              <FmtCnds>
                                <FmtCnd>
                                  <FmtCndProps>
                                    <CBPLI>1,3,18,2,1</CBPLI>
                                    <FCN>1</FCN>
                                    <FCT>1</FCT>
                                    <FCO>4</FCO>
                                    <F1FFF><![CDATA[=0]]></F1FFF>
                                    <F2FFF/>
                                    <SIT>False</SIT>
                                    <BSV>True</BSV>
                                    <BCT>0</BCT>
                                    <CNBCN>0</CNBCN>
                                    <BTAS>0</BTAS>
                                    <IST>1</IST>
                                    <RO>False</RO>
                                    <SIO>False</SIO>
                                    <TO>0</TO>
                                    <TS/>
                                    <DO>1</DO>
                                    <TB>1</TB>
                                    <R>10</R>
                                    <P>False</P>
                                    <AB>0</AB>
                                    <NSD>1</NSD>
                                    <DU>1</DU>
                                    <INF>False</INF>
                                    <NT>0</NT>
                                    <DP>0</DP>
                                    <CNF/>
                                  </FmtCndProps>
                                  <FntOvly>
                                    <FntOvlyProps>
                                      <PT>2</PT>
                                      <SON>0</SON>
                                      <CBPLI>1,3,18,2,1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7</SON>
                                <VOFFF><![CDATA[=IF(ISERROR(SUM(§A¿0,1,1,3,19,3,1,0,0,0,FALSE,FALSE,3,19,3,1,0,1,0,FALSE,FALSE§Z¿)),1,MIN(SUM(§A¿0,1,1,3,19,3,1,0,0,0,FALSE,FALSE,3,19,3,1,0,1,0,FALSE,FALSE§Z¿),1))]]></VOFFF>
                              </ClmnBlkPtProps>
                              <Chk>
                                <ChkProps>
                                  <CBPLI>1,3,19,2,1</CBPLI>
                                  <CT>2</CT>
                                  <CN>7</CN>
                                  <HST>1</HST>
                                  <CHT/>
                                  <HCBPLI>1,1,2,1,1</HCBPLI>
                                </ChkProps>
                              </Chk>
                              <Cmts>
                                <Cmt>
                                  <CmtProps>
                                    <CBPLI>1,3,19,2,1</CBPLI>
                                    <WRN>1</WRN>
                                    <ERT>5</ERT>
                                    <COSTN>0</COSTN>
                                    <OC>0</OC>
                                    <HT><![CDATA[Alert Check]]></HT>
                                    <HFS>0</HFS>
                                    <BT><![CDATA[Flags the occurrence of designated events.]]></BT>
                                    <BFS>0</BFS>
                                    <H>38</H>
                                    <W>128</W>
                                  </CmtProps>
                                </Cmt>
                              </Cmts>
                              <FmtCnds>
                                <FmtCnd>
                                  <FmtCndProps>
                                    <CBPLI>1,3,19,2,1</CBPLI>
                                    <FCN>1</FCN>
                                    <FCT>1</FCT>
                                    <FCO>4</FCO>
                                    <F1FFF><![CDATA[=0]]></F1FFF>
                                    <F2FFF/>
                                    <SIT>False</SIT>
                                    <BSV>True</BSV>
                                    <BCT>0</BCT>
                                    <CNBCN>0</CNBCN>
                                    <BTAS>0</BTAS>
                                    <IST>1</IST>
                                    <RO>False</RO>
                                    <SIO>False</SIO>
                                    <TO>0</TO>
                                    <TS/>
                                    <DO>1</DO>
                                    <TB>1</TB>
                                    <R>10</R>
                                    <P>False</P>
                                    <AB>0</AB>
                                    <NSD>1</NSD>
                                    <DU>1</DU>
                                    <INF>False</INF>
                                    <NT>0</NT>
                                    <DP>0</DP>
                                    <CNF/>
                                  </FmtCndProps>
                                  <FntOvly>
                                    <FntOvlyProps>
                                      <PT>2</PT>
                                      <SON>0</SON>
                                      <CBPLI>1,3,19,2,1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6</SON>
                                <VOFFF><![CDATA[=MIN(SUM(§A¿0,1,1,3,16,2,1,-1,0,0,FALSE,FALSE,3,18,2,1,-1,0,0,FALSE,FALSE§Z¿),1)]]></VOFFF>
                              </ClmnBlkPtProps>
                              <FmtCnds>
                                <FmtCnd>
                                  <FmtCndProps>
                                    <CBPLI>1,3,19,3,1</CBPLI>
                                    <FCN>1</FCN>
                                    <FCT>1</FCT>
                                    <FCO>4</FCO>
                                    <F1FFF><![CDATA[=0]]></F1FFF>
                                    <F2FFF/>
                                    <SIT>False</SIT>
                                    <BSV>True</BSV>
                                    <BCT>0</BCT>
                                    <CNBCN>0</CNBCN>
                                    <BTAS>0</BTAS>
                                    <IST>1</IST>
                                    <RO>False</RO>
                                    <SIO>False</SIO>
                                    <TO>0</TO>
                                    <TS/>
                                    <DO>1</DO>
                                    <TB>1</TB>
                                    <R>10</R>
                                    <P>False</P>
                                    <AB>0</AB>
                                    <NSD>1</NSD>
                                    <DU>1</DU>
                                    <INF>False</INF>
                                    <NT>0</NT>
                                    <DP>0</DP>
                                    <CNF/>
                                  </FmtCndProps>
                                  <FntOvly>
                                    <FntOvlyProps>
                                      <PT>2</PT>
                                      <SON>0</SON>
                                      <CBPLI>1,3,19,3,1</CBPLI>
                                      <FCN>1</FCN>
                                      <CN>0</CN>
                                      <IB>True</IB>
                                      <IC>True</IC>
                                      <B>True</B>
                                      <CT>2</CT>
                                      <CNU>3</CNU>
                                      <CPR>0</CPR>
                                      <TAS>0</TAS>
                                    </FntOvlyProps>
                                  </FntOvly>
                                </FmtCnd>
                              </FmtCnds>
                            </ClmnBlkPt>
                          </ClmnBlkPts>
                        </ClmnBlk>
                      </ClmnBlks>
                      <TtlCtg>
                        <TtlCtgProps>
                          <R>3</R>
                        </TtlCtgProps>
                      </TtlCtg>
                    </Elmt>
                  </Elmts>
                </Sect>
              </Sects>
              <Ctrls>
                <Ctrl>
                  <CtrlProps>
                    <MN>40</MN>
                    <MCN>1</MCN>
                    <SIT>1</SIT>
                    <TLCRSN>1</TLCRSN>
                    <TLCREN>7</TLCREN>
                    <TLCRSRT>0</TLCRSRT>
                    <TLCCPT>3</TLCCPT>
                    <TLCCN>8</TLCCN>
                    <TLCCOT>0</TLCCOT>
                    <TLCCOC>5</TLCCOC>
                    <TLCCPTBMCN>4</TLCCPTBMCN>
                    <TLCCPTBN>2</TLCCPTBN>
                    <BRCRSN>1</BRCRSN>
                    <BRCREN>7</BRCREN>
                    <BRCRSRT>0</BRCRSRT>
                    <BRCCPT>3</BRCCPT>
                    <BRCCN>9</BRCCN>
                    <BRCCOT>1</BRCCOT>
                    <BRCCOC>0</BRCCOC>
                    <BRCCPTBMCN>4</BRCCPTBMCN>
                    <BRCCPTBN>2</BRCCPTBN>
                    <P>1</P>
                    <HAL>-4131</HAL>
                    <WA>1</WA>
                    <VA>-4108</VA>
                    <HAD>1</HAD>
                    <TI>0</TI>
                    <CT>0</CT>
                    <N/>
                    <D3DS>False</D3DS>
                    <PO>True</PO>
                    <L>True</L>
                    <OA/>
                    <T/>
                    <THA>-4108</THA>
                    <TVA>-4108</TVA>
                    <LT>True</LT>
                    <LCFFA><![CDATA[§A¿0,1,0,1,7,2,1,0,0,0,TRUE,TRUE§Z¿]]></LCFFA>
                    <LCCA/>
                    <CV>1</CV>
                    <MIV>0</MIV>
                    <MAV>100</MAV>
                    <SC>1</SC>
                    <LC>10</LC>
                    <LFRFFA><![CDATA[§A¿1,1,2,1,6,0,1,1,1§Z¿]]></LFRFFA>
                    <LFRCA/>
                    <DDL>0</DDL>
                  </CtrlProps>
                </Ctrl>
              </Ctrls>
            </ModComp>
            <ModComp>
              <ModCompProps>
                <MN>40</MN>
                <MCN>2</MCN>
                <MCTK>LU</MCTK>
                <RT><![CDATA[<ModuleName> - Lookups]]></RT>
                <ERN>MODMC59</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15</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Category Nam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CDATA[=§A¿0,1,0,2,2,1,1,0,0,0,FALSE,FALSE§Z¿]]></VOFFF>
                              </ClmnBlkPtProps>
                              <RgeNmes>
                                <RgeNme>
                                  <RgeNmeProps>
                                    <CBPLI>2,1,6,1,1</CBPLI>
                                    <MCN>2</MCN>
                                    <SN>1</SN>
                                    <EN>6</EN>
                                    <CN>0</CN>
                                    <CBN>1</CBN>
                                    <CBPN>1</CBPN>
                                    <PT>1</PT>
                                    <CBPRNT>2</CBPRNT>
                                    <NT>11</NT>
                                    <SP1><![CDATA[Cat_Name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Category Name]]></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Assets_Cat_Names]]></VOFFF>
                              </ClmnBlkPtProps>
                            </ClmnBlkPt>
                          </ClmnBlkPts>
                        </ClmnBlk>
                      </ClmnBlks>
                      <SubTtls>
                        <SubTtl>
                          <SubTtlHdgRow>
                            <SubTtlHdgRowProps>
                              <STLI>2,1,6,1</STLI>
                              <R>0</R>
                            </SubTtlHdgRowProps>
                          </SubTtlHdgRow>
                          <Ctgs>
                            <Ctg>
                              <CtgProps>
                                <R>3</R>
                              </CtgProps>
                              <LuTblLbl>
                                <LuTblLblProps>
                                  <CLI>2,1,6,False,1</CLI>
                                  <L><![CDATA[Lookup Label <CategoryNumber>.]]></L>
                                </LuTblLblProps>
                              </LuTblLbl>
                            </Ctg>
                            <Ctg>
                              <CtgProps>
                                <R>3</R>
                              </CtgProps>
                              <LuTblLbl>
                                <LuTblLblProps>
                                  <CLI>2,1,6,False,2</CLI>
                                  <L><![CDATA[Lookup Label <CategoryNumber>.]]></L>
                                </LuTblLblProps>
                              </LuTblLbl>
                            </Ctg>
                          </Ctgs>
                        </SubTtl>
                      </SubTtls>
                      <TtlCtg>
                        <TtlCtgProps>
                          <R>3</R>
                        </TtlCtgProps>
                      </TtlCtg>
                    </Elmt>
                  </Elmts>
                </Sect>
                <Sect>
                  <SectProps>
                    <LI>2,2</LI>
                    <EGN>0</EGN>
                  </SectProps>
                </Sect>
              </Sects>
            </ModComp>
          </ModComps>
        </Mod>
        <Mod>
          <ModProps>
            <MVS>14.0.5.0</MVS>
            <RAV/>
            <RXV>0</RXV>
            <FV>3</FV>
            <MT>0</MT>
            <SCT>-1</SCT>
            <P><![CDATA[Debt_Od]]></P>
            <OI>90</OI>
            <MN>0</MN>
            <MAG>68F61C56-4299-4FA4-9517-F2F96409D6DE</MAG>
            <BN><![CDATA[Debt Opening Data]]></BN>
            <N><![CDATA[Debt Opening Data]]></N>
            <TS><![CDATA[Monthly]]></TS>
            <D><![CDATA[Manages the financial statement impacts of opening interest payable not captured by debt facility modules.]]></D>
            <FS><![CDATA[Assumes opening interest payable balances are paid in the first time series period.]]></FS>
            <R><![CDATA[Any]]></R>
            <GE><![CDATA[Debt Opening Data]]></GE>
            <CA><![CDATA[Interest Payable]]></CA>
            <VA><![CDATA[Single Component]]></VA>
            <GST><![CDATA[None]]></GST>
            <DE><![CDATA[Modano]]></DE>
            <E><![CDATA[info@modano.com]]></E>
            <C><![CDATA[Modano]]></C>
            <W><![CDATA[www.modano.com]]></W>
            <K/>
            <CO/>
            <V>10.16.1.0.</V>
            <AX>2</AX>
            <SX/>
            <PMLO>False</PMLO>
            <IPMLO>False</IPMLO>
            <MACA>0</MACA>
            <HP>False</HP>
            <DR>False</DR>
            <RTSM>True</RTSM>
            <CC>True</CC>
            <X>False</X>
            <G>CAB891AF-A948-498E-A455-D1C866150264</G>
          </ModProps>
          <RowStgs>
            <RowStg>
              <RowStgProps>
                <RSN>1</RSN>
                <RHST>0</RHST>
                <HS>100</HS>
                <OL>3</OL>
                <RH>False</RH>
              </RowStgProps>
            </RowStg>
            <RowStg>
              <RowStgProps>
                <RSN>2</RSN>
                <RHST>1</RHST>
                <HS>50</HS>
                <OL>3</OL>
                <RH>False</RH>
              </RowStgProps>
            </RowStg>
            <RowStg>
              <RowStgProps>
                <RSN>3</RSN>
                <RHST>0</RHST>
                <HS>100</HS>
                <OL>2</OL>
                <RH>False</RH>
              </RowStgProps>
            </RowStg>
            <RowStg>
              <RowStgProps>
                <RSN>4</RSN>
                <RHST>1</RHST>
                <HS>50</HS>
                <OL>2</OL>
                <RH>False</RH>
              </RowStgProps>
            </RowStg>
            <RowStg>
              <RowStgProps>
                <RSN>5</RSN>
                <RHST>0</RHST>
                <HS>0</HS>
                <OL>3</OL>
                <RH>True</RH>
              </RowStgProps>
            </RowStg>
          </RowStgs>
          <StlOvlys>
            <StlOvly>
              <StlOvlyProps>
                <SON>1</SON>
              </StlOvlyProps>
              <FntOvly>
                <FntOvlyProps>
                  <PT>1</PT>
                  <SON>1</SON>
                  <CBPLI>0,0,0,0,0</CBPLI>
                  <FCN>0</FCN>
                  <CN>0</CN>
                  <IB>True</IB>
                  <B>True</B>
                </FntOvlyProps>
              </FntOvly>
            </StlOvly>
            <StlOvly>
              <StlOvlyProps>
                <SON>2</SON>
              </StlOvlyProps>
              <BdrOvlys>
                <BdrOvly>
                  <BdrOvlyProps>
                    <PT>1</PT>
                    <SON>2</SON>
                    <CBPLI/>
                    <FCN>0</FCN>
                    <I>True</I>
                    <BI>9</BI>
                    <LS>1</LS>
                    <W>2</W>
                  </BdrOvlyProps>
                </BdrOvly>
              </BdrOvlys>
            </StlOvly>
            <StlOvly>
              <StlOvlyProps>
                <SON>3</SON>
                <INF>True</INF>
                <NT>0</NT>
                <DP>0</DP>
                <CNF><![CDATA[_(#,##0.0_);(#,##0.0);_-"-"_-]]></CNF>
              </StlOvlyProps>
            </StlOvly>
            <StlOvly>
              <StlOvlyProps>
                <SON>4</SON>
                <INF>True</INF>
                <NT>0</NT>
                <DP>0</DP>
                <CNF><![CDATA[_(#,##0.0_);(#,##0.0);_-"-"_-]]></CNF>
              </StlOvlyProps>
              <FntOvly>
                <FntOvlyProps>
                  <PT>1</PT>
                  <SON>4</SON>
                  <CBPLI>0,0,0,0,0</CBPLI>
                  <FCN>0</FCN>
                  <CN>0</CN>
                  <IB>True</IB>
                  <B>True</B>
                </FntOvlyProps>
              </FntOvly>
              <BdrOvlys>
                <BdrOvly>
                  <BdrOvlyProps>
                    <PT>1</PT>
                    <SON>4</SON>
                    <CBPLI/>
                    <FCN>0</FCN>
                    <I>True</I>
                    <BI>10</BI>
                    <LS>1</LS>
                    <W>2</W>
                  </BdrOvlyProps>
                </BdrOvly>
              </BdrOvlys>
            </StlOvly>
            <StlOvly>
              <StlOvlyProps>
                <SON>5</SON>
              </StlOvlyProps>
              <BdrOvlys>
                <BdrOvly>
                  <BdrOvlyProps>
                    <PT>1</PT>
                    <SON>5</SON>
                    <CBPLI/>
                    <FCN>0</FCN>
                    <I>True</I>
                    <BI>10</BI>
                    <LS>1</LS>
                    <W>2</W>
                  </BdrOvlyProps>
                </BdrOvly>
                <BdrOvly>
                  <BdrOvlyProps>
                    <PT>1</PT>
                    <SON>5</SON>
                    <CBPLI/>
                    <FCN>0</FCN>
                    <I>True</I>
                    <BI>9</BI>
                    <LS>1</LS>
                    <W>2</W>
                  </BdrOvlyProps>
                </BdrOvly>
              </BdrOvlys>
            </StlOvly>
            <StlOvly>
              <StlOvlyProps>
                <SON>6</SON>
              </StlOvlyProps>
              <FntOvly>
                <FntOvlyProps>
                  <PT>1</PT>
                  <SON>6</SON>
                  <CBPLI>0,0,0,0,0</CBPLI>
                  <FCN>0</FCN>
                  <CN>0</CN>
                  <IB>True</IB>
                  <B>True</B>
                </FntOvlyProps>
              </FntOvly>
              <BdrOvlys>
                <BdrOvly>
                  <BdrOvlyProps>
                    <PT>1</PT>
                    <SON>6</SON>
                    <CBPLI/>
                    <FCN>0</FCN>
                    <I>True</I>
                    <BI>10</BI>
                    <LS>1</LS>
                    <W>2</W>
                  </BdrOvlyProps>
                </BdrOvly>
              </BdrOvlys>
            </StlOvly>
            <StlOvly>
              <StlOvlyProps>
                <SON>7</SON>
                <IHA>True</IHA>
                <HA>-4152</HA>
              </StlOvlyProps>
              <FntOvly>
                <FntOvlyProps>
                  <PT>1</PT>
                  <SON>7</SON>
                  <CBPLI>0,0,0,0,0</CBPLI>
                  <FCN>0</FCN>
                  <CN>0</CN>
                  <IB>True</IB>
                  <B>True</B>
                </FntOvlyProps>
              </FntOvly>
              <BdrOvlys>
                <BdrOvly>
                  <BdrOvlyProps>
                    <PT>1</PT>
                    <SON>7</SON>
                    <CBPLI/>
                    <FCN>0</FCN>
                    <I>True</I>
                    <BI>10</BI>
                    <LS>1</LS>
                    <W>2</W>
                  </BdrOvlyProps>
                </BdrOvly>
                <BdrOvly>
                  <BdrOvlyProps>
                    <PT>1</PT>
                    <SON>7</SON>
                    <CBPLI/>
                    <FCN>0</FCN>
                    <I>True</I>
                    <BI>9</BI>
                    <LS>1</LS>
                    <W>2</W>
                  </BdrOvlyProps>
                </BdrOvly>
              </BdrOvlys>
            </StlOvly>
          </StlOvlys>
          <ElmtsGrps>
            <ElmtsGrp>
              <ElmtsGrpProps>
                <NU>1</NU>
                <NA><![CDATA[Opening Interest Payable]]></NA>
                <EGT>0</EGT>
                <DCC>3</DCC>
                <AST>False</AST>
                <ISTH>True</ISTH>
                <PTMCN>0</PTMCN>
                <PTBN>0</PTBN>
                <PTBI>0</PTBI>
                <GLN/>
                <CLOT>0</CLOT>
                <CLIT>0</CLIT>
                <PMLO>0</PMLO>
                <IPMLO>0</IPMLO>
              </ElmtsGrpProps>
            </ElmtsGrp>
          </ElmtsGrps>
          <ModComps>
            <ModComp>
              <ModCompProps>
                <MN>41</MN>
                <MCN>1</MCN>
                <MCTK>BaseCase</MCTK>
                <RT><![CDATA[<ModuleName> - Outputs]]></RT>
                <ERN>MODMC36</ERN>
                <MCST>1</MCST>
                <IPMC>False</IPMC>
                <SN>13</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12</CTHN>
                                <ST>3</ST>
                                <VOFFF><![CDATA[Debt]]></VOFFF>
                              </ClmnBlkPtProps>
                              <RgeNmes>
                                <RgeNme>
                                  <RgeNmeProps>
                                    <CBPLI>1,1,2,1,1</CBPLI>
                                    <MCN>1</MCN>
                                    <SN>1</SN>
                                    <EN>2</EN>
                                    <CN>0</CN>
                                    <CBN>1</CBN>
                                    <CBPN>1</CBPN>
                                    <PT>1</PT>
                                    <CBPRNT>6</CBPRNT>
                                    <NT>12</NT>
                                    <SP1><![CDATA[Out]]></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Debt Opening Data]]></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Interest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7</SON>
                                <VOFFF><![CDATA[=§A¿7,1,1,1,9,0,2,1,1§Z¿]]></VOFFF>
                              </ClmnBlkPtProps>
                            </ClmnBlkPt>
                          </ClmnBlkPts>
                        </ClmnBlk>
                      </ClmnBlk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CategoriesGroupName> Category <CategoryNumber>]]></VOFFF>
                              </ClmnBlkPtProps>
                              <LnkInForms>
                                <LnkInForm>
                                  <LnkInFormProps>
                                    <CBPLI>1,1,7,1,1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Total "&§A¿0,1,0,1,6,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5</SON>
                                <VOFFF><![CDATA[0]]></VOFFF>
                              </ClmnBlkPtProps>
                              <LnkInForms>
                                <LnkInForm>
                                  <LnkInFormProps>
                                    <CBPLI>1,1,7,2,1</CBPLI>
                                    <ELN>1</ELN>
                                    <FFF><![CDATA[=§A¿10,FALSE,0,2,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6</SON>
                                <VOFFF><![CDATA[=§A¿3§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0]]></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5</R>
                              </CtgProps>
                              <LnkIn>
                                <LnkInProps>
                                  <MN>41</MN>
                                  <CLI>1,1,7,False,1</CLI>
                                  <ELN>1</ELN>
                                  <LOOT>0</LOOT>
                                  <LOMN>3</LOMN>
                                  <LOMCN>1</LOMCN>
                                  <LOSN>1</LOSN>
                                  <LOEN>32</LOEN>
                                  <LOCN>1</LOCN>
                                </LnkInProps>
                              </LnkIn>
                            </Ctg>
                          </Ctgs>
                        </SubTtl>
                      </SubTtls>
                      <TtlCtg>
                        <TtlCtgProps>
                          <R>3</R>
                        </TtlCtgProps>
                      </TtlCtg>
                      <ElmtLnksOut>
                        <ElmtLnk>
                          <ElmtLnkProps>
                            <ELI>1,1,7</ELI>
                            <ELN>1</ELN>
                            <ELGN>1</ELGN>
                            <MLG>AB05B401-F562-40E9-B972-83666ACE3AAF</MLG>
                            <ICBI>1,3</ICBI>
                            <ILBN>1,2</ILBN>
                            <LIBN>0</LIBN>
                          </ElmtLnkProps>
                        </ElmtLnk>
                      </ElmtLnksOut>
                      <ElmtLnksIn>
                        <ElmtLnk>
                          <ElmtLnkProps>
                            <ELI>1,1,7</ELI>
                            <ELN>1</ELN>
                            <ELGN>1</ELGN>
                            <MLG>B7615F79-3F66-4F82-94A3-93E34C798C2C</MLG>
                            <ICBI>1,2</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vement in Opening Interest Payable]]></VOFFF>
                              </ClmnBlkPtProps>
                            </ClmnBlkPt>
                          </ClmnBlkPts>
                        </ClmnBlk>
                      </ClmnBlks>
                      <TtlCtg>
                        <TtlCtgProps>
                          <R>1</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1,7,1,1,0,0,0,FALSE,FALSE§Z¿]]></VOFFF>
                                <UDAV><![CDATA[<CategoriesGroupName> Category <CategoryNumber>]]></UDAV>
                              </ClmnBlkPtProps>
                            </ClmnBlkPt>
                            <ClmnBlkPt>
                              <ClmnBlkPtProps>
                                <CBPT>1</CBPT>
                                <ST>6</ST>
                                <VOFFF><![CDATA[="Total "&§A¿0,1,0,1,10,1,3,0,0,0,FALSE,FALSE§Z¿]]></VOFFF>
                                <UDAV><![CDATA[<CategoriesGroupName> Sub-Total <SubTotalNumber>]]></UDAV>
                              </ClmnBlkPtProps>
                            </ClmnBlkPt>
                            <ClmnBlkPt>
                              <ClmnBlkPtProps>
                                <CBPT>2</CBPT>
                                <ST>7</ST>
                                <VOFFF><![CDATA[<CategoriesGroupName> Sub-Total <SubTotalNumber>]]></VOFFF>
                                <UDAV><![CDATA[<CategoriesGroupName> Sub-Total <SubTotalNumber>]]></UDAV>
                              </ClmnBlkPtProps>
                            </ClmnBlkPt>
                            <ClmnBlkPt>
                              <ClmnBlkPtProps>
                                <CBPT>3</CBPT>
                                <ST>-1</ST>
                                <VOFFF/>
                              </ClmnBlkPtProps>
                            </ClmnBlkPt>
                            <ClmnBlkPt>
                              <ClmnBlkPtProps>
                                <CBPT>4</CBPT>
                                <ST>-1</ST>
                                <VOFFF/>
                              </ClmnBlkPtProps>
                            </ClmnBlkPt>
                            <ClmnBlkPt>
                              <ClmnBlkPtProps>
                                <CBPT>5</CBPT>
                                <ST>6</ST>
                                <VOFFF><![CDATA[="Total "&§A¿0,1,0,1,9,1,1,-1,0,0,FALSE,FALSE§Z¿]]></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2</SON>
                                <VOFFF><![CDATA[=§A¿0,1,0,1,7,3,1,0,0,0,FALSE,FALSE§Z¿-§A¿0,1,0,1,7,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Props>
                            <R>1</R>
                          </SubTtlProps>
                          <SubTtlHdgRow>
                            <SubTtlHdgRowProps>
                              <STLI>1,1,10,1</STLI>
                              <R>1</R>
                            </SubTtlHdgRowProps>
                          </SubTtlHdgRow>
                          <TtlSpcrRow>
                            <TtlSpcrRowProps>
                              <RSN>2</RSN>
                            </TtlSpcrRowProps>
                          </TtlSpcrRow>
                          <Ctgs>
                            <Ctg>
                              <CtgProps>
                                <R>5</R>
                              </CtgProps>
                            </Ctg>
                          </Ctgs>
                        </SubTtl>
                      </SubTtls>
                      <TtlCtg>
                        <TtlCtgProps>
                          <R>3</R>
                        </TtlCtgProps>
                        <TtlSpcrRow>
                          <TtlSpcrRowProps>
                            <RSN>2</RSN>
                          </TtlSpcrRowProps>
                        </TtlSpcrRow>
                      </TtlCtg>
                      <ElmtLnksOut>
                        <ElmtLnk>
                          <ElmtLnkProps>
                            <ELI>1,1,10</ELI>
                            <ELN>1</ELN>
                            <ELGN>1</ELGN>
                            <MLG>F21DE62C-A26C-478B-BA81-EFAC0FE5D147</MLG>
                            <ICBI>1,2</ICBI>
                            <ILBN>1,2</ILBN>
                            <LIBN>0</LIBN>
                          </ElmtLnkProps>
                        </ElmtLnk>
                      </ElmtLnksOut>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rror Check]]></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4</SON>
                                <VOFFF><![CDATA[=IF(ISERROR(SUM(§A¿0,1,1,1,12,3,1,0,0,0,FALSE,FALSE,1,12,3,1,0,1,0,FALSE,FALSE§Z¿)),1,MIN(SUM(§A¿0,1,1,1,12,3,1,0,0,0,FALSE,FALSE,1,12,3,1,0,1,0,FALSE,FALSE§Z¿),1))]]></VOFFF>
                              </ClmnBlkPtProps>
                              <Chk>
                                <ChkProps>
                                  <CBPLI>1,1,12,2,1</CBPLI>
                                  <CT>0</CT>
                                  <CN>7</CN>
                                  <HST>1</HST>
                                  <CHT/>
                                  <HCBPLI>1,1,2,1,1</HCBPLI>
                                </ChkProps>
                              </Chk>
                              <Cmts>
                                <Cmt>
                                  <CmtProps>
                                    <CBPLI>1,1,12,2,1</CBPLI>
                                    <WRN>1</WRN>
                                    <ERT>5</ERT>
                                    <COSTN>0</COSTN>
                                    <OC>0</OC>
                                    <HT><![CDATA[Error Check]]></HT>
                                    <BT><![CDATA[Flags the existence of errors.]]></BT>
                                    <H>50</H>
                                    <W>96</W>
                                  </CmtProps>
                                </Cmt>
                              </Cmts>
                              <FmtCnds>
                                <FmtCnd>
                                  <FmtCndProps>
                                    <CBPLI>1,1,12,2,1</CBPLI>
                                    <FCN>1</FCN>
                                    <FCT>1</FCT>
                                    <FCO>4</FCO>
                                    <F1FFF><![CDATA[=0]]></F1FFF>
                                    <F2FFF/>
                                    <SIT>False</SIT>
                                    <BSV>True</BSV>
                                    <BCT>0</BCT>
                                    <CNBCN>0</CNBCN>
                                    <BTAS>0</BTAS>
                                    <IST>1</IST>
                                    <RO>False</RO>
                                    <SIO>False</SIO>
                                    <TO>0</TO>
                                    <TS/>
                                    <DO>1</DO>
                                    <TB>1</TB>
                                    <R>10</R>
                                    <P>False</P>
                                    <AB>0</AB>
                                    <NSD>1</NSD>
                                    <DU>1</DU>
                                    <INF>False</INF>
                                    <NT>0</NT>
                                    <DP>0</DP>
                                    <CNF/>
                                  </FmtCndProps>
                                  <FntOvly>
                                    <FntOvlyProps>
                                      <PT>2</PT>
                                      <SON>0</SON>
                                      <CBPLI>1,1,12,2,1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SUM(§A¿0,1,0,1,7,3,6,-1,0,0,FALSE,FALSE§Z¿,§A¿0,1,0,1,10,2,6,-1,0,0,FALSE,FALSE§Z¿)),1,0)]]></VOFFF>
                              </ClmnBlkPtProps>
                              <FmtCnds>
                                <FmtCnd>
                                  <FmtCndProps>
                                    <CBPLI>1,1,12,3,1</CBPLI>
                                    <FCN>1</FCN>
                                    <FCT>1</FCT>
                                    <FCO>4</FCO>
                                    <F1FFF><![CDATA[=0]]></F1FFF>
                                    <F2FFF/>
                                    <SIT>False</SIT>
                                    <BSV>True</BSV>
                                    <BCT>0</BCT>
                                    <CNBCN>0</CNBCN>
                                    <BTAS>0</BTAS>
                                    <IST>1</IST>
                                    <RO>False</RO>
                                    <SIO>False</SIO>
                                    <TO>0</TO>
                                    <TS/>
                                    <DO>1</DO>
                                    <TB>1</TB>
                                    <R>10</R>
                                    <P>False</P>
                                    <AB>0</AB>
                                    <NSD>1</NSD>
                                    <DU>1</DU>
                                    <INF>False</INF>
                                    <NT>0</NT>
                                    <DP>0</DP>
                                    <CNF/>
                                  </FmtCndProps>
                                  <FntOvly>
                                    <FntOvlyProps>
                                      <PT>2</PT>
                                      <SON>0</SON>
                                      <CBPLI>1,1,12,3,1</CBPLI>
                                      <FCN>1</FCN>
                                      <CN>0</CN>
                                      <IB>True</IB>
                                      <IC>True</IC>
                                      <B>True</B>
                                      <CT>2</CT>
                                      <CNU>3</CNU>
                                      <CPR>0</CPR>
                                      <TAS>0</TAS>
                                    </FntOvlyProps>
                                  </FntOvly>
                                </FmtCnd>
                              </FmtCnds>
                            </ClmnBlkPt>
                          </ClmnBlkPts>
                        </ClmnBlk>
                      </ClmnBlks>
                      <TtlCtg>
                        <TtlCtgProps>
                          <R>3</R>
                        </TtlCtgProps>
                      </TtlCtg>
                    </Elmt>
                  </Elmts>
                </Sect>
              </Sects>
            </ModComp>
          </ModComps>
        </Mod>
        <Mod>
          <ModProps>
            <MVS>14.0.5.0</MVS>
            <RAV/>
            <RXV>0</RXV>
            <FV>3</FV>
            <MT>0</MT>
            <SCT>-1</SCT>
            <P><![CDATA[Debt]]></P>
            <OI>100</OI>
            <MN>0</MN>
            <MAG>68F61C56-4299-4FA4-9517-F2F96409D6DE</MAG>
            <BN><![CDATA[Debt Facility]]></BN>
            <N><![CDATA[Operating Grants]]></N>
            <TS><![CDATA[Monthly]]></TS>
            <D><![CDATA[Calculates debt and interest payable balances for a single debt facility over a number of time series periods.]]></D>
            <FS><![CDATA[Debt balances are calculated based on assumed drawdowns and repayments in each time series period.&#10;Interest expense is calculated based on assumed all-in interest rates being applied to opening debt balances in each time series period, with interest paid assumed to equal interest expense.]]></FS>
            <R><![CDATA[Any]]></R>
            <GE><![CDATA[Debt Facility]]></GE>
            <CA><![CDATA[Balances Amounts, All-In Rates]]></CA>
            <VA><![CDATA[Single Component]]></VA>
            <GST><![CDATA[None]]></GST>
            <DE><![CDATA[Modano]]></DE>
            <E><![CDATA[info@modano.com]]></E>
            <C><![CDATA[Modano]]></C>
            <W><![CDATA[www.modano.com]]></W>
            <K/>
            <CO/>
            <V>10.16.1.0.</V>
            <AX>2</AX>
            <SX/>
            <PMLO>False</PMLO>
            <IPMLO>False</IPMLO>
            <MACA>1</MACA>
            <HP>False</HP>
            <DR>False</DR>
            <RTSM>True</RTSM>
            <CC>False</CC>
            <X>False</X>
            <G>90C2049E-76B5-4404-BA3E-602A8D7811D4</G>
          </ModProps>
          <RowStgs>
            <RowStg>
              <RowStgProps>
                <RSN>1</RSN>
                <RHST>0</RHST>
                <HS>0</HS>
                <OL>2</OL>
                <RH>False</RH>
              </RowStgProps>
            </RowStg>
            <RowStg>
              <RowStgProps>
                <RSN>2</RSN>
                <RHST>1</RHST>
                <HS>50</HS>
                <OL>2</OL>
                <RH>False</RH>
              </RowStgProps>
            </RowStg>
            <RowStg>
              <RowStgProps>
                <RSN>3</RSN>
                <RHST>0</RHST>
                <HS>0</HS>
                <OL>3</OL>
                <RH>True</RH>
              </RowStgProps>
            </RowStg>
            <RowStg>
              <RowStgProps>
                <RSN>4</RSN>
                <RHST>1</RHST>
                <HS>50</HS>
                <OL>3</OL>
                <RH>True</RH>
              </RowStgProps>
            </RowStg>
          </RowStgs>
          <StlOvlys>
            <StlOvly>
              <StlOvlyProps>
                <SON>1</SON>
              </StlOvlyProps>
              <FntOvly>
                <FntOvlyProps>
                  <PT>1</PT>
                  <SON>1</SON>
                  <CBPLI>0,0,0,0,0</CBPLI>
                  <FCN>0</FCN>
                  <CN>0</CN>
                  <II>True</II>
                  <IC>True</IC>
                  <I>True</I>
                  <CT>-3</CT>
                  <CNU>3</CNU>
                  <CPR>15132391</CPR>
                  <TAS>0</TAS>
                </FntOvlyProps>
              </FntOvly>
            </StlOvly>
            <StlOvly>
              <StlOvlyProps>
                <SON>2</SON>
              </StlOvlyProps>
              <FntOvly>
                <FntOvlyProps>
                  <PT>1</PT>
                  <SON>2</SON>
                  <CBPLI>0,0,0,0,0</CBPLI>
                  <FCN>0</FCN>
                  <CN>0</CN>
                  <IB>True</IB>
                  <B>True</B>
                </FntOvlyProps>
              </FntOvly>
              <BdrOvlys>
                <BdrOvly>
                  <BdrOvlyProps>
                    <PT>1</PT>
                    <SON>2</SON>
                    <CBPLI/>
                    <FCN>0</FCN>
                    <I>True</I>
                    <BI>8</BI>
                    <LS>1</LS>
                    <W>2</W>
                  </BdrOvlyProps>
                </BdrOvly>
              </BdrOvlys>
            </StlOvly>
            <StlOvly>
              <StlOvlyProps>
                <SON>3</SON>
                <INF>True</INF>
                <NT>1</NT>
                <DP>2</DP>
                <CNF/>
              </StlOvlyProps>
            </StlOvly>
            <StlOvly>
              <StlOvlyProps>
                <SON>4</SON>
                <INF>True</INF>
                <NT>0</NT>
                <DP>0</DP>
                <CNF/>
              </StlOvlyProps>
            </StlOvly>
            <StlOvly>
              <StlOvlyProps>
                <SON>5</SON>
                <INF>True</INF>
                <NT>0</NT>
                <DP>0</DP>
                <CNF/>
              </StlOvlyProps>
              <BdrOvlys>
                <BdrOvly>
                  <BdrOvlyProps>
                    <PT>1</PT>
                    <SON>5</SON>
                    <CBPLI/>
                    <FCN>0</FCN>
                    <I>True</I>
                    <BI>9</BI>
                    <LS>-4115</LS>
                    <W>2</W>
                  </BdrOvlyProps>
                </BdrOvly>
              </BdrOvlys>
            </StlOvly>
            <StlOvly>
              <StlOvlyProps>
                <SON>6</SON>
                <INF>True</INF>
                <NT>0</NT>
                <DP>0</DP>
                <CNF><![CDATA[_(#,##0.0_);(#,##0.0);_-"-"_-]]></CNF>
              </StlOvlyProps>
              <FntOvly>
                <FntOvlyProps>
                  <PT>1</PT>
                  <SON>6</SON>
                  <CBPLI>0,0,0,0,0</CBPLI>
                  <FCN>0</FCN>
                  <CN>0</CN>
                  <IB>True</IB>
                  <B>True</B>
                </FntOvlyProps>
              </FntOvly>
              <BdrOvlys>
                <BdrOvly>
                  <BdrOvlyProps>
                    <PT>1</PT>
                    <SON>6</SON>
                    <CBPLI/>
                    <FCN>0</FCN>
                    <I>True</I>
                    <BI>10</BI>
                    <LS>1</LS>
                    <W>2</W>
                  </BdrOvlyProps>
                </BdrOvly>
              </BdrOvlys>
            </StlOvly>
            <StlOvly>
              <StlOvlyProps>
                <SON>7</SON>
                <INF>True</INF>
                <NT>0</NT>
                <DP>0</DP>
                <CNF><![CDATA[_(#,##0.0_);(#,##0.0);_-"-"_-]]></CNF>
              </StlOvlyProps>
            </StlOvly>
            <StlOvly>
              <StlOvlyProps>
                <SON>8</SON>
                <INF>True</INF>
                <NT>-2</NT>
                <DP>0</DP>
                <CNF><![CDATA[_(#,##0_);(#,##0);_("-"_);_)@_)]]></CNF>
              </StlOvlyProps>
            </StlOvly>
          </StlOvlys>
          <ModComps>
            <ModComp>
              <ModCompProps>
                <MN>42</MN>
                <MCN>1</MCN>
                <MCTK>BaseCase</MCTK>
                <RT><![CDATA[<ModuleName> - Assumptions]]></RT>
                <ERN>MODMC37</ERN>
                <MCST>1</MCST>
                <IPMC>False</IPMC>
                <SN>13</SN>
                <LODS>False</LODS>
                <LST>False</LST>
                <RSTF>False</RSTF>
                <STRA>0</STRA>
                <HS>False</HS>
                <IBOA>0</IBOA>
                <IB>True</IB>
                <CI/>
                <PTI/>
                <PTP>False</PTP>
                <PTD><![CDATA[Monthly time series periods.]]></PTD>
                <PTMCN>4</PTMCN>
                <CROL>0</CROL>
                <CCOL>0</CCOL>
                <AMFN>0</AMFN>
              </ModCompProps>
              <Sects>
                <Sect>
                  <SectProps>
                    <LI>1,1</LI>
                    <EGN>0</EGN>
                  </SectProps>
                  <Elmts>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41</CTHN>
                                <ST>4</ST>
                                <VOFFF><![CDATA[<ModuleName>]]></VOFFF>
                              </ClmnBlkPtProps>
                              <RgeNmes>
                                <RgeNme>
                                  <RgeNmeProps>
                                    <CBPLI>1,1,2,1,1</CBPLI>
                                    <MCN>1</MCN>
                                    <SN>1</SN>
                                    <EN>2</EN>
                                    <CN>0</CN>
                                    <CBN>1</CBN>
                                    <CBPN>1</CBPN>
                                    <PT>1</PT>
                                    <CBPRNT>6</CBPRNT>
                                    <NT>-1</NT>
                                    <SP1><![CDATA[Name]]></SP1>
                                    <SP2/>
                                    <FFF/>
                                    <CMT/>
                                  </RgeNmeProps>
                                </RgeNme>
                              </RgeNmes>
                              <LnkInForms>
                                <LnkInForm>
                                  <LnkInFormProps>
                                    <CBPLI>1,1,2,1,1</CBPLI>
                                    <ELN>1</ELN>
                                    <FFF><![CDATA[=§A¿10,FALSE,0,1,0,FALSE§Z¿]]></FFF>
                                  </LnkInFormProps>
                                </LnkInForm>
                              </LnkInForm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1</R>
                        </TtlCtgProps>
                        <LnkIn>
                          <LnkInProps>
                            <MN>42</MN>
                            <CLI>1,1,2,True,0</CLI>
                            <ELN>1</ELN>
                            <LOOT>0</LOOT>
                            <LOMN>3</LOMN>
                            <LOMCN>1</LOMCN>
                            <LOSN>1</LOSN>
                            <LOEN>40</LOEN>
                            <LOCN>1</LOCN>
                          </LnkInProps>
                        </LnkIn>
                      </TtlCtg>
                      <ElmtLnksIn>
                        <ElmtLnk>
                          <ElmtLnkProps>
                            <ELI>1,1,2</ELI>
                            <ELN>1</ELN>
                            <ELGN>1</ELGN>
                            <MLG>E9ABB77D-32EE-4CFD-BADD-AF64AF3B6FE7</MLG>
                            <ICBI>1</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LnkInForms>
                                <LnkInForm>
                                  <LnkInFormProps>
                                    <CBPLI>1,1,4,1,1</CBPLI>
                                    <ELN>1</ELN>
                                    <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LnkInForms>
                                <LnkInForm>
                                  <LnkInFormProps>
                                    <CBPLI>1,1,4,2,1</CBPLI>
                                    <ELN>1</ELN>
                                    <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8,2,1,-1,0,0,FALSE,FALSE§Z¿)]]></VOFFF>
                              </ClmnBlkPtProps>
                              <LnkInForms>
                                <LnkInForm>
                                  <LnkInFormProps>
                                    <CBPLI>1,1,4,3,1</CBPLI>
                                    <ELN>1</ELN>
                                    <FFF><![CDATA[=IF(§A¿9,4,1,0,1,6,3,1,-1,0,0,TRUE,FALSE§Z¿=1,§A¿10,FALSE,0,2,0,FALSE§Z¿,§A¿0,1,0,1,8,2,1,-1,0,0,FALSE,FALSE§Z¿)]]></FFF>
                                  </LnkInFormProps>
                                </LnkInForm>
                              </LnkInForms>
                            </ClmnBlkPt>
                          </ClmnBlkPts>
                        </ClmnBlk>
                      </ClmnBlks>
                      <TtlCtg>
                        <TtlCtgProps>
                          <R>1</R>
                        </TtlCtgProps>
                        <LnkIn>
                          <LnkInProps>
                            <MN>42</MN>
                            <CLI>1,1,4,True,0</CLI>
                            <ELN>1</ELN>
                            <LOOT>0</LOOT>
                            <LOMN>3</LOMN>
                            <LOMCN>1</LOMCN>
                            <LOSN>1</LOSN>
                            <LOEN>40</LOEN>
                            <LOCN>1</LOCN>
                          </LnkInProps>
                        </LnkIn>
                      </TtlCtg>
                      <ElmtLnksOut>
                        <ElmtLnk>
                          <ElmtLnkProps>
                            <ELI>1,1,4</ELI>
                            <ELN>1</ELN>
                            <ELGN>1</ELGN>
                            <MLG>98B6BC67-FB49-4346-88A9-FEE1F64B8FD7</MLG>
                            <ICBI>2,3</ICBI>
                            <ILBN>1,2</ILBN>
                            <LIBN>0</LIBN>
                          </ElmtLnkProps>
                        </ElmtLnk>
                      </ElmtLnksOut>
                      <ElmtLnksIn>
                        <ElmtLnk>
                          <ElmtLnkProps>
                            <ELI>1,1,4</ELI>
                            <ELN>1</ELN>
                            <ELGN>1</ELGN>
                            <MLG>E9ABB77D-32EE-4CFD-BADD-AF64AF3B6FE7</MLG>
                            <ICBI>3</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rawdowns]]></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8</SON>
                                <VOFFF><![CDATA[0]]></VOFFF>
                                <UDAV><![CDATA[0]]></UDAV>
                              </ClmnBlkPtProps>
                              <Vdtn>
                                <VdtnProps>
                                  <CBPLI>1,1,5,3,1</CBPLI>
                                  <ADVT>0</ADVT>
                                  <VT>7</VT>
                                </VdtnProps>
                              </Vdtn>
                            </ClmnBlkPt>
                          </ClmnBlkPts>
                        </ClmnBlk>
                      </ClmnBlks>
                      <TtlCtg>
                        <TtlCtgProps>
                          <R>1</R>
                        </TtlCtgProps>
                      </TtlCtg>
                      <ElmtLnksOut>
                        <ElmtLnk>
                          <ElmtLnkProps>
                            <ELI>1,1,5</ELI>
                            <ELN>1</ELN>
                            <ELGN>1</ELGN>
                            <MLG>CD54AFFC-385F-4FFD-ADA7-9E42D002FA05</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Re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1,1,6,2,1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Repayment (Negated)]]></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6,2,1,-1,0,0,FALSE,FALSE§Z¿]]></VOFFF>
                              </ClmnBlkPtProps>
                            </ClmnBlkPt>
                          </ClmnBlkPts>
                        </ClmnBlk>
                      </ClmnBlks>
                      <TtlCtg>
                        <TtlCtgProps>
                          <R>3</R>
                        </TtlCtgProps>
                      </TtlCtg>
                      <ElmtLnksOut>
                        <ElmtLnk>
                          <ElmtLnkProps>
                            <ELI>1,1,7</ELI>
                            <ELN>1</ELN>
                            <ELGN>1</ELGN>
                            <MLG>406A587D-3812-4BD6-A5D5-FE775926562B</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4,3,1,-1,0,0,FALSE,FALSE§Z¿+§A¿0,1,0,1,5,3,1,-1,0,0,FALSE,FALSE§Z¿+§A¿0,1,0,1,7,3,1,-1,0,0,FALSE,FALSE§Z¿]]></VOFFF>
                              </ClmnBlkPtProps>
                            </ClmnBlkPt>
                          </ClmnBlkPts>
                        </ClmnBlk>
                      </ClmnBlks>
                      <TtlCtg>
                        <TtlCtgProps>
                          <R>1</R>
                        </TtlCtgProps>
                      </TtlCtg>
                      <ElmtLnksOut>
                        <ElmtLnk>
                          <ElmtLnkProps>
                            <ELI>1,1,8</ELI>
                            <ELN>1</ELN>
                            <ELGN>1</ELGN>
                            <MLG>EA9758E3-33D7-4F4A-B609-556156A27C5A</MLG>
                            <ICBI>2,3</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terest Payable]]></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l-In Interest Rate (% p.a.)]]></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3</SON>
                                <VOFFF><![CDATA[0]]></VOFFF>
                                <UDAV><![CDATA[0]]></UDAV>
                              </ClmnBlkPtProps>
                              <Vdtn>
                                <VdtnProps>
                                  <CBPLI>1,1,11,2,1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l-In Interest Rate (% p.m.)]]></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3</SON>
                                <VOFFF><![CDATA[=§A¿0,1,0,1,11,2,1,-1,0,0,FALSE,FALSE§Z¿/§A¿7,2,2,1,14,7,1,1,1§Z¿]]></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17,2,1,-1,0,0,FALSE,FALSE§Z¿)]]></VOFFF>
                              </ClmnBlkPtProps>
                            </ClmnBlkPt>
                          </ClmnBlkPts>
                        </ClmnBlk>
                      </ClmnBlks>
                      <TtlCtg>
                        <TtlCtgProps>
                          <R>1</R>
                        </TtlCtgProps>
                      </TtlCtg>
                      <ElmtLnksOut>
                        <ElmtLnk>
                          <ElmtLnkProps>
                            <ELI>1,1,14</ELI>
                            <ELN>1</ELN>
                            <ELGN>1</ELGN>
                            <MLG>1821545E-81DF-4040-8184-DE69BD4B7732</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Expens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4,3,1,-1,0,0,FALSE,FALSE§Z¿*§A¿0,1,0,1,12,2,1,-1,0,0,FALSE,FALSE§Z¿]]></VOFFF>
                              </ClmnBlkPtProps>
                            </ClmnBlkPt>
                          </ClmnBlkPts>
                        </ClmnBlk>
                      </ClmnBlks>
                      <TtlCtg>
                        <TtlCtgProps>
                          <R>1</R>
                        </TtlCtgProps>
                      </TtlCtg>
                      <ElmtLnksOut>
                        <ElmtLnk>
                          <ElmtLnkProps>
                            <ELI>1,1,15</ELI>
                            <ELN>1</ELN>
                            <ELGN>1</ELGN>
                            <MLG>36FA5469-50EF-4767-99F9-918D69AA57FD</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Paid]]></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5,3,1,-1,0,0,FALSE,FALSE§Z¿]]></VOFFF>
                              </ClmnBlkPtProps>
                            </ClmnBlkPt>
                          </ClmnBlkPts>
                        </ClmnBlk>
                      </ClmnBlks>
                      <TtlCtg>
                        <TtlCtgProps>
                          <R>1</R>
                        </TtlCtgProps>
                      </TtlCtg>
                      <ElmtLnksOut>
                        <ElmtLnk>
                          <ElmtLnkProps>
                            <ELI>1,1,16</ELI>
                            <ELN>1</ELN>
                            <ELGN>1</ELGN>
                            <MLG>BEFDB4F8-ED4F-4CFA-A92F-B42B38873EC3</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SUM(§A¿0,1,1,1,14,3,1,-1,0,0,FALSE,FALSE,1,16,3,1,-1,0,0,FALSE,FALSE§Z¿)]]></VOFFF>
                              </ClmnBlkPtProps>
                            </ClmnBlkPt>
                          </ClmnBlkPts>
                        </ClmnBlk>
                      </ClmnBlks>
                      <TtlCtg>
                        <TtlCtgProps>
                          <R>1</R>
                        </TtlCtgProps>
                      </TtlCtg>
                      <ElmtLnksOut>
                        <ElmtLnk>
                          <ElmtLnkProps>
                            <ELI>1,1,17</ELI>
                            <ELN>1</ELN>
                            <ELGN>1</ELGN>
                            <MLG>4BD1B537-DA53-4B26-9D61-FC53EF89A265</MLG>
                            <ICBI>2,3</ICBI>
                            <ILBN>1,2</ILBN>
                            <LIBN>0</LIBN>
                          </ElmtLnkProps>
                        </ElmtLnk>
                      </ElmtLnksOut>
                    </Elmt>
                    <Elmt>
                      <ElmtProps>
                        <CPT>2</CPT>
                      </ElmtProp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SUM(§A¿0,1,0,1,8,3,1,-1,0,0,FALSE,FALSE§Z¿,§A¿0,1,0,1,17,3,1,-1,0,0,FALSE,FALSE§Z¿)),1,0)]]></VOFFF>
                              </ClmnBlkPtProps>
                              <FmtCnds>
                                <FmtCnd>
                                  <FmtCndProps>
                                    <CBPLI>1,1,19,2,1</CBPLI>
                                    <FCN>1</FCN>
                                    <FCT>1</FCT>
                                    <FCO>4</FCO>
                                    <F1FFF><![CDATA[=0]]></F1FFF>
                                    <F2FFF/>
                                    <SIT>False</SIT>
                                    <BSV>True</BSV>
                                    <BCT>0</BCT>
                                    <CNBCN>0</CNBCN>
                                    <BTAS>0</BTAS>
                                    <IST>1</IST>
                                    <RO>False</RO>
                                    <SIO>False</SIO>
                                    <TO>0</TO>
                                    <TS/>
                                    <DO>1</DO>
                                    <TB>1</TB>
                                    <R>10</R>
                                    <P>False</P>
                                    <AB>0</AB>
                                    <NSD>1</NSD>
                                    <DU>1</DU>
                                    <INF>False</INF>
                                    <NT>0</NT>
                                    <DP>0</DP>
                                    <CNF/>
                                  </FmtCndProps>
                                  <FntOvly>
                                    <FntOvlyProps>
                                      <PT>2</PT>
                                      <SON>0</SON>
                                      <CBPLI>1,1,19,2,1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Funds Drawn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19,2,1,-1,0,0,FALSE,FALSE§Z¿<>0,0,IF(ROUND(§A¿0,1,0,1,4,3,1,-1,0,0,FALSE,FALSE§Z¿+§A¿0,1,0,1,5,3,1,-1,0,0,FALSE,FALSE§Z¿+§A¿0,1,0,1,7,3,1,-1,0,0,FALSE,FALSE§Z¿-§A¿0,1,0,1,8,3,1,-1,0,0,FALSE,FALSE§Z¿,5)<>0,1,0))]]></VOFFF>
                              </ClmnBlkPtProps>
                              <FmtCnds>
                                <FmtCnd>
                                  <FmtCndProps>
                                    <CBPLI>1,1,20,2,1</CBPLI>
                                    <FCN>1</FCN>
                                    <FCT>1</FCT>
                                    <FCO>4</FCO>
                                    <F1FFF><![CDATA[=0]]></F1FFF>
                                    <F2FFF/>
                                    <SIT>False</SIT>
                                    <BSV>True</BSV>
                                    <BCT>0</BCT>
                                    <CNBCN>0</CNBCN>
                                    <BTAS>0</BTAS>
                                    <IST>1</IST>
                                    <RO>False</RO>
                                    <SIO>False</SIO>
                                    <TO>0</TO>
                                    <TS/>
                                    <DO>1</DO>
                                    <TB>1</TB>
                                    <R>10</R>
                                    <P>False</P>
                                    <AB>0</AB>
                                    <NSD>1</NSD>
                                    <DU>1</DU>
                                    <INF>False</INF>
                                    <NT>0</NT>
                                    <DP>0</DP>
                                    <CNF/>
                                  </FmtCndProps>
                                  <FntOvly>
                                    <FntOvlyProps>
                                      <PT>2</PT>
                                      <SON>0</SON>
                                      <CBPLI>1,1,20,2,1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est Payable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19,2,1,-1,0,0,FALSE,FALSE§Z¿<>0,0,IF(ROUND(§A¿0,1,0,1,14,3,1,-1,0,0,FALSE,FALSE§Z¿+§A¿0,1,0,1,15,3,1,-1,0,0,FALSE,FALSE§Z¿+§A¿0,1,0,1,16,3,1,-1,0,0,FALSE,FALSE§Z¿-§A¿0,1,0,1,17,3,1,-1,0,0,FALSE,FALSE§Z¿,5)<>0,1,0))]]></VOFFF>
                              </ClmnBlkPtProps>
                              <FmtCnds>
                                <FmtCnd>
                                  <FmtCndProps>
                                    <CBPLI>1,1,21,2,1</CBPLI>
                                    <FCN>1</FCN>
                                    <FCT>1</FCT>
                                    <FCO>4</FCO>
                                    <F1FFF><![CDATA[=0]]></F1FFF>
                                    <F2FFF/>
                                    <SIT>False</SIT>
                                    <BSV>True</BSV>
                                    <BCT>0</BCT>
                                    <CNBCN>0</CNBCN>
                                    <BTAS>0</BTAS>
                                    <IST>1</IST>
                                    <RO>False</RO>
                                    <SIO>False</SIO>
                                    <TO>0</TO>
                                    <TS/>
                                    <DO>1</DO>
                                    <TB>1</TB>
                                    <R>10</R>
                                    <P>False</P>
                                    <AB>0</AB>
                                    <NSD>1</NSD>
                                    <DU>1</DU>
                                    <INF>False</INF>
                                    <NT>0</NT>
                                    <DP>0</DP>
                                    <CNF/>
                                  </FmtCndProps>
                                  <FntOvly>
                                    <FntOvlyProps>
                                      <PT>2</PT>
                                      <SON>0</SON>
                                      <CBPLI>1,1,21,2,1</CBPLI>
                                      <FCN>1</FCN>
                                      <CN>0</CN>
                                      <IB>True</IB>
                                      <IC>True</IC>
                                      <B>True</B>
                                      <CT>2</CT>
                                      <CNU>3</CNU>
                                      <CPR>0</CPR>
                                      <TAS>0</TAS>
                                    </FntOvlyProps>
                                  </F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6</SON>
                                <VOFFF><![CDATA[=IF(ISERROR(SUM(§A¿0,1,1,1,22,3,1,-1,0,0,FALSE,FALSE,1,22,3,1,-1,1,0,FALSE,FALSE§Z¿)),1,MIN(SUM(§A¿0,1,1,1,22,3,1,-1,0,0,FALSE,FALSE,1,22,3,1,-1,1,0,FALSE,FALSE§Z¿),1))]]></VOFFF>
                              </ClmnBlkPtProps>
                              <Chk>
                                <ChkProps>
                                  <CBPLI>1,1,22,2,1</CBPLI>
                                  <CT>0</CT>
                                  <CN>23</CN>
                                  <HST>1</HST>
                                  <CHT/>
                                  <HCBPLI>1,1,2,1,1</HCBPLI>
                                </ChkProps>
                              </Chk>
                              <Cmts>
                                <Cmt>
                                  <CmtProps>
                                    <CBPLI>1,1,22,2,1</CBPLI>
                                    <WRN>1</WRN>
                                    <ERT>5</ERT>
                                    <COSTN>0</COSTN>
                                    <OC>0</OC>
                                    <HT><![CDATA[Error Check]]></HT>
                                    <HFS>0</HFS>
                                    <BT><![CDATA[Flags the existence of errors.]]></BT>
                                    <BFS>0</BFS>
                                    <H>62</H>
                                    <W>128</W>
                                  </CmtProps>
                                </Cmt>
                                <Cmt>
                                  <CmtProps>
                                    <CBPLI>1,1,22,2,1</CBPLI>
                                    <WRN>2</WRN>
                                    <ERT>5</ERT>
                                    <COSTN>0</COSTN>
                                    <OC>0</OC>
                                    <HT><![CDATA[Error Check]]></HT>
                                    <BT><![CDATA[Flags the existence of errors.]]></BT>
                                  </CmtProps>
                                </Cmt>
                                <Cmt>
                                  <CmtProps>
                                    <CBPLI>1,1,22,2,1</CBPLI>
                                    <WRN>3</WRN>
                                    <ERT>5</ERT>
                                    <COSTN>0</COSTN>
                                    <OC>0</OC>
                                    <HT><![CDATA[Error Check]]></HT>
                                    <BT><![CDATA[Flags the existence of errors.]]></BT>
                                  </CmtProps>
                                </Cmt>
                              </Cmts>
                              <FmtCnds>
                                <FmtCnd>
                                  <FmtCndProps>
                                    <CBPLI>1,1,22,2,1</CBPLI>
                                    <FCN>1</FCN>
                                    <FCT>1</FCT>
                                    <FCO>4</FCO>
                                    <F1FFF><![CDATA[=0]]></F1FFF>
                                    <F2FFF/>
                                    <SIT>False</SIT>
                                    <BSV>True</BSV>
                                    <BCT>0</BCT>
                                    <CNBCN>0</CNBCN>
                                    <BTAS>0</BTAS>
                                    <IST>1</IST>
                                    <RO>False</RO>
                                    <SIO>False</SIO>
                                    <TO>0</TO>
                                    <TS/>
                                    <DO>1</DO>
                                    <TB>1</TB>
                                    <R>10</R>
                                    <P>False</P>
                                    <AB>0</AB>
                                    <NSD>1</NSD>
                                    <DU>1</DU>
                                    <INF>False</INF>
                                    <NT>0</NT>
                                    <DP>0</DP>
                                    <CNF/>
                                  </FmtCndProps>
                                  <FntOvly>
                                    <FntOvlyProps>
                                      <PT>2</PT>
                                      <SON>0</SON>
                                      <CBPLI>1,1,22,2,1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7</SON>
                                <VOFFF><![CDATA[=MIN(SUM(§A¿0,1,1,1,19,2,1,-1,0,0,FALSE,FALSE,1,21,2,1,-1,0,0,FALSE,FALSE§Z¿),1)]]></VOFFF>
                              </ClmnBlkPtProps>
                              <FmtCnds>
                                <FmtCnd>
                                  <FmtCndProps>
                                    <CBPLI>1,1,22,3,1</CBPLI>
                                    <FCN>1</FCN>
                                    <FCT>1</FCT>
                                    <FCO>4</FCO>
                                    <F1FFF><![CDATA[=0]]></F1FFF>
                                    <F2FFF/>
                                    <SIT>False</SIT>
                                    <BSV>True</BSV>
                                    <BCT>0</BCT>
                                    <CNBCN>0</CNBCN>
                                    <BTAS>0</BTAS>
                                    <IST>1</IST>
                                    <RO>False</RO>
                                    <SIO>False</SIO>
                                    <TO>0</TO>
                                    <TS/>
                                    <DO>1</DO>
                                    <TB>1</TB>
                                    <R>10</R>
                                    <P>False</P>
                                    <AB>0</AB>
                                    <NSD>1</NSD>
                                    <DU>1</DU>
                                    <INF>False</INF>
                                    <NT>0</NT>
                                    <DP>0</DP>
                                    <CNF/>
                                  </FmtCndProps>
                                  <FntOvly>
                                    <FntOvlyProps>
                                      <PT>2</PT>
                                      <SON>0</SON>
                                      <CBPLI>1,1,22,3,1</CBPLI>
                                      <FCN>1</FCN>
                                      <CN>0</CN>
                                      <IB>True</IB>
                                      <IC>True</IC>
                                      <B>True</B>
                                      <CT>2</CT>
                                      <CNU>3</CNU>
                                      <CPR>0</CPR>
                                      <TAS>0</TAS>
                                    </FntOvlyProps>
                                  </FntOvly>
                                </FmtCnd>
                              </FmtCnds>
                            </ClmnBlkPt>
                          </ClmnBlkPts>
                        </ClmnBlk>
                      </ClmnBlks>
                      <TtlCtg>
                        <TtlCtgProps>
                          <R>1</R>
                        </TtlCtgProps>
                      </TtlCtg>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los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22,3,1,-1,0,0,FALSE,FALSE§Z¿<>0,0,IF(ROUND(MIN(§A¿0,1,0,1,8,3,1,-1,0,0,FALSE,FALSE§Z¿),5)<0,1,0))]]></VOFFF>
                              </ClmnBlkPtProps>
                              <FmtCnds>
                                <FmtCnd>
                                  <FmtCndProps>
                                    <CBPLI>1,1,24,2,1</CBPLI>
                                    <FCN>1</FCN>
                                    <FCT>1</FCT>
                                    <FCO>4</FCO>
                                    <F1FFF><![CDATA[=0]]></F1FFF>
                                    <F2FFF/>
                                    <SIT>False</SIT>
                                    <BSV>True</BSV>
                                    <BCT>0</BCT>
                                    <CNBCN>0</CNBCN>
                                    <BTAS>0</BTAS>
                                    <IST>1</IST>
                                    <RO>False</RO>
                                    <SIO>False</SIO>
                                    <TO>0</TO>
                                    <TS/>
                                    <DO>1</DO>
                                    <TB>1</TB>
                                    <R>10</R>
                                    <P>False</P>
                                    <AB>0</AB>
                                    <NSD>1</NSD>
                                    <DU>1</DU>
                                    <INF>False</INF>
                                    <NT>0</NT>
                                    <DP>0</DP>
                                    <CNF/>
                                  </FmtCndProps>
                                  <FntOvly>
                                    <FntOvlyProps>
                                      <PT>2</PT>
                                      <SON>0</SON>
                                      <CBPLI>1,1,24,2,1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losing Interes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22,3,1,-1,0,0,FALSE,FALSE§Z¿<>0,0,IF(ROUND(MIN(§A¿0,1,0,1,17,3,1,-1,0,0,FALSE,FALSE§Z¿),5)<0,1,0))]]></VOFFF>
                              </ClmnBlkPtProps>
                              <FmtCnds>
                                <FmtCnd>
                                  <FmtCndProps>
                                    <CBPLI>1,1,25,2,1</CBPLI>
                                    <FCN>1</FCN>
                                    <FCT>1</FCT>
                                    <FCO>4</FCO>
                                    <F1FFF><![CDATA[=0]]></F1FFF>
                                    <F2FFF/>
                                    <SIT>False</SIT>
                                    <BSV>True</BSV>
                                    <BCT>0</BCT>
                                    <CNBCN>0</CNBCN>
                                    <BTAS>0</BTAS>
                                    <IST>1</IST>
                                    <RO>False</RO>
                                    <SIO>False</SIO>
                                    <TO>0</TO>
                                    <TS/>
                                    <DO>1</DO>
                                    <TB>1</TB>
                                    <R>10</R>
                                    <P>False</P>
                                    <AB>0</AB>
                                    <NSD>1</NSD>
                                    <DU>1</DU>
                                    <INF>False</INF>
                                    <NT>0</NT>
                                    <DP>0</DP>
                                    <CNF/>
                                  </FmtCndProps>
                                  <FntOvly>
                                    <FntOvlyProps>
                                      <PT>2</PT>
                                      <SON>0</SON>
                                      <CBPLI>1,1,25,2,1</CBPLI>
                                      <FCN>1</FCN>
                                      <CN>0</CN>
                                      <IB>True</IB>
                                      <IC>True</IC>
                                      <B>True</B>
                                      <CT>2</CT>
                                      <CNU>3</CNU>
                                      <CPR>0</CPR>
                                      <TAS>0</TAS>
                                    </FntOvlyProps>
                                  </F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6</SON>
                                <VOFFF><![CDATA[=IF(ISERROR(SUM(§A¿0,1,1,1,26,3,1,-1,0,0,FALSE,FALSE,1,26,3,1,-1,1,0,FALSE,FALSE§Z¿)),1,MIN(SUM(§A¿0,1,1,1,26,3,1,-1,0,0,FALSE,FALSE,1,26,3,1,-1,1,0,FALSE,FALSE§Z¿),1))]]></VOFFF>
                              </ClmnBlkPtProps>
                              <Chk>
                                <ChkProps>
                                  <CBPLI>1,1,26,2,1</CBPLI>
                                  <CT>2</CT>
                                  <CN>5</CN>
                                  <HST>1</HST>
                                  <CHT/>
                                  <HCBPLI>1,1,2,1,1</HCBPLI>
                                </ChkProps>
                              </Chk>
                              <Cmts>
                                <Cmt>
                                  <CmtProps>
                                    <CBPLI>1,1,26,2,1</CBPLI>
                                    <WRN>1</WRN>
                                    <ERT>5</ERT>
                                    <COSTN>0</COSTN>
                                    <OC>0</OC>
                                    <HT><![CDATA[Alert Check]]></HT>
                                    <HFS>0</HFS>
                                    <BT><![CDATA[Flags the occurrence of designated events.]]></BT>
                                    <BFS>0</BFS>
                                    <H>14</H>
                                    <W>128</W>
                                  </CmtProps>
                                </Cmt>
                                <Cmt>
                                  <CmtProps>
                                    <CBPLI>1,1,26,2,1</CBPLI>
                                    <WRN>2</WRN>
                                    <ERT>5</ERT>
                                    <COSTN>0</COSTN>
                                    <OC>0</OC>
                                    <HT><![CDATA[Alert Check]]></HT>
                                    <BT><![CDATA[Flags the occurrence of designated events.]]></BT>
                                  </CmtProps>
                                </Cmt>
                                <Cmt>
                                  <CmtProps>
                                    <CBPLI>1,1,26,2,1</CBPLI>
                                    <WRN>3</WRN>
                                    <ERT>5</ERT>
                                    <COSTN>0</COSTN>
                                    <OC>0</OC>
                                    <HT><![CDATA[Alert Check]]></HT>
                                    <BT><![CDATA[Flags the occurrence of designated events.]]></BT>
                                  </CmtProps>
                                </Cmt>
                              </Cmts>
                              <FmtCnds>
                                <FmtCnd>
                                  <FmtCndProps>
                                    <CBPLI>1,1,26,2,1</CBPLI>
                                    <FCN>1</FCN>
                                    <FCT>1</FCT>
                                    <FCO>4</FCO>
                                    <F1FFF><![CDATA[=0]]></F1FFF>
                                    <F2FFF/>
                                    <SIT>False</SIT>
                                    <BSV>True</BSV>
                                    <BCT>0</BCT>
                                    <CNBCN>0</CNBCN>
                                    <BTAS>0</BTAS>
                                    <IST>1</IST>
                                    <RO>False</RO>
                                    <SIO>False</SIO>
                                    <TO>0</TO>
                                    <TS/>
                                    <DO>1</DO>
                                    <TB>1</TB>
                                    <R>10</R>
                                    <P>False</P>
                                    <AB>0</AB>
                                    <NSD>1</NSD>
                                    <DU>1</DU>
                                    <INF>False</INF>
                                    <NT>0</NT>
                                    <DP>0</DP>
                                    <CNF/>
                                  </FmtCndProps>
                                  <FntOvly>
                                    <FntOvlyProps>
                                      <PT>2</PT>
                                      <SON>0</SON>
                                      <CBPLI>1,1,26,2,1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7</SON>
                                <VOFFF><![CDATA[=MIN(SUM(§A¿0,1,1,1,24,2,1,-1,0,0,FALSE,FALSE,1,25,2,1,-1,0,0,FALSE,FALSE§Z¿),1)]]></VOFFF>
                              </ClmnBlkPtProps>
                              <FmtCnds>
                                <FmtCnd>
                                  <FmtCndProps>
                                    <CBPLI>1,1,26,3,1</CBPLI>
                                    <FCN>1</FCN>
                                    <FCT>1</FCT>
                                    <FCO>4</FCO>
                                    <F1FFF><![CDATA[=0]]></F1FFF>
                                    <F2FFF/>
                                    <SIT>False</SIT>
                                    <BSV>True</BSV>
                                    <BCT>0</BCT>
                                    <CNBCN>0</CNBCN>
                                    <BTAS>0</BTAS>
                                    <IST>1</IST>
                                    <RO>False</RO>
                                    <SIO>False</SIO>
                                    <TO>0</TO>
                                    <TS/>
                                    <DO>1</DO>
                                    <TB>1</TB>
                                    <R>10</R>
                                    <P>False</P>
                                    <AB>0</AB>
                                    <NSD>1</NSD>
                                    <DU>1</DU>
                                    <INF>False</INF>
                                    <NT>0</NT>
                                    <DP>0</DP>
                                    <CNF/>
                                  </FmtCndProps>
                                  <FntOvly>
                                    <FntOvlyProps>
                                      <PT>2</PT>
                                      <SON>0</SON>
                                      <CBPLI>1,1,26,3,1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Debt]]></P>
            <OI>100</OI>
            <MN>2</MN>
            <MAG>68F61C56-4299-4FA4-9517-F2F96409D6DE</MAG>
            <BN><![CDATA[Debt Facility]]></BN>
            <N><![CDATA[CAPEX Grant]]></N>
            <TS><![CDATA[Monthly]]></TS>
            <D><![CDATA[Calculates debt and interest payable balances for a single debt facility over a number of time series periods.]]></D>
            <FS><![CDATA[Debt balances are calculated based on assumed drawdowns and repayments in each time series period.&#10;Interest expense is calculated based on assumed all-in interest rates being applied to opening debt balances in each time series period, with interest paid assumed to equal interest expense.]]></FS>
            <R><![CDATA[Any]]></R>
            <GE><![CDATA[Debt Facility]]></GE>
            <CA><![CDATA[Balances Amounts, All-In Rates]]></CA>
            <VA><![CDATA[Single Component]]></VA>
            <GST><![CDATA[None]]></GST>
            <DE><![CDATA[Modano]]></DE>
            <E><![CDATA[info@modano.com]]></E>
            <C><![CDATA[Modano]]></C>
            <W><![CDATA[www.modano.com]]></W>
            <K/>
            <CO/>
            <V>10.16.1.0.</V>
            <AX>2</AX>
            <SX/>
            <PMLO>False</PMLO>
            <IPMLO>False</IPMLO>
            <MACA>1</MACA>
            <HP>False</HP>
            <DR>False</DR>
            <RTSM>True</RTSM>
            <CC>False</CC>
            <X>False</X>
            <G>AF6D01AE-BB4F-4070-A051-A8B678FC6A6D</G>
          </ModProps>
          <RowStgs>
            <RowStg>
              <RowStgProps>
                <RSN>1</RSN>
                <RHST>0</RHST>
                <HS>0</HS>
                <OL>2</OL>
                <RH>False</RH>
              </RowStgProps>
            </RowStg>
            <RowStg>
              <RowStgProps>
                <RSN>2</RSN>
                <RHST>1</RHST>
                <HS>50</HS>
                <OL>2</OL>
                <RH>False</RH>
              </RowStgProps>
            </RowStg>
            <RowStg>
              <RowStgProps>
                <RSN>3</RSN>
                <RHST>0</RHST>
                <HS>0</HS>
                <OL>3</OL>
                <RH>True</RH>
              </RowStgProps>
            </RowStg>
            <RowStg>
              <RowStgProps>
                <RSN>4</RSN>
                <RHST>1</RHST>
                <HS>50</HS>
                <OL>3</OL>
                <RH>True</RH>
              </RowStgProps>
            </RowStg>
          </RowStgs>
          <StlOvlys>
            <StlOvly>
              <StlOvlyProps>
                <SON>1</SON>
              </StlOvlyProps>
              <FntOvly>
                <FntOvlyProps>
                  <PT>1</PT>
                  <SON>1</SON>
                  <CBPLI>0,0,0,0,0</CBPLI>
                  <FCN>0</FCN>
                  <CN>0</CN>
                  <II>True</II>
                  <IC>True</IC>
                  <I>True</I>
                  <CT>-3</CT>
                  <CNU>3</CNU>
                  <CPR>15132391</CPR>
                  <TAS>0</TAS>
                </FntOvlyProps>
              </FntOvly>
            </StlOvly>
            <StlOvly>
              <StlOvlyProps>
                <SON>2</SON>
              </StlOvlyProps>
              <FntOvly>
                <FntOvlyProps>
                  <PT>1</PT>
                  <SON>2</SON>
                  <CBPLI>0,0,0,0,0</CBPLI>
                  <FCN>0</FCN>
                  <CN>0</CN>
                  <IB>True</IB>
                  <B>True</B>
                </FntOvlyProps>
              </FntOvly>
              <BdrOvlys>
                <BdrOvly>
                  <BdrOvlyProps>
                    <PT>1</PT>
                    <SON>2</SON>
                    <CBPLI/>
                    <FCN>0</FCN>
                    <I>True</I>
                    <BI>8</BI>
                    <LS>1</LS>
                    <W>2</W>
                  </BdrOvlyProps>
                </BdrOvly>
              </BdrOvlys>
            </StlOvly>
            <StlOvly>
              <StlOvlyProps>
                <SON>3</SON>
                <INF>True</INF>
                <NT>1</NT>
                <DP>2</DP>
                <CNF/>
              </StlOvlyProps>
            </StlOvly>
            <StlOvly>
              <StlOvlyProps>
                <SON>4</SON>
                <INF>True</INF>
                <NT>0</NT>
                <DP>0</DP>
                <CNF/>
              </StlOvlyProps>
            </StlOvly>
            <StlOvly>
              <StlOvlyProps>
                <SON>5</SON>
                <INF>True</INF>
                <NT>0</NT>
                <DP>0</DP>
                <CNF/>
              </StlOvlyProps>
              <BdrOvlys>
                <BdrOvly>
                  <BdrOvlyProps>
                    <PT>1</PT>
                    <SON>5</SON>
                    <CBPLI/>
                    <FCN>0</FCN>
                    <I>True</I>
                    <BI>9</BI>
                    <LS>-4115</LS>
                    <W>2</W>
                  </BdrOvlyProps>
                </BdrOvly>
              </BdrOvlys>
            </StlOvly>
            <StlOvly>
              <StlOvlyProps>
                <SON>6</SON>
                <INF>True</INF>
                <NT>0</NT>
                <DP>0</DP>
                <CNF><![CDATA[_(#,##0.0_);(#,##0.0);_-"-"_-]]></CNF>
              </StlOvlyProps>
              <FntOvly>
                <FntOvlyProps>
                  <PT>1</PT>
                  <SON>6</SON>
                  <CBPLI>0,0,0,0,0</CBPLI>
                  <FCN>0</FCN>
                  <CN>0</CN>
                  <IB>True</IB>
                  <B>True</B>
                </FntOvlyProps>
              </FntOvly>
              <BdrOvlys>
                <BdrOvly>
                  <BdrOvlyProps>
                    <PT>1</PT>
                    <SON>6</SON>
                    <CBPLI/>
                    <FCN>0</FCN>
                    <I>True</I>
                    <BI>10</BI>
                    <LS>1</LS>
                    <W>2</W>
                  </BdrOvlyProps>
                </BdrOvly>
              </BdrOvlys>
            </StlOvly>
            <StlOvly>
              <StlOvlyProps>
                <SON>7</SON>
                <INF>True</INF>
                <NT>0</NT>
                <DP>0</DP>
                <CNF><![CDATA[_(#,##0.0_);(#,##0.0);_-"-"_-]]></CNF>
              </StlOvlyProps>
            </StlOvly>
            <StlOvly>
              <StlOvlyProps>
                <SON>8</SON>
                <INF>True</INF>
                <NT>-2</NT>
                <DP>0</DP>
                <CNF><![CDATA[_(#,##0_);(#,##0);_("-"_);_)@_)]]></CNF>
              </StlOvlyProps>
            </StlOvly>
          </StlOvlys>
          <ModComps>
            <ModComp>
              <ModCompProps>
                <MN>43</MN>
                <MCN>1</MCN>
                <MCTK>BaseCase</MCTK>
                <RT><![CDATA[<ModuleName> - Assumptions]]></RT>
                <ERN>MODMC41</ERN>
                <MCST>1</MCST>
                <IPMC>False</IPMC>
                <SN>13</SN>
                <LODS>False</LODS>
                <LST>False</LST>
                <RSTF>False</RSTF>
                <STRA>0</STRA>
                <HS>False</HS>
                <IBOA>0</IBOA>
                <IB>True</IB>
                <CI/>
                <PTI/>
                <PTP>False</PTP>
                <PTD><![CDATA[Monthly time series periods.]]></PTD>
                <PTMCN>4</PTMCN>
                <CROL>0</CROL>
                <CCOL>0</CCOL>
                <AMFN>0</AMFN>
              </ModCompProps>
              <Sects>
                <Sect>
                  <SectProps>
                    <LI>1,1</LI>
                    <EGN>0</EGN>
                  </SectProps>
                  <Elmts>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50</CTHN>
                                <ST>4</ST>
                                <VOFFF><![CDATA[<ModuleName>]]></VOFFF>
                              </ClmnBlkPtProps>
                              <RgeNmes>
                                <RgeNme>
                                  <RgeNmeProps>
                                    <CBPLI>1,1,2,1,1</CBPLI>
                                    <MCN>1</MCN>
                                    <SN>1</SN>
                                    <EN>2</EN>
                                    <CN>0</CN>
                                    <CBN>1</CBN>
                                    <CBPN>1</CBPN>
                                    <PT>1</PT>
                                    <CBPRNT>6</CBPRNT>
                                    <NT>-1</NT>
                                    <SP1><![CDATA[Name]]></SP1>
                                    <SP2/>
                                    <FFF/>
                                    <CMT/>
                                  </RgeNmeProps>
                                </RgeNme>
                              </RgeNmes>
                              <LnkInForms>
                                <LnkInForm>
                                  <LnkInFormProps>
                                    <CBPLI>1,1,2,1,1</CBPLI>
                                    <ELN>1</ELN>
                                    <FFF><![CDATA[=§A¿10,FALSE,0,1,0,FALSE§Z¿]]></FFF>
                                  </LnkInFormProps>
                                </LnkInForm>
                              </LnkInForm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1</R>
                        </TtlCtgProps>
                        <LnkIn>
                          <LnkInProps>
                            <MN>43</MN>
                            <CLI>1,1,2,True,0</CLI>
                            <ELN>1</ELN>
                            <LOOT>0</LOOT>
                            <LOMN>3</LOMN>
                            <LOMCN>1</LOMCN>
                            <LOSN>1</LOSN>
                            <LOEN>40</LOEN>
                            <LOCN>2</LOCN>
                          </LnkInProps>
                        </LnkIn>
                      </TtlCtg>
                      <ElmtLnksIn>
                        <ElmtLnk>
                          <ElmtLnkProps>
                            <ELI>1,1,2</ELI>
                            <ELN>1</ELN>
                            <ELGN>1</ELGN>
                            <MLG>E9ABB77D-32EE-4CFD-BADD-AF64AF3B6FE7</MLG>
                            <ICBI>1</ICBI>
                            <ILBN/>
                            <LIBN>0</LIBN>
                          </ElmtLnkProps>
                        </ElmtLnk>
                      </ElmtLnksIn>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LnkInForms>
                                <LnkInForm>
                                  <LnkInFormProps>
                                    <CBPLI>1,1,4,1,1</CBPLI>
                                    <ELN>1</ELN>
                                    <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LnkInForms>
                                <LnkInForm>
                                  <LnkInFormProps>
                                    <CBPLI>1,1,4,2,1</CBPLI>
                                    <ELN>1</ELN>
                                    <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8,2,1,-1,0,0,FALSE,FALSE§Z¿)]]></VOFFF>
                              </ClmnBlkPtProps>
                              <LnkInForms>
                                <LnkInForm>
                                  <LnkInFormProps>
                                    <CBPLI>1,1,4,3,1</CBPLI>
                                    <ELN>1</ELN>
                                    <FFF><![CDATA[=IF(§A¿9,4,1,0,1,6,3,1,-1,0,0,TRUE,FALSE§Z¿=1,§A¿10,FALSE,0,2,0,FALSE§Z¿,§A¿0,1,0,1,8,2,1,-1,0,0,FALSE,FALSE§Z¿)]]></FFF>
                                  </LnkInFormProps>
                                </LnkInForm>
                              </LnkInForms>
                            </ClmnBlkPt>
                          </ClmnBlkPts>
                        </ClmnBlk>
                      </ClmnBlks>
                      <TtlCtg>
                        <TtlCtgProps>
                          <R>1</R>
                        </TtlCtgProps>
                        <LnkIn>
                          <LnkInProps>
                            <MN>43</MN>
                            <CLI>1,1,4,True,0</CLI>
                            <ELN>1</ELN>
                            <LOOT>0</LOOT>
                            <LOMN>3</LOMN>
                            <LOMCN>1</LOMCN>
                            <LOSN>1</LOSN>
                            <LOEN>40</LOEN>
                            <LOCN>2</LOCN>
                          </LnkInProps>
                        </LnkIn>
                      </TtlCtg>
                      <ElmtLnksOut>
                        <ElmtLnk>
                          <ElmtLnkProps>
                            <ELI>1,1,4</ELI>
                            <ELN>1</ELN>
                            <ELGN>1</ELGN>
                            <MLG>98B6BC67-FB49-4346-88A9-FEE1F64B8FD7</MLG>
                            <ICBI>2,3</ICBI>
                            <ILBN>1,2</ILBN>
                            <LIBN>0</LIBN>
                          </ElmtLnkProps>
                        </ElmtLnk>
                      </ElmtLnksOut>
                      <ElmtLnksIn>
                        <ElmtLnk>
                          <ElmtLnkProps>
                            <ELI>1,1,4</ELI>
                            <ELN>1</ELN>
                            <ELGN>1</ELGN>
                            <MLG>E9ABB77D-32EE-4CFD-BADD-AF64AF3B6FE7</MLG>
                            <ICBI>3</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rawdowns]]></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8</SON>
                                <VOFFF><![CDATA[0]]></VOFFF>
                                <UDAV><![CDATA[0]]></UDAV>
                              </ClmnBlkPtProps>
                              <Vdtn>
                                <VdtnProps>
                                  <CBPLI>1,1,5,3,1</CBPLI>
                                  <ADVT>0</ADVT>
                                  <VT>7</VT>
                                </VdtnProps>
                              </Vdtn>
                            </ClmnBlkPt>
                          </ClmnBlkPts>
                        </ClmnBlk>
                      </ClmnBlks>
                      <TtlCtg>
                        <TtlCtgProps>
                          <R>1</R>
                        </TtlCtgProps>
                      </TtlCtg>
                      <ElmtLnksOut>
                        <ElmtLnk>
                          <ElmtLnkProps>
                            <ELI>1,1,5</ELI>
                            <ELN>1</ELN>
                            <ELGN>1</ELGN>
                            <MLG>CD54AFFC-385F-4FFD-ADA7-9E42D002FA05</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Re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1,1,6,2,1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Repayment (Negated)]]></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6,2,1,-1,0,0,FALSE,FALSE§Z¿]]></VOFFF>
                              </ClmnBlkPtProps>
                            </ClmnBlkPt>
                          </ClmnBlkPts>
                        </ClmnBlk>
                      </ClmnBlks>
                      <TtlCtg>
                        <TtlCtgProps>
                          <R>3</R>
                        </TtlCtgProps>
                      </TtlCtg>
                      <ElmtLnksOut>
                        <ElmtLnk>
                          <ElmtLnkProps>
                            <ELI>1,1,7</ELI>
                            <ELN>1</ELN>
                            <ELGN>1</ELGN>
                            <MLG>406A587D-3812-4BD6-A5D5-FE775926562B</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4,3,1,-1,0,0,FALSE,FALSE§Z¿+§A¿0,1,0,1,5,3,1,-1,0,0,FALSE,FALSE§Z¿+§A¿0,1,0,1,7,3,1,-1,0,0,FALSE,FALSE§Z¿]]></VOFFF>
                              </ClmnBlkPtProps>
                            </ClmnBlkPt>
                          </ClmnBlkPts>
                        </ClmnBlk>
                      </ClmnBlks>
                      <TtlCtg>
                        <TtlCtgProps>
                          <R>1</R>
                        </TtlCtgProps>
                      </TtlCtg>
                      <ElmtLnksOut>
                        <ElmtLnk>
                          <ElmtLnkProps>
                            <ELI>1,1,8</ELI>
                            <ELN>1</ELN>
                            <ELGN>1</ELGN>
                            <MLG>EA9758E3-33D7-4F4A-B609-556156A27C5A</MLG>
                            <ICBI>2,3</ICBI>
                            <ILBN>1,2</ILBN>
                            <LIBN>0</LIBN>
                          </ElmtLnkProps>
                        </ElmtLnk>
                      </ElmtLnksOut>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terest Payable]]></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l-In Interest Rate (% p.a.)]]></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3</SON>
                                <VOFFF><![CDATA[0]]></VOFFF>
                                <UDAV><![CDATA[0]]></UDAV>
                              </ClmnBlkPtProps>
                              <Vdtn>
                                <VdtnProps>
                                  <CBPLI>1,1,11,2,1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ll-In Interest Rate (% p.m.)]]></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3</SON>
                                <VOFFF><![CDATA[=§A¿0,1,0,1,11,2,1,-1,0,0,FALSE,FALSE§Z¿/§A¿7,2,2,1,14,7,1,1,1§Z¿]]></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17,2,1,-1,0,0,FALSE,FALSE§Z¿)]]></VOFFF>
                              </ClmnBlkPtProps>
                            </ClmnBlkPt>
                          </ClmnBlkPts>
                        </ClmnBlk>
                      </ClmnBlks>
                      <TtlCtg>
                        <TtlCtgProps>
                          <R>1</R>
                        </TtlCtgProps>
                      </TtlCtg>
                      <ElmtLnksOut>
                        <ElmtLnk>
                          <ElmtLnkProps>
                            <ELI>1,1,14</ELI>
                            <ELN>1</ELN>
                            <ELGN>1</ELGN>
                            <MLG>1821545E-81DF-4040-8184-DE69BD4B7732</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Expens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4,3,1,-1,0,0,FALSE,FALSE§Z¿*§A¿0,1,0,1,12,2,1,-1,0,0,FALSE,FALSE§Z¿]]></VOFFF>
                              </ClmnBlkPtProps>
                            </ClmnBlkPt>
                          </ClmnBlkPts>
                        </ClmnBlk>
                      </ClmnBlks>
                      <TtlCtg>
                        <TtlCtgProps>
                          <R>1</R>
                        </TtlCtgProps>
                      </TtlCtg>
                      <ElmtLnksOut>
                        <ElmtLnk>
                          <ElmtLnkProps>
                            <ELI>1,1,15</ELI>
                            <ELN>1</ELN>
                            <ELGN>1</ELGN>
                            <MLG>36FA5469-50EF-4767-99F9-918D69AA57FD</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Paid]]></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5,3,1,-1,0,0,FALSE,FALSE§Z¿]]></VOFFF>
                              </ClmnBlkPtProps>
                            </ClmnBlkPt>
                          </ClmnBlkPts>
                        </ClmnBlk>
                      </ClmnBlks>
                      <TtlCtg>
                        <TtlCtgProps>
                          <R>1</R>
                        </TtlCtgProps>
                      </TtlCtg>
                      <ElmtLnksOut>
                        <ElmtLnk>
                          <ElmtLnkProps>
                            <ELI>1,1,16</ELI>
                            <ELN>1</ELN>
                            <ELGN>1</ELGN>
                            <MLG>BEFDB4F8-ED4F-4CFA-A92F-B42B38873EC3</MLG>
                            <ICBI>2,3</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40</ST>
                                <SON>1</SON>
                                <VOFFF><![CDATA[=§A¿1,1,1,1,2,0,1,1,1§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SUM(§A¿0,1,1,1,14,3,1,-1,0,0,FALSE,FALSE,1,16,3,1,-1,0,0,FALSE,FALSE§Z¿)]]></VOFFF>
                              </ClmnBlkPtProps>
                            </ClmnBlkPt>
                          </ClmnBlkPts>
                        </ClmnBlk>
                      </ClmnBlks>
                      <TtlCtg>
                        <TtlCtgProps>
                          <R>1</R>
                        </TtlCtgProps>
                      </TtlCtg>
                      <ElmtLnksOut>
                        <ElmtLnk>
                          <ElmtLnkProps>
                            <ELI>1,1,17</ELI>
                            <ELN>1</ELN>
                            <ELGN>1</ELGN>
                            <MLG>4BD1B537-DA53-4B26-9D61-FC53EF89A265</MLG>
                            <ICBI>2,3</ICBI>
                            <ILBN>1,2</ILBN>
                            <LIBN>0</LIBN>
                          </ElmtLnkProps>
                        </ElmtLnk>
                      </ElmtLnksOut>
                    </Elmt>
                    <Elmt>
                      <ElmtProps>
                        <CPT>2</CPT>
                      </ElmtProp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SUM(§A¿0,1,0,1,8,3,1,-1,0,0,FALSE,FALSE§Z¿,§A¿0,1,0,1,17,3,1,-1,0,0,FALSE,FALSE§Z¿)),1,0)]]></VOFFF>
                              </ClmnBlkPtProps>
                              <FmtCnds>
                                <FmtCnd>
                                  <FmtCndProps>
                                    <CBPLI>1,1,19,2,1</CBPLI>
                                    <FCN>1</FCN>
                                    <FCT>1</FCT>
                                    <FCO>4</FCO>
                                    <F1FFF><![CDATA[=0]]></F1FFF>
                                    <F2FFF/>
                                    <SIT>False</SIT>
                                    <BSV>True</BSV>
                                    <BCT>0</BCT>
                                    <CNBCN>0</CNBCN>
                                    <BTAS>0</BTAS>
                                    <IST>1</IST>
                                    <RO>False</RO>
                                    <SIO>False</SIO>
                                    <TO>0</TO>
                                    <TS/>
                                    <DO>1</DO>
                                    <TB>1</TB>
                                    <R>10</R>
                                    <P>False</P>
                                    <AB>0</AB>
                                    <NSD>1</NSD>
                                    <DU>1</DU>
                                    <INF>False</INF>
                                    <NT>0</NT>
                                    <DP>0</DP>
                                    <CNF/>
                                  </FmtCndProps>
                                  <FntOvly>
                                    <FntOvlyProps>
                                      <PT>2</PT>
                                      <SON>0</SON>
                                      <CBPLI>1,1,19,2,1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Funds Drawn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19,2,1,-1,0,0,FALSE,FALSE§Z¿<>0,0,IF(ROUND(§A¿0,1,0,1,4,3,1,-1,0,0,FALSE,FALSE§Z¿+§A¿0,1,0,1,5,3,1,-1,0,0,FALSE,FALSE§Z¿+§A¿0,1,0,1,7,3,1,-1,0,0,FALSE,FALSE§Z¿-§A¿0,1,0,1,8,3,1,-1,0,0,FALSE,FALSE§Z¿,5)<>0,1,0))]]></VOFFF>
                              </ClmnBlkPtProps>
                              <FmtCnds>
                                <FmtCnd>
                                  <FmtCndProps>
                                    <CBPLI>1,1,20,2,1</CBPLI>
                                    <FCN>1</FCN>
                                    <FCT>1</FCT>
                                    <FCO>4</FCO>
                                    <F1FFF><![CDATA[=0]]></F1FFF>
                                    <F2FFF/>
                                    <SIT>False</SIT>
                                    <BSV>True</BSV>
                                    <BCT>0</BCT>
                                    <CNBCN>0</CNBCN>
                                    <BTAS>0</BTAS>
                                    <IST>1</IST>
                                    <RO>False</RO>
                                    <SIO>False</SIO>
                                    <TO>0</TO>
                                    <TS/>
                                    <DO>1</DO>
                                    <TB>1</TB>
                                    <R>10</R>
                                    <P>False</P>
                                    <AB>0</AB>
                                    <NSD>1</NSD>
                                    <DU>1</DU>
                                    <INF>False</INF>
                                    <NT>0</NT>
                                    <DP>0</DP>
                                    <CNF/>
                                  </FmtCndProps>
                                  <FntOvly>
                                    <FntOvlyProps>
                                      <PT>2</PT>
                                      <SON>0</SON>
                                      <CBPLI>1,1,20,2,1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est Payable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19,2,1,-1,0,0,FALSE,FALSE§Z¿<>0,0,IF(ROUND(§A¿0,1,0,1,14,3,1,-1,0,0,FALSE,FALSE§Z¿+§A¿0,1,0,1,15,3,1,-1,0,0,FALSE,FALSE§Z¿+§A¿0,1,0,1,16,3,1,-1,0,0,FALSE,FALSE§Z¿-§A¿0,1,0,1,17,3,1,-1,0,0,FALSE,FALSE§Z¿,5)<>0,1,0))]]></VOFFF>
                              </ClmnBlkPtProps>
                              <FmtCnds>
                                <FmtCnd>
                                  <FmtCndProps>
                                    <CBPLI>1,1,21,2,1</CBPLI>
                                    <FCN>1</FCN>
                                    <FCT>1</FCT>
                                    <FCO>4</FCO>
                                    <F1FFF><![CDATA[=0]]></F1FFF>
                                    <F2FFF/>
                                    <SIT>False</SIT>
                                    <BSV>True</BSV>
                                    <BCT>0</BCT>
                                    <CNBCN>0</CNBCN>
                                    <BTAS>0</BTAS>
                                    <IST>1</IST>
                                    <RO>False</RO>
                                    <SIO>False</SIO>
                                    <TO>0</TO>
                                    <TS/>
                                    <DO>1</DO>
                                    <TB>1</TB>
                                    <R>10</R>
                                    <P>False</P>
                                    <AB>0</AB>
                                    <NSD>1</NSD>
                                    <DU>1</DU>
                                    <INF>False</INF>
                                    <NT>0</NT>
                                    <DP>0</DP>
                                    <CNF/>
                                  </FmtCndProps>
                                  <FntOvly>
                                    <FntOvlyProps>
                                      <PT>2</PT>
                                      <SON>0</SON>
                                      <CBPLI>1,1,21,2,1</CBPLI>
                                      <FCN>1</FCN>
                                      <CN>0</CN>
                                      <IB>True</IB>
                                      <IC>True</IC>
                                      <B>True</B>
                                      <CT>2</CT>
                                      <CNU>3</CNU>
                                      <CPR>0</CPR>
                                      <TAS>0</TAS>
                                    </FntOvlyProps>
                                  </F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6</SON>
                                <VOFFF><![CDATA[=IF(ISERROR(SUM(§A¿0,1,1,1,22,3,1,-1,0,0,FALSE,FALSE,1,22,3,1,-1,1,0,FALSE,FALSE§Z¿)),1,MIN(SUM(§A¿0,1,1,1,22,3,1,-1,0,0,FALSE,FALSE,1,22,3,1,-1,1,0,FALSE,FALSE§Z¿),1))]]></VOFFF>
                              </ClmnBlkPtProps>
                              <Chk>
                                <ChkProps>
                                  <CBPLI>1,1,22,2,1</CBPLI>
                                  <CT>0</CT>
                                  <CN>31</CN>
                                  <HST>1</HST>
                                  <CHT/>
                                  <HCBPLI>1,1,2,1,1</HCBPLI>
                                </ChkProps>
                              </Chk>
                              <Cmts>
                                <Cmt>
                                  <CmtProps>
                                    <CBPLI>1,1,22,2,1</CBPLI>
                                    <WRN>1</WRN>
                                    <ERT>5</ERT>
                                    <COSTN>0</COSTN>
                                    <OC>0</OC>
                                    <HT><![CDATA[Error Check]]></HT>
                                    <HFS>0</HFS>
                                    <BT><![CDATA[Flags the existence of errors.]]></BT>
                                    <BFS>0</BFS>
                                    <H>62</H>
                                    <W>128</W>
                                  </CmtProps>
                                </Cmt>
                                <Cmt>
                                  <CmtProps>
                                    <CBPLI>1,1,22,2,1</CBPLI>
                                    <WRN>2</WRN>
                                    <ERT>5</ERT>
                                    <COSTN>0</COSTN>
                                    <OC>0</OC>
                                    <HT><![CDATA[Error Check]]></HT>
                                    <BT><![CDATA[Flags the existence of errors.]]></BT>
                                  </CmtProps>
                                </Cmt>
                                <Cmt>
                                  <CmtProps>
                                    <CBPLI>1,1,22,2,1</CBPLI>
                                    <WRN>3</WRN>
                                    <ERT>5</ERT>
                                    <COSTN>0</COSTN>
                                    <OC>0</OC>
                                    <HT><![CDATA[Error Check]]></HT>
                                    <BT><![CDATA[Flags the existence of errors.]]></BT>
                                  </CmtProps>
                                </Cmt>
                              </Cmts>
                              <FmtCnds>
                                <FmtCnd>
                                  <FmtCndProps>
                                    <CBPLI>1,1,22,2,1</CBPLI>
                                    <FCN>1</FCN>
                                    <FCT>1</FCT>
                                    <FCO>4</FCO>
                                    <F1FFF><![CDATA[=0]]></F1FFF>
                                    <F2FFF/>
                                    <SIT>False</SIT>
                                    <BSV>True</BSV>
                                    <BCT>0</BCT>
                                    <CNBCN>0</CNBCN>
                                    <BTAS>0</BTAS>
                                    <IST>1</IST>
                                    <RO>False</RO>
                                    <SIO>False</SIO>
                                    <TO>0</TO>
                                    <TS/>
                                    <DO>1</DO>
                                    <TB>1</TB>
                                    <R>10</R>
                                    <P>False</P>
                                    <AB>0</AB>
                                    <NSD>1</NSD>
                                    <DU>1</DU>
                                    <INF>False</INF>
                                    <NT>0</NT>
                                    <DP>0</DP>
                                    <CNF/>
                                  </FmtCndProps>
                                  <FntOvly>
                                    <FntOvlyProps>
                                      <PT>2</PT>
                                      <SON>0</SON>
                                      <CBPLI>1,1,22,2,1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7</SON>
                                <VOFFF><![CDATA[=MIN(SUM(§A¿0,1,1,1,19,2,1,-1,0,0,FALSE,FALSE,1,21,2,1,-1,0,0,FALSE,FALSE§Z¿),1)]]></VOFFF>
                              </ClmnBlkPtProps>
                              <FmtCnds>
                                <FmtCnd>
                                  <FmtCndProps>
                                    <CBPLI>1,1,22,3,1</CBPLI>
                                    <FCN>1</FCN>
                                    <FCT>1</FCT>
                                    <FCO>4</FCO>
                                    <F1FFF><![CDATA[=0]]></F1FFF>
                                    <F2FFF/>
                                    <SIT>False</SIT>
                                    <BSV>True</BSV>
                                    <BCT>0</BCT>
                                    <CNBCN>0</CNBCN>
                                    <BTAS>0</BTAS>
                                    <IST>1</IST>
                                    <RO>False</RO>
                                    <SIO>False</SIO>
                                    <TO>0</TO>
                                    <TS/>
                                    <DO>1</DO>
                                    <TB>1</TB>
                                    <R>10</R>
                                    <P>False</P>
                                    <AB>0</AB>
                                    <NSD>1</NSD>
                                    <DU>1</DU>
                                    <INF>False</INF>
                                    <NT>0</NT>
                                    <DP>0</DP>
                                    <CNF/>
                                  </FmtCndProps>
                                  <FntOvly>
                                    <FntOvlyProps>
                                      <PT>2</PT>
                                      <SON>0</SON>
                                      <CBPLI>1,1,22,3,1</CBPLI>
                                      <FCN>1</FCN>
                                      <CN>0</CN>
                                      <IB>True</IB>
                                      <IC>True</IC>
                                      <B>True</B>
                                      <CT>2</CT>
                                      <CNU>3</CNU>
                                      <CPR>0</CPR>
                                      <TAS>0</TAS>
                                    </FntOvlyProps>
                                  </FntOvly>
                                </FmtCnd>
                              </FmtCnds>
                            </ClmnBlkPt>
                          </ClmnBlkPts>
                        </ClmnBlk>
                      </ClmnBlks>
                      <TtlCtg>
                        <TtlCtgProps>
                          <R>1</R>
                        </TtlCtgProps>
                      </TtlCtg>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los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22,3,1,-1,0,0,FALSE,FALSE§Z¿<>0,0,IF(ROUND(MIN(§A¿0,1,0,1,8,3,1,-1,0,0,FALSE,FALSE§Z¿),5)<0,1,0))]]></VOFFF>
                              </ClmnBlkPtProps>
                              <FmtCnds>
                                <FmtCnd>
                                  <FmtCndProps>
                                    <CBPLI>1,1,24,2,1</CBPLI>
                                    <FCN>1</FCN>
                                    <FCT>1</FCT>
                                    <FCO>4</FCO>
                                    <F1FFF><![CDATA[=0]]></F1FFF>
                                    <F2FFF/>
                                    <SIT>False</SIT>
                                    <BSV>True</BSV>
                                    <BCT>0</BCT>
                                    <CNBCN>0</CNBCN>
                                    <BTAS>0</BTAS>
                                    <IST>1</IST>
                                    <RO>False</RO>
                                    <SIO>False</SIO>
                                    <TO>0</TO>
                                    <TS/>
                                    <DO>1</DO>
                                    <TB>1</TB>
                                    <R>10</R>
                                    <P>False</P>
                                    <AB>0</AB>
                                    <NSD>1</NSD>
                                    <DU>1</DU>
                                    <INF>False</INF>
                                    <NT>0</NT>
                                    <DP>0</DP>
                                    <CNF/>
                                  </FmtCndProps>
                                  <FntOvly>
                                    <FntOvlyProps>
                                      <PT>2</PT>
                                      <SON>0</SON>
                                      <CBPLI>1,1,24,2,1</CBPLI>
                                      <FCN>1</FCN>
                                      <CN>0</CN>
                                      <IB>True</IB>
                                      <IC>True</IC>
                                      <B>True</B>
                                      <CT>2</CT>
                                      <CNU>3</CNU>
                                      <CPR>0</CPR>
                                      <TAS>0</TAS>
                                    </FntOvlyProps>
                                  </FntOvly>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Closing Interes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22,3,1,-1,0,0,FALSE,FALSE§Z¿<>0,0,IF(ROUND(MIN(§A¿0,1,0,1,17,3,1,-1,0,0,FALSE,FALSE§Z¿),5)<0,1,0))]]></VOFFF>
                              </ClmnBlkPtProps>
                              <FmtCnds>
                                <FmtCnd>
                                  <FmtCndProps>
                                    <CBPLI>1,1,25,2,1</CBPLI>
                                    <FCN>1</FCN>
                                    <FCT>1</FCT>
                                    <FCO>4</FCO>
                                    <F1FFF><![CDATA[=0]]></F1FFF>
                                    <F2FFF/>
                                    <SIT>False</SIT>
                                    <BSV>True</BSV>
                                    <BCT>0</BCT>
                                    <CNBCN>0</CNBCN>
                                    <BTAS>0</BTAS>
                                    <IST>1</IST>
                                    <RO>False</RO>
                                    <SIO>False</SIO>
                                    <TO>0</TO>
                                    <TS/>
                                    <DO>1</DO>
                                    <TB>1</TB>
                                    <R>10</R>
                                    <P>False</P>
                                    <AB>0</AB>
                                    <NSD>1</NSD>
                                    <DU>1</DU>
                                    <INF>False</INF>
                                    <NT>0</NT>
                                    <DP>0</DP>
                                    <CNF/>
                                  </FmtCndProps>
                                  <FntOvly>
                                    <FntOvlyProps>
                                      <PT>2</PT>
                                      <SON>0</SON>
                                      <CBPLI>1,1,25,2,1</CBPLI>
                                      <FCN>1</FCN>
                                      <CN>0</CN>
                                      <IB>True</IB>
                                      <IC>True</IC>
                                      <B>True</B>
                                      <CT>2</CT>
                                      <CNU>3</CNU>
                                      <CPR>0</CPR>
                                      <TAS>0</TAS>
                                    </FntOvlyProps>
                                  </F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6</SON>
                                <VOFFF><![CDATA[=IF(ISERROR(SUM(§A¿0,1,1,1,26,3,1,-1,0,0,FALSE,FALSE,1,26,3,1,-1,1,0,FALSE,FALSE§Z¿)),1,MIN(SUM(§A¿0,1,1,1,26,3,1,-1,0,0,FALSE,FALSE,1,26,3,1,-1,1,0,FALSE,FALSE§Z¿),1))]]></VOFFF>
                              </ClmnBlkPtProps>
                              <Chk>
                                <ChkProps>
                                  <CBPLI>1,1,26,2,1</CBPLI>
                                  <CT>2</CT>
                                  <CN>18</CN>
                                  <HST>1</HST>
                                  <CHT/>
                                  <HCBPLI>1,1,2,1,1</HCBPLI>
                                </ChkProps>
                              </Chk>
                              <Cmts>
                                <Cmt>
                                  <CmtProps>
                                    <CBPLI>1,1,26,2,1</CBPLI>
                                    <WRN>1</WRN>
                                    <ERT>5</ERT>
                                    <COSTN>0</COSTN>
                                    <OC>0</OC>
                                    <HT><![CDATA[Alert Check]]></HT>
                                    <HFS>0</HFS>
                                    <BT><![CDATA[Flags the occurrence of designated events.]]></BT>
                                    <BFS>0</BFS>
                                    <H>14</H>
                                    <W>128</W>
                                  </CmtProps>
                                </Cmt>
                                <Cmt>
                                  <CmtProps>
                                    <CBPLI>1,1,26,2,1</CBPLI>
                                    <WRN>2</WRN>
                                    <ERT>5</ERT>
                                    <COSTN>0</COSTN>
                                    <OC>0</OC>
                                    <HT><![CDATA[Alert Check]]></HT>
                                    <BT><![CDATA[Flags the occurrence of designated events.]]></BT>
                                  </CmtProps>
                                </Cmt>
                                <Cmt>
                                  <CmtProps>
                                    <CBPLI>1,1,26,2,1</CBPLI>
                                    <WRN>3</WRN>
                                    <ERT>5</ERT>
                                    <COSTN>0</COSTN>
                                    <OC>0</OC>
                                    <HT><![CDATA[Alert Check]]></HT>
                                    <BT><![CDATA[Flags the occurrence of designated events.]]></BT>
                                  </CmtProps>
                                </Cmt>
                              </Cmts>
                              <FmtCnds>
                                <FmtCnd>
                                  <FmtCndProps>
                                    <CBPLI>1,1,26,2,1</CBPLI>
                                    <FCN>1</FCN>
                                    <FCT>1</FCT>
                                    <FCO>4</FCO>
                                    <F1FFF><![CDATA[=0]]></F1FFF>
                                    <F2FFF/>
                                    <SIT>False</SIT>
                                    <BSV>True</BSV>
                                    <BCT>0</BCT>
                                    <CNBCN>0</CNBCN>
                                    <BTAS>0</BTAS>
                                    <IST>1</IST>
                                    <RO>False</RO>
                                    <SIO>False</SIO>
                                    <TO>0</TO>
                                    <TS/>
                                    <DO>1</DO>
                                    <TB>1</TB>
                                    <R>10</R>
                                    <P>False</P>
                                    <AB>0</AB>
                                    <NSD>1</NSD>
                                    <DU>1</DU>
                                    <INF>False</INF>
                                    <NT>0</NT>
                                    <DP>0</DP>
                                    <CNF/>
                                  </FmtCndProps>
                                  <FntOvly>
                                    <FntOvlyProps>
                                      <PT>2</PT>
                                      <SON>0</SON>
                                      <CBPLI>1,1,26,2,1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7</SON>
                                <VOFFF><![CDATA[=MIN(SUM(§A¿0,1,1,1,24,2,1,-1,0,0,FALSE,FALSE,1,25,2,1,-1,0,0,FALSE,FALSE§Z¿),1)]]></VOFFF>
                              </ClmnBlkPtProps>
                              <FmtCnds>
                                <FmtCnd>
                                  <FmtCndProps>
                                    <CBPLI>1,1,26,3,1</CBPLI>
                                    <FCN>1</FCN>
                                    <FCT>1</FCT>
                                    <FCO>4</FCO>
                                    <F1FFF><![CDATA[=0]]></F1FFF>
                                    <F2FFF/>
                                    <SIT>False</SIT>
                                    <BSV>True</BSV>
                                    <BCT>0</BCT>
                                    <CNBCN>0</CNBCN>
                                    <BTAS>0</BTAS>
                                    <IST>1</IST>
                                    <RO>False</RO>
                                    <SIO>False</SIO>
                                    <TO>0</TO>
                                    <TS/>
                                    <DO>1</DO>
                                    <TB>1</TB>
                                    <R>10</R>
                                    <P>False</P>
                                    <AB>0</AB>
                                    <NSD>1</NSD>
                                    <DU>1</DU>
                                    <INF>False</INF>
                                    <NT>0</NT>
                                    <DP>0</DP>
                                    <CNF/>
                                  </FmtCndProps>
                                  <FntOvly>
                                    <FntOvlyProps>
                                      <PT>2</PT>
                                      <SON>0</SON>
                                      <CBPLI>1,1,26,3,1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Eq_Ord]]></P>
            <OI>200</OI>
            <MN>0</MN>
            <MAG>68F61C56-4299-4FA4-9517-F2F96409D6DE</MAG>
            <BN><![CDATA[Ordinary Equity]]></BN>
            <N><![CDATA[Ordinary Equity]]></N>
            <TS><![CDATA[Monthly]]></TS>
            <D><![CDATA[Calculates ordinary equity and dividends payable balances over a number of time series periods.]]></D>
            <FS><![CDATA[Ordinary equity balances are calculated based on assumed raisings and buybacks amounts for each time series period.&#10;Dividends declared are calculated based on either an assumed percentage of net profit after tax (NPAT) or an assumed amount in each time series period, and dividends paid are assumed to equal dividends declared in each period.]]></FS>
            <R><![CDATA[Any]]></R>
            <GE><![CDATA[Ordinary Equity]]></GE>
            <CA><![CDATA[Amounts, Dividend Calculations]]></CA>
            <VA><![CDATA[Single Component]]></VA>
            <GST><![CDATA[None]]></GST>
            <DE><![CDATA[Modano]]></DE>
            <E><![CDATA[info@modano.com]]></E>
            <C><![CDATA[Modano]]></C>
            <W><![CDATA[www.modano.com]]></W>
            <K/>
            <CO/>
            <V>10.10.2.0.</V>
            <AX>2</AX>
            <SX/>
            <PMLO>False</PMLO>
            <IPMLO>False</IPMLO>
            <MACA>0</MACA>
            <HP>False</HP>
            <DR>False</DR>
            <RTSM>True</RTSM>
            <CC>True</CC>
            <X>False</X>
            <G>4453C2B7-83AC-4DA4-907D-CAC9A1DF6A45</G>
          </ModProps>
          <RowStgs>
            <RowStg>
              <RowStgProps>
                <RSN>1</RSN>
                <RHST>0</RHST>
                <HS>100</HS>
                <OL>3</OL>
                <RH>False</RH>
              </RowStgProps>
            </RowStg>
            <RowStg>
              <RowStgProps>
                <RSN>2</RSN>
                <RHST>1</RHST>
                <HS>50</HS>
                <OL>3</OL>
                <RH>False</RH>
              </RowStgProps>
            </RowStg>
            <RowStg>
              <RowStgProps>
                <RSN>3</RSN>
                <RHST>0</RHST>
                <HS>0</HS>
                <OL>2</OL>
                <RH>False</RH>
              </RowStgProps>
            </RowStg>
            <RowStg>
              <RowStgProps>
                <RSN>4</RSN>
                <RHST>1</RHST>
                <HS>50</HS>
                <OL>2</OL>
                <RH>False</RH>
              </RowStgProps>
            </RowStg>
            <RowStg>
              <RowStgProps>
                <RSN>5</RSN>
                <RHST>0</RHST>
                <HS>0</HS>
                <OL>3</OL>
                <RH>True</RH>
              </RowStgProps>
            </RowStg>
          </RowStgs>
          <StlOvlys>
            <StlOvly>
              <StlOvlyProps>
                <SON>1</SON>
              </StlOvlyProps>
              <FntOvly>
                <FntOvlyProps>
                  <PT>1</PT>
                  <SON>1</SON>
                  <CBPLI>0,0,0,0,0</CBPLI>
                  <FCN>0</FCN>
                  <CN>0</CN>
                  <IB>True</IB>
                  <B>True</B>
                </FntOvlyProps>
              </FntOvly>
            </StlOvly>
            <StlOvly>
              <StlOvlyProps>
                <SON>2</SON>
              </StlOvlyProps>
              <BdrOvlys>
                <BdrOvly>
                  <BdrOvlyProps>
                    <PT>1</PT>
                    <SON>2</SON>
                    <CBPLI/>
                    <FCN>0</FCN>
                    <I>True</I>
                    <BI>9</BI>
                    <LS>1</LS>
                    <W>2</W>
                  </BdrOvlyProps>
                </BdrOvly>
              </BdrOvlys>
            </StlOvly>
            <StlOvly>
              <StlOvlyProps>
                <SON>3</SON>
                <INF>True</INF>
                <NT>0</NT>
                <DP>0</DP>
                <CNF/>
              </StlOvlyProps>
            </StlOvly>
            <StlOvly>
              <StlOvlyProps>
                <SON>4</SON>
                <INF>True</INF>
                <NT>0</NT>
                <DP>0</DP>
                <CNF/>
              </StlOvlyProps>
              <BdrOvlys>
                <BdrOvly>
                  <BdrOvlyProps>
                    <PT>1</PT>
                    <SON>4</SON>
                    <CBPLI/>
                    <FCN>0</FCN>
                    <I>True</I>
                    <BI>9</BI>
                    <LS>-4115</LS>
                    <W>2</W>
                  </BdrOvlyProps>
                </BdrOvly>
              </BdrOvlys>
            </StlOvly>
            <StlOvly>
              <StlOvlyProps>
                <SON>5</SON>
                <INF>True</INF>
                <NT>0</NT>
                <DP>0</DP>
                <CNF><![CDATA[_(#,##0_);(#,##0);_-"-"_-]]></CNF>
              </StlOvlyProps>
            </StlOvly>
            <StlOvly>
              <StlOvlyProps>
                <SON>6</SON>
                <INF>True</INF>
                <NT>0</NT>
                <DP>0</DP>
                <CNF><![CDATA[_(#,##0.0_);(#,##0.0);_-"-"_-]]></CNF>
              </StlOvlyProps>
            </StlOvly>
            <StlOvly>
              <StlOvlyProps>
                <SON>7</SON>
                <INF>True</INF>
                <NT>0</NT>
                <DP>0</DP>
                <CNF><![CDATA[_(#,##0.0_);(#,##0.0);_-"-"_-]]></CNF>
              </StlOvlyProps>
              <FntOvly>
                <FntOvlyProps>
                  <PT>1</PT>
                  <SON>7</SON>
                  <CBPLI>0,0,0,0,0</CBPLI>
                  <FCN>0</FCN>
                  <CN>0</CN>
                  <IB>True</IB>
                  <B>True</B>
                </FntOvlyProps>
              </FntOvly>
              <BdrOvlys>
                <BdrOvly>
                  <BdrOvlyProps>
                    <PT>1</PT>
                    <SON>7</SON>
                    <CBPLI/>
                    <FCN>0</FCN>
                    <I>True</I>
                    <BI>10</BI>
                    <LS>1</LS>
                    <W>2</W>
                  </BdrOvlyProps>
                </BdrOvly>
              </BdrOvlys>
            </StlOvly>
            <StlOvly>
              <StlOvlyProps>
                <SON>8</SON>
              </StlOvlyProps>
              <FntOvly>
                <FntOvlyProps>
                  <PT>1</PT>
                  <SON>8</SON>
                  <CBPLI>0,0,0,0,0</CBPLI>
                  <FCN>0</FCN>
                  <CN>0</CN>
                  <IC>True</IC>
                  <CT>-2</CT>
                  <CNU>0</CNU>
                  <CPR>0</CPR>
                  <TAS>0</TAS>
                </FntOvlyProps>
              </FntOvly>
            </StlOvly>
            <StlOvly>
              <StlOvlyProps>
                <SON>9</SON>
                <IHA>True</IHA>
                <HA>-4152</HA>
              </StlOvlyProps>
            </StlOvly>
            <StlOvly>
              <StlOvlyProps>
                <SON>10</SON>
              </StlOvlyProps>
              <FntOvly>
                <FntOvlyProps>
                  <PT>1</PT>
                  <SON>10</SON>
                  <CBPLI>0,0,0,0,0</CBPLI>
                  <FCN>0</FCN>
                  <CN>0</CN>
                  <IB>True</IB>
                  <B>True</B>
                </FntOvlyProps>
              </FntOvly>
              <BdrOvlys>
                <BdrOvly>
                  <BdrOvlyProps>
                    <PT>1</PT>
                    <SON>10</SON>
                    <CBPLI/>
                    <FCN>0</FCN>
                    <I>True</I>
                    <BI>8</BI>
                    <LS>1</LS>
                    <W>2</W>
                  </BdrOvlyProps>
                </BdrOvly>
              </BdrOvlys>
            </StlOvly>
            <StlOvly>
              <StlOvlyProps>
                <SON>11</SON>
                <INF>True</INF>
                <IHA>True</IHA>
                <NT>-2</NT>
                <DP>0</DP>
                <CNF><![CDATA[_(###0_);(###0);_("-"_);@_)]]></CNF>
                <HA>-4152</HA>
              </StlOvlyProps>
            </StlOvly>
            <StlOvly>
              <StlOvlyProps>
                <SON>12</SON>
              </StlOvlyProps>
              <BdrOvlys>
                <BdrOvly>
                  <BdrOvlyProps>
                    <PT>1</PT>
                    <SON>12</SON>
                    <CBPLI/>
                    <FCN>0</FCN>
                    <I>True</I>
                    <BI>8</BI>
                    <LS>-4118</LS>
                    <W>2</W>
                  </BdrOvlyProps>
                </BdrOvly>
              </BdrOvlys>
            </StlOvly>
            <StlOvly>
              <StlOvlyProps>
                <SON>13</SON>
              </StlOvlyProps>
              <FntOvly>
                <FntOvlyProps>
                  <PT>1</PT>
                  <SON>13</SON>
                  <CBPLI>0,0,0,0,0</CBPLI>
                  <FCN>0</FCN>
                  <CN>0</CN>
                  <IB>True</IB>
                  <B>True</B>
                </FntOvlyProps>
              </FntOvly>
              <BdrOvlys>
                <BdrOvly>
                  <BdrOvlyProps>
                    <PT>1</PT>
                    <SON>13</SON>
                    <CBPLI/>
                    <FCN>0</FCN>
                    <I>True</I>
                    <BI>8</BI>
                    <LS>-4118</LS>
                    <W>2</W>
                  </BdrOvlyProps>
                </BdrOvly>
              </BdrOvlys>
            </StlOvly>
            <StlOvly>
              <StlOvlyProps>
                <SON>14</SON>
                <INF>True</INF>
                <NT>-2</NT>
                <DP>0</DP>
                <CNF><![CDATA[_)mmm-yy_);_)mmm-yy_);_)"-"_);_)@_)]]></CNF>
              </StlOvlyProps>
            </StlOvly>
            <StlOvly>
              <StlOvlyProps>
                <SON>15</SON>
              </StlOvlyProps>
              <BdrOvlys>
                <BdrOvly>
                  <BdrOvlyProps>
                    <PT>1</PT>
                    <SON>15</SON>
                    <CBPLI/>
                    <FCN>0</FCN>
                    <I>True</I>
                    <BI>9</BI>
                    <LS>-4118</LS>
                    <W>2</W>
                  </BdrOvlyProps>
                </BdrOvly>
              </BdrOvlys>
            </StlOvly>
          </StlOvlys>
          <ElmtsGrps>
            <ElmtsGrp>
              <ElmtsGrpProps>
                <NU>1</NU>
                <NA><![CDATA[Ordinary Equity Dividend Method Table]]></NA>
                <EGT>0</EGT>
                <DCC>2</DCC>
                <AST>False</AST>
                <ISTH>True</ISTH>
                <PTMCN>0</PTMCN>
                <PTBN>0</PTBN>
                <PTBI>0</PTBI>
                <GLN/>
                <CLOT>0</CLOT>
                <CLIT>0</CLIT>
                <PMLO>0</PMLO>
                <IPMLO>0</IPMLO>
              </ElmtsGrpProps>
            </ElmtsGrp>
            <ElmtsGrp>
              <ElmtsGrpProps>
                <NU>2</NU>
                <NA><![CDATA[Yes/No Lookup]]></NA>
                <EGT>0</EGT>
                <DCC>6</DCC>
                <AST>False</AST>
                <ISTH>True</ISTH>
                <PTMCN>0</PTMCN>
                <PTBN>0</PTBN>
                <PTBI>0</PTBI>
                <GLN/>
                <CLOT>0</CLOT>
                <CLIT>0</CLIT>
                <PMLO>0</PMLO>
                <IPMLO>0</IPMLO>
              </ElmtsGrpProps>
            </ElmtsGrp>
            <ElmtsGrp>
              <ElmtsGrpProps>
                <NU>3</NU>
                <NA><![CDATA[Dividend Declaration Frequency]]></NA>
                <EGT>0</EGT>
                <DCC>4</DCC>
                <AST>False</AST>
                <ISTH>True</ISTH>
                <PTMCN>0</PTMCN>
                <PTBN>0</PTBN>
                <PTBI>0</PTBI>
                <GLN/>
                <CLOT>0</CLOT>
                <CLIT>0</CLIT>
                <PMLO>0</PMLO>
                <IPMLO>0</IPMLO>
              </ElmtsGrpProps>
            </ElmtsGrp>
          </ElmtsGrps>
          <ModComps>
            <ModComp>
              <ModCompProps>
                <MN>44</MN>
                <MCN>1</MCN>
                <MCTK>BaseCase</MCTK>
                <RT><![CDATA[<ModuleName>]]></RT>
                <ERN>MODMC61</ERN>
                <MCST>1</MCST>
                <IPMC>False</IPMC>
                <SN>13</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23</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Assumption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rdinary Equity Balance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72,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quity Raising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1,1,8,2,1</CBPLI>
                                  <ADVT>0</ADVT>
                                  <VT>7</VT>
                                </VdtnProps>
                              </Vdtn>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quity Buyback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1,1,9,2,1</CBPLI>
                                  <ADVT>0</ADVT>
                                  <VT>7</VT>
                                </VdtnProps>
                              </Vdtn>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A¿0,1,0,1,75,3,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Dividend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Dividends Payable Payment Delay (Months)]]></VOFFF>
                              </ClmnBlkPtProps>
                            </ClmnBlkPt>
                          </ClmnBlkPts>
                        </ClmnBlk>
                        <ClmnBlk>
                          <ClmnBlkProps>
                            <FCPT>3</FCPT>
                            <FCN>9</FCN>
                            <FCOT>0</FCOT>
                            <FCOC>6</FCOC>
                            <FCPTBMCN>4</FCPTBMCN>
                            <FCPTBN>2</FCPTBN>
                            <LCPT>3</LCPT>
                            <LCN>9</LCN>
                            <LCOT>1</LCOT>
                            <LCOC>0</LCOC>
                            <LCPTBMCN>4</LCPTBMCN>
                            <LCPTBN>2</LCPTBN>
                          </ClmnBlkProps>
                          <ClmnBlkPts>
                            <ClmnBlkPt>
                              <ClmnBlkPtProps>
                                <CBPT>5</CBPT>
                                <ST>11</ST>
                                <SON>3</SON>
                                <VOFFF><![CDATA[1]]></VOFFF>
                                <UDAV><![CDATA[1]]></UDAV>
                              </ClmnBlkPtProps>
                              <Vdtn>
                                <VdtnProps>
                                  <CBPLI>1,1,13,2,1</CBPLI>
                                  <ADVT>-1</ADVT>
                                  <VT>1</VT>
                                  <AS>1</AS>
                                  <O>5</O>
                                  <F1FFF><![CDATA[0]]></F1FFF>
                                  <F2FFF/>
                                  <IB>False</IB>
                                  <ICDD>False</ICDD>
                                  <SI>False</SI>
                                  <IT/>
                                  <IM/>
                                  <SE>True</SE>
                                  <ET><![CDATA[Opening Tax Payment Delay]]></ET>
                                  <EM><![CDATA[The opening tax payment delay must be a whole number greater than zero.]]></EM>
                                  <IMO>0</IMO>
                                </VdtnProps>
                              </Vdtn>
                            </ClmnBlkPt>
                          </ClmnBlkPts>
                        </ClmnBlk>
                      </ClmnBlks>
                      <TtlCtg>
                        <TtlCtgProps>
                          <R>3</R>
                        </TtlCtgProps>
                      </TtlCtg>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9,4,1,0,1,7,1,1,-1,0,0,TRU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A¿9,4,1,0,1,7,3,1,-1,0,0,TRUE,FALSE§Z¿]]></VOFFF>
                              </ClmnBlkPtProps>
                              <FmtCnds>
                                <FmtCnd>
                                  <FmtCndProps>
                                    <CBPLI>1,1,15,2,1</CBPLI>
                                    <FCN>1</FCN>
                                    <FCT>2</FCT>
                                    <FCO>1</FCO>
                                    <F1FFF><![CDATA[=OR(§A¿9,4,1,0,1,6,3,1,-1,0,0,TRUE,FALSE§Z¿=1,§A¿0,1,0,1,16,2,1,-1,0,0,FALSE,FALSE§Z¿=1)]]></F1FFF>
                                    <F2FFF/>
                                    <SIT>False</SIT>
                                    <BSV>True</BSV>
                                    <BCT>0</BCT>
                                    <CNBCN>0</CNBCN>
                                    <BTAS>0</BTAS>
                                    <IST>1</IST>
                                    <RO>False</RO>
                                    <SIO>False</SIO>
                                    <TO>0</TO>
                                    <TS/>
                                    <DO>1</DO>
                                    <TB>1</TB>
                                    <R>10</R>
                                    <P>False</P>
                                    <AB>0</AB>
                                    <NSD>1</NSD>
                                    <DU>1</DU>
                                    <INF>False</INF>
                                    <NT>0</NT>
                                    <DP>0</DP>
                                    <CNF/>
                                  </FmtCndProps>
                                  <FntOvly>
                                    <FntOvlyProps>
                                      <PT>2</PT>
                                      <SON>0</SON>
                                      <CBPLI>1,1,15,2,1</CBPLI>
                                      <FCN>1</FCN>
                                      <CN>0</CN>
                                      <IB>True</IB>
                                      <II>True</II>
                                      <B>True</B>
                                      <I>False</I>
                                    </FntOvlyProps>
                                  </FntOvly>
                                  <BdrOvlys>
                                    <BdrOvly>
                                      <BdrOvlyProps>
                                        <PT>2</PT>
                                        <SON>0</SON>
                                        <CBPLI>1,1,15,2,1</CBPLI>
                                        <FCN>1</FCN>
                                        <I>True</I>
                                        <BI>7</BI>
                                        <LS>1</LS>
                                        <W>2</W>
                                      </BdrOvlyProps>
                                    </BdrOvly>
                                    <BdrOvly>
                                      <BdrOvlyProps>
                                        <PT>2</PT>
                                        <SON>0</SON>
                                        <CBPLI>1,1,15,2,1</CBPLI>
                                        <FCN>1</FCN>
                                        <I>True</I>
                                        <BI>10</BI>
                                        <LS>1</LS>
                                        <W>2</W>
                                      </BdrOvlyProps>
                                    </BdrOvly>
                                    <BdrOvly>
                                      <BdrOvlyProps>
                                        <PT>2</PT>
                                        <SON>0</SON>
                                        <CBPLI>1,1,15,2,1</CBPLI>
                                        <FCN>1</FCN>
                                        <I>True</I>
                                        <BI>8</BI>
                                        <LS>1</LS>
                                        <W>2</W>
                                      </BdrOvlyProps>
                                    </BdrOvly>
                                    <BdrOvly>
                                      <BdrOvlyProps>
                                        <PT>2</PT>
                                        <SON>0</SON>
                                        <CBPLI>1,1,15,2,1</CBPLI>
                                        <FCN>1</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Financial Year Month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A¿9,4,1,0,1,8,3,1,-1,0,0,TRU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Declaration Frequency (Year-Specific)]]></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11</SON>
                                <VOFFF><![CDATA[Monthly]]></VOFFF>
                                <UDAV><![CDATA[Monthly]]></UDAV>
                              </ClmnBlkPtProps>
                              <Vdtn>
                                <VdtnProps>
                                  <CBPLI>1,1,17,2,1</CBPLI>
                                  <ADVT>-1</ADVT>
                                  <VT>3</VT>
                                  <AS>1</AS>
                                  <O>1</O>
                                  <F1FFF><![CDATA[=§A¿1,1,2,1,14,0,1,1,1§Z¿]]></F1FFF>
                                  <F2FFF/>
                                  <IB>False</IB>
                                  <ICDD>True</ICDD>
                                  <SI>False</SI>
                                  <IT/>
                                  <IM/>
                                  <SE>True</SE>
                                  <ET><![CDATA[Dividends Declaration Frequency]]></ET>
                                  <EM><![CDATA[A dividends declaration frequency must be selected from the list of available frequencies.]]></EM>
                                  <IMO>0</IMO>
                                </VdtnProps>
                              </Vdtn>
                              <FmtCnds>
                                <FmtCnd>
                                  <FmtCndProps>
                                    <CBPLI>1,1,17,2,1</CBPLI>
                                    <FCN>1</FCN>
                                    <FCT>2</FCT>
                                    <FCO>1</FCO>
                                    <F1FFF><![CDATA[=NOT(OR(§A¿9,4,1,0,1,6,3,1,-1,0,0,TRUE,FALSE§Z¿=1,§A¿0,1,0,1,16,2,1,-1,0,0,FALSE,FALSE§Z¿=1))]]></F1FFF>
                                    <F2FFF/>
                                    <SIT>False</SIT>
                                    <BSV>True</BSV>
                                    <BCT>0</BCT>
                                    <CNBCN>0</CNBCN>
                                    <BTAS>0</BTAS>
                                    <IST>1</IST>
                                    <RO>False</RO>
                                    <SIO>False</SIO>
                                    <TO>0</TO>
                                    <TS/>
                                    <DO>1</DO>
                                    <TB>1</TB>
                                    <R>10</R>
                                    <P>False</P>
                                    <AB>0</AB>
                                    <NSD>1</NSD>
                                    <DU>1</DU>
                                    <INF>False</INF>
                                    <NT>0</NT>
                                    <DP>0</DP>
                                    <CNF/>
                                  </FmtCndProps>
                                  <FntOvly>
                                    <FntOvlyProps>
                                      <PT>2</PT>
                                      <SON>0</SON>
                                      <CBPLI>1,1,17,2,1</CBPLI>
                                      <FCN>1</FCN>
                                      <CN>0</CN>
                                      <IC>True</IC>
                                      <CT>3</CT>
                                      <CNU>3</CNU>
                                      <CPR>0</CPR>
                                      <TAS>0</TAS>
                                    </FntOvlyProps>
                                  </FntOvly>
                                  <IntOvly>
                                    <IntOvlyProps>
                                      <PT>2</PT>
                                      <SON>0</SON>
                                      <CBPLI>1,1,17,2,1</CBPLI>
                                      <FCN>1</FCN>
                                      <IC>True</IC>
                                    </IntOvlyProps>
                                  </IntOvly>
                                </FmtCnd>
                              </FmtCnds>
                            </ClmnBlkPt>
                          </ClmnBlkPts>
                        </ClmnBlk>
                      </ClmnBlks>
                      <TtlCtg>
                        <TtlCtgProps>
                          <R>3</R>
                        </TtlCtgProps>
                      </TtlCtg>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Declaratio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11</SON>
                                <VOFFF><![CDATA[=§A¿0,1,0,1,41,2,1,-1,0,0,FALSE,FALSE§Z¿]]></VOFFF>
                                <UDAV><![CDATA[Yes]]></UDAV>
                              </ClmnBlkPtProps>
                              <FmtCnds>
                                <FmtCnd>
                                  <FmtCndProps>
                                    <CBPLI>1,1,19,2,1</CBPLI>
                                    <FCN>1</FCN>
                                    <FCT>1</FCT>
                                    <FCO>3</FCO>
                                    <F1FFF><![CDATA[=§A¿1,2,2,1,10,1,1,1,1§Z¿]]></F1FFF>
                                    <F2FFF/>
                                    <SIT>False</SIT>
                                    <BSV>True</BSV>
                                    <BCT>0</BCT>
                                    <CNBCN>0</CNBCN>
                                    <BTAS>0</BTAS>
                                    <IST>1</IST>
                                    <RO>False</RO>
                                    <SIO>False</SIO>
                                    <TO>0</TO>
                                    <TS/>
                                    <DO>1</DO>
                                    <TB>1</TB>
                                    <R>10</R>
                                    <P>False</P>
                                    <AB>0</AB>
                                    <NSD>1</NSD>
                                    <DU>1</DU>
                                    <INF>False</INF>
                                    <NT>0</NT>
                                    <DP>0</DP>
                                    <CNF/>
                                  </FmtCndProps>
                                  <FntOvly>
                                    <FntOvlyProps>
                                      <PT>2</PT>
                                      <SON>0</SON>
                                      <CBPLI>1,1,19,2,1</CBPLI>
                                      <FCN>1</FCN>
                                      <CN>0</CN>
                                      <IB>True</IB>
                                      <II>True</II>
                                      <B>True</B>
                                      <I>False</I>
                                    </FntOvlyProps>
                                  </FntOvly>
                                  <BdrOvlys>
                                    <BdrOvly>
                                      <BdrOvlyProps>
                                        <PT>2</PT>
                                        <SON>0</SON>
                                        <CBPLI>1,1,19,2,1</CBPLI>
                                        <FCN>1</FCN>
                                        <I>True</I>
                                        <BI>7</BI>
                                        <LS>1</LS>
                                        <W>2</W>
                                      </BdrOvlyProps>
                                    </BdrOvly>
                                    <BdrOvly>
                                      <BdrOvlyProps>
                                        <PT>2</PT>
                                        <SON>0</SON>
                                        <CBPLI>1,1,19,2,1</CBPLI>
                                        <FCN>1</FCN>
                                        <I>True</I>
                                        <BI>10</BI>
                                        <LS>1</LS>
                                        <W>2</W>
                                      </BdrOvlyProps>
                                    </BdrOvly>
                                    <BdrOvly>
                                      <BdrOvlyProps>
                                        <PT>2</PT>
                                        <SON>0</SON>
                                        <CBPLI>1,1,19,2,1</CBPLI>
                                        <FCN>1</FCN>
                                        <I>True</I>
                                        <BI>8</BI>
                                        <LS>1</LS>
                                        <W>2</W>
                                      </BdrOvlyProps>
                                    </BdrOvly>
                                    <BdrOvly>
                                      <BdrOvlyProps>
                                        <PT>2</PT>
                                        <SON>0</SON>
                                        <CBPLI>1,1,19,2,1</CBPLI>
                                        <FCN>1</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Determination Method]]></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11</SON>
                                <VOFFF><![CDATA[% of NPAT]]></VOFFF>
                                <UDAV><![CDATA[% of NPAT]]></UDAV>
                              </ClmnBlkPtProps>
                              <Vdtn>
                                <VdtnProps>
                                  <CBPLI>1,1,20,2,1</CBPLI>
                                  <ADVT>-1</ADVT>
                                  <VT>3</VT>
                                  <AS>1</AS>
                                  <O>1</O>
                                  <F1FFF><![CDATA[=§A¿1,1,2,1,6,0,1,1,1§Z¿]]></F1FFF>
                                  <F2FFF/>
                                  <IB>False</IB>
                                  <ICDD>True</ICDD>
                                  <SI>False</SI>
                                  <IT/>
                                  <IM/>
                                  <SE>True</SE>
                                  <ET><![CDATA[Dividend Determination Method]]></ET>
                                  <EM><![CDATA[A dividend determination method must be selected from the list of available methods.]]></EM>
                                  <IMO>0</IMO>
                                </VdtnProps>
                              </Vdtn>
                              <FmtCnds>
                                <FmtCnd>
                                  <FmtCndProps>
                                    <CBPLI>1,1,20,2,1</CBPLI>
                                    <FCN>1</FCN>
                                    <FCT>2</FCT>
                                    <FCO>1</FCO>
                                    <F1FFF><![CDATA[=§A¿0,1,0,1,19,2,1,-1,0,0,FALSE,FALSE§Z¿=§A¿1,2,2,1,10,2,1,1,1§Z¿]]></F1FFF>
                                    <F2FFF/>
                                    <SIT>False</SIT>
                                    <BSV>True</BSV>
                                    <BCT>0</BCT>
                                    <CNBCN>0</CNBCN>
                                    <BTAS>0</BTAS>
                                    <IST>1</IST>
                                    <RO>False</RO>
                                    <SIO>False</SIO>
                                    <TO>0</TO>
                                    <TS/>
                                    <DO>1</DO>
                                    <TB>1</TB>
                                    <R>10</R>
                                    <P>False</P>
                                    <AB>0</AB>
                                    <NSD>1</NSD>
                                    <DU>1</DU>
                                    <INF>False</INF>
                                    <NT>0</NT>
                                    <DP>0</DP>
                                    <CNF/>
                                  </FmtCndProps>
                                  <FntOvly>
                                    <FntOvlyProps>
                                      <PT>2</PT>
                                      <SON>0</SON>
                                      <CBPLI>1,1,20,2,1</CBPLI>
                                      <FCN>1</FCN>
                                      <CN>0</CN>
                                      <IC>True</IC>
                                      <CT>3</CT>
                                      <CNU>3</CNU>
                                      <CPR>0</CPR>
                                      <TAS>0</TAS>
                                    </FntOvlyProps>
                                  </FntOvly>
                                  <IntOvly>
                                    <IntOvlyProps>
                                      <PT>2</PT>
                                      <SON>0</SON>
                                      <CBPLI>1,1,20,2,1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Payout Ratio (% of NPAT)]]></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9</SON>
                                <VOFFF><![CDATA[0]]></VOFFF>
                                <UDAV><![CDATA[0]]></UDAV>
                              </ClmnBlkPtProps>
                              <Vdtn>
                                <VdtnProps>
                                  <CBPLI>1,1,21,2,1</CBPLI>
                                  <ADVT>0</ADVT>
                                  <VT>7</VT>
                                </VdtnProps>
                              </Vdtn>
                              <FmtCnds>
                                <FmtCnd>
                                  <FmtCndProps>
                                    <CBPLI>1,1,21,2,1</CBPLI>
                                    <FCN>1</FCN>
                                    <FCT>2</FCT>
                                    <FCO>1</FCO>
                                    <F1FFF><![CDATA[=OR(§A¿0,1,0,1,19,2,1,-1,0,0,FALSE,FALSE§Z¿=§A¿1,2,2,1,10,2,1,1,1§Z¿,§A¿0,1,0,1,20,2,1,-1,0,0,FALSE,FALSE§Z¿<>§A¿1,2,2,1,6,1,1,1,1§Z¿)]]></F1FFF>
                                    <F2FFF/>
                                    <SIT>False</SIT>
                                    <BSV>True</BSV>
                                    <BCT>0</BCT>
                                    <CNBCN>0</CNBCN>
                                    <BTAS>0</BTAS>
                                    <IST>1</IST>
                                    <RO>False</RO>
                                    <SIO>False</SIO>
                                    <TO>0</TO>
                                    <TS/>
                                    <DO>1</DO>
                                    <TB>1</TB>
                                    <R>10</R>
                                    <P>False</P>
                                    <AB>0</AB>
                                    <NSD>1</NSD>
                                    <DU>1</DU>
                                    <INF>False</INF>
                                    <NT>0</NT>
                                    <DP>0</DP>
                                    <CNF/>
                                  </FmtCndProps>
                                  <FntOvly>
                                    <FntOvlyProps>
                                      <PT>2</PT>
                                      <SON>0</SON>
                                      <CBPLI>1,1,21,2,1</CBPLI>
                                      <FCN>1</FCN>
                                      <CN>0</CN>
                                      <IC>True</IC>
                                      <CT>3</CT>
                                      <CNU>3</CNU>
                                      <CPR>0</CPR>
                                      <TAS>0</TAS>
                                    </FntOvlyProps>
                                  </FntOvly>
                                  <IntOvly>
                                    <IntOvlyProps>
                                      <PT>2</PT>
                                      <SON>0</SON>
                                      <CBPLI>1,1,21,2,1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Amount]]></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1,1,22,2,1</CBPLI>
                                  <ADVT>0</ADVT>
                                  <VT>7</VT>
                                </VdtnProps>
                              </Vdtn>
                              <FmtCnds>
                                <FmtCnd>
                                  <FmtCndProps>
                                    <CBPLI>1,1,22,2,1</CBPLI>
                                    <FCN>1</FCN>
                                    <FCT>2</FCT>
                                    <FCO>1</FCO>
                                    <F1FFF><![CDATA[=OR(§A¿0,1,0,1,19,2,1,-1,0,0,FALSE,FALSE§Z¿=§A¿1,2,2,1,10,2,1,1,1§Z¿,§A¿0,1,0,1,20,2,1,-1,0,0,FALSE,FALSE§Z¿<>§A¿1,2,2,1,6,2,1,1,1§Z¿)]]></F1FFF>
                                    <F2FFF/>
                                    <SIT>False</SIT>
                                    <BSV>True</BSV>
                                    <BCT>0</BCT>
                                    <CNBCN>0</CNBCN>
                                    <BTAS>0</BTAS>
                                    <IST>1</IST>
                                    <RO>False</RO>
                                    <SIO>False</SIO>
                                    <TO>0</TO>
                                    <TS/>
                                    <DO>1</DO>
                                    <TB>1</TB>
                                    <R>10</R>
                                    <P>False</P>
                                    <AB>0</AB>
                                    <NSD>1</NSD>
                                    <DU>1</DU>
                                    <INF>False</INF>
                                    <NT>0</NT>
                                    <DP>0</DP>
                                    <CNF/>
                                  </FmtCndProps>
                                  <FntOvly>
                                    <FntOvlyProps>
                                      <PT>2</PT>
                                      <SON>0</SON>
                                      <CBPLI>1,1,22,2,1</CBPLI>
                                      <FCN>1</FCN>
                                      <CN>0</CN>
                                      <IC>True</IC>
                                      <CT>3</CT>
                                      <CNU>3</CNU>
                                      <CPR>0</CPR>
                                      <TAS>0</TAS>
                                    </FntOvlyProps>
                                  </FntOvly>
                                  <IntOvly>
                                    <IntOvlyProps>
                                      <PT>2</PT>
                                      <SON>0</SON>
                                      <CBPLI>1,1,22,2,1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 Payment Delay (Month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3</SON>
                                <VOFFF><![CDATA[1]]></VOFFF>
                                <UDAV><![CDATA[1]]></UDAV>
                              </ClmnBlkPtProps>
                              <Vdtn>
                                <VdtnProps>
                                  <CBPLI>1,1,23,2,1</CBPLI>
                                  <ADVT>-1</ADVT>
                                  <VT>1</VT>
                                  <AS>1</AS>
                                  <O>5</O>
                                  <F1FFF><![CDATA[0]]></F1FFF>
                                  <F2FFF/>
                                  <IB>False</IB>
                                  <ICDD>False</ICDD>
                                  <SI>False</SI>
                                  <IT/>
                                  <IM/>
                                  <SE>True</SE>
                                  <ET><![CDATA[Dividend Payment Delay]]></ET>
                                  <EM><![CDATA[The dividend payment delay must be whole number of months greater than zero.]]></EM>
                                  <IMO>0</IMO>
                                </VdtnProps>
                              </Vdtn>
                              <FmtCnds>
                                <FmtCnd>
                                  <FmtCndProps>
                                    <CBPLI>1,1,23,2,1</CBPLI>
                                    <FCN>1</FCN>
                                    <FCT>2</FCT>
                                    <FCO>1</FCO>
                                    <F1FFF><![CDATA[=§A¿0,1,0,1,19,2,1,-1,0,0,FALSE,FALSE§Z¿=§A¿1,2,2,1,10,2,1,1,1§Z¿]]></F1FFF>
                                    <F2FFF/>
                                    <SIT>False</SIT>
                                    <BSV>True</BSV>
                                    <BCT>0</BCT>
                                    <CNBCN>0</CNBCN>
                                    <BTAS>0</BTAS>
                                    <IST>1</IST>
                                    <RO>False</RO>
                                    <SIO>False</SIO>
                                    <TO>0</TO>
                                    <TS/>
                                    <DO>1</DO>
                                    <TB>1</TB>
                                    <R>10</R>
                                    <P>False</P>
                                    <AB>0</AB>
                                    <NSD>1</NSD>
                                    <DU>1</DU>
                                    <INF>False</INF>
                                    <NT>0</NT>
                                    <DP>0</DP>
                                    <CNF/>
                                  </FmtCndProps>
                                  <FntOvly>
                                    <FntOvlyProps>
                                      <PT>2</PT>
                                      <SON>0</SON>
                                      <CBPLI>1,1,23,2,1</CBPLI>
                                      <FCN>1</FCN>
                                      <CN>0</CN>
                                      <IC>True</IC>
                                      <CT>3</CT>
                                      <CNU>3</CNU>
                                      <CPR>0</CPR>
                                      <TAS>0</TAS>
                                    </FntOvlyProps>
                                  </FntOvly>
                                  <IntOvly>
                                    <IntOvlyProps>
                                      <PT>2</PT>
                                      <SON>0</SON>
                                      <CBPLI>1,1,23,2,1</CBPLI>
                                      <FCN>1</FCN>
                                      <IC>True</IC>
                                    </IntOvlyProps>
                                  </IntOvly>
                                </FmtCnd>
                              </FmtCnds>
                            </ClmnBlkPt>
                          </ClmnBlkPts>
                        </ClmnBlk>
                      </ClmnBlks>
                      <TtlCtg>
                        <TtlCtgProps>
                          <R>3</R>
                        </TtlCtgProps>
                      </TtlCtg>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15</ST>
                                <SON>8</SON>
                                <VOFFF><![CDATA[True]]></VOFFF>
                                <UDAV><![CDATA[True]]></UDAV>
                              </ClmnBlkPtProps>
                              <Vdtn>
                                <VdtnProps>
                                  <CBPLI>1,1,25,1,1</CBPLI>
                                  <ADVT>-1</ADVT>
                                  <VT>7</VT>
                                  <AS>1</AS>
                                  <O>1</O>
                                  <F1FFF><![CDATA[=ISLOGICAL(§A¿0,1,0,1,25,1,1,0,0,0,FALSE,FALSE§Z¿)]]></F1FFF>
                                  <F2FFF/>
                                  <IB>False</IB>
                                  <ICDD>False</ICDD>
                                  <SI>False</SI>
                                  <IT/>
                                  <IM/>
                                  <SE>True</SE>
                                  <ET><![CDATA[Check Box Cell Link]]></ET>
                                  <EM><![CDATA[The value in a check box cell link must be either "TRUE" or "FALSE"]]></EM>
                                  <IMO>0</IMO>
                                </VdtnProps>
                              </Vdtn>
                              <RgeNmes>
                                <RgeNme>
                                  <RgeNmeProps>
                                    <CBPLI>1,1,25,1,1</CBPLI>
                                    <MCN>1</MCN>
                                    <SN>1</SN>
                                    <EN>25</EN>
                                    <CN>0</CN>
                                    <CBN>1</CBN>
                                    <CBPN>1</CBPN>
                                    <PT>1</PT>
                                    <CBPRNT>6</CBPRNT>
                                    <NT>0</NT>
                                    <SP1><![CDATA[Cash_Limit_Div]]></SP1>
                                    <SP2/>
                                    <FFF/>
                                    <CMT/>
                                  </RgeNmeProps>
                                </RgeNme>
                              </RgeNmes>
                            </ClmnBlkPt>
                          </ClmnBlkPts>
                        </ClmnBlk>
                        <ClmnBlk>
                          <ClmnBlkProps>
                            <FCPT>3</FCPT>
                            <FCN>3</FCN>
                            <FCOT>0</FCOT>
                            <FCOC>0</FCOC>
                            <FCPTBMCN>4</FCPTBMCN>
                            <FCPTBN>2</FCPTBN>
                            <LCPT>3</LCPT>
                            <LCN>3</LCN>
                            <LCOT>0</LCOT>
                            <LCOC>0</LCOC>
                            <LCPTBMCN>4</LCPTBMCN>
                            <LCPTBN>2</LCPTBN>
                          </ClmnBlkProps>
                          <ClmnBlkPts>
                            <ClmnBlkPt>
                              <ClmnBlkPtProps>
                                <CBPT>5</CBPT>
                                <ST>6</ST>
                                <VOFFF><![CDATA[Limit dividends to prevent negative cash at bank?]]></VOFFF>
                              </ClmnBlkPtProps>
                            </ClmnBlkPt>
                          </ClmnBlkPts>
                        </ClmnBlk>
                      </ClmnBlks>
                      <TtlCtg>
                        <TtlCtgProps>
                          <R>3</R>
                        </TtlCtgProps>
                      </TtlCtg>
                      <ShpNmes>
                        <ShpNme>
                          <ShpNmeProps>
                            <ELI>1,1,25</ELI>
                            <COSTN>0</COSTN>
                            <ST>1</ST>
                            <SNPT>2</SNPT>
                            <N><![CDATA[bpmCheckBoxEq_Ord1]]></N>
                            <SHN>1</SHN>
                            <SHTN>1</SHTN>
                          </ShpNmeProps>
                        </ShpNme>
                      </ShpNmes>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Financial Statements Data]]></VOFFF>
                              </ClmnBlkPtProps>
                            </ClmnBlkPt>
                          </ClmnBlkPts>
                        </ClmnBlk>
                      </ClmnBlk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Retained Profit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1,1,28,2,1</CBPLI>
                                  <ADVT>0</ADVT>
                                  <VT>7</VT>
                                </VdtnProps>
                              </Vdtn>
                              <LnkInForms>
                                <LnkInForm>
                                  <LnkInFormProps>
                                    <CBPLI>1,1,28,2,1</CBPLI>
                                    <ELN>1</ELN>
                                    <FFF><![CDATA[=§A¿10,FALSE,0,2,0,FALSE§Z¿]]></FFF>
                                  </LnkInFormProps>
                                </LnkInForm>
                              </LnkInForms>
                            </ClmnBlkPt>
                          </ClmnBlkPts>
                        </ClmnBlk>
                      </ClmnBlks>
                      <TtlCtg>
                        <TtlCtgProps>
                          <R>5</R>
                        </TtlCtgProps>
                        <LnkIn>
                          <LnkInProps>
                            <MN>44</MN>
                            <CLI>1,1,28,True,0</CLI>
                            <ELN>1</ELN>
                            <LOOT>2</LOOT>
                            <LOMN>5</LOMN>
                            <LOMCN>1</LOMCN>
                            <LOSN>1</LOSN>
                            <LOEN>60</LOEN>
                            <LOCN>0</LOCN>
                          </LnkInProps>
                        </LnkIn>
                      </TtlCtg>
                      <ElmtLnksIn>
                        <ElmtLnk>
                          <ElmtLnkProps>
                            <ELI>1,1,28</ELI>
                            <ELN>1</ELN>
                            <ELGN>1</ELGN>
                            <MLG>1A1B4EF6-4881-4FAA-B178-EB5D5229CEED</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Profit After Tax (NPAT)]]></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1,1,29,2,1</CBPLI>
                                  <ADVT>0</ADVT>
                                  <VT>7</VT>
                                </VdtnProps>
                              </Vdtn>
                              <LnkInForms>
                                <LnkInForm>
                                  <LnkInFormProps>
                                    <CBPLI>1,1,29,2,1</CBPLI>
                                    <ELN>1</ELN>
                                    <FFF><![CDATA[=§A¿10,FALSE,0,2,0,FALSE§Z¿]]></FFF>
                                  </LnkInFormProps>
                                </LnkInForm>
                              </LnkInForms>
                            </ClmnBlkPt>
                          </ClmnBlkPts>
                        </ClmnBlk>
                      </ClmnBlks>
                      <TtlCtg>
                        <TtlCtgProps>
                          <R>5</R>
                        </TtlCtgProps>
                        <LnkIn>
                          <LnkInProps>
                            <MN>44</MN>
                            <CLI>1,1,29,True,0</CLI>
                            <ELN>1</ELN>
                            <LOOT>2</LOOT>
                            <LOMN>4</LOMN>
                            <LOMCN>1</LOMCN>
                            <LOSN>1</LOSN>
                            <LOEN>40</LOEN>
                            <LOCN>0</LOCN>
                          </LnkInProps>
                        </LnkIn>
                      </TtlCtg>
                      <ElmtLnksIn>
                        <ElmtLnk>
                          <ElmtLnkProps>
                            <ELI>1,1,29</ELI>
                            <ELN>1</ELN>
                            <ELGN>1</ELGN>
                            <MLG>1C7940B5-C830-4EC2-92DF-CBA013375747</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Cash at Bank]]></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1,1,30,2,1</CBPLI>
                                  <ADVT>0</ADVT>
                                  <VT>7</VT>
                                </VdtnProps>
                              </Vdtn>
                              <LnkInForms>
                                <LnkInForm>
                                  <LnkInFormProps>
                                    <CBPLI>1,1,30,2,1</CBPLI>
                                    <ELN>1</ELN>
                                    <FFF><![CDATA[=§A¿10,FALSE,0,2,0,FALSE§Z¿]]></FFF>
                                  </LnkInFormProps>
                                </LnkInForm>
                              </LnkInForms>
                            </ClmnBlkPt>
                          </ClmnBlkPts>
                        </ClmnBlk>
                      </ClmnBlks>
                      <TtlCtg>
                        <TtlCtgProps>
                          <R>5</R>
                        </TtlCtgProps>
                        <LnkIn>
                          <LnkInProps>
                            <MN>44</MN>
                            <CLI>1,1,30,True,0</CLI>
                            <ELN>1</ELN>
                            <LOOT>2</LOOT>
                            <LOMN>5</LOMN>
                            <LOMCN>1</LOMCN>
                            <LOSN>1</LOSN>
                            <LOEN>4</LOEN>
                            <LOCN>0</LOCN>
                          </LnkInProps>
                        </LnkIn>
                      </TtlCtg>
                      <ElmtLnksIn>
                        <ElmtLnk>
                          <ElmtLnkProps>
                            <ELI>1,1,30</ELI>
                            <ELN>1</ELN>
                            <ELGN>1</ELGN>
                            <MLG>4EE07D0D-2C38-4396-B6D0-8C0884450090</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Flow Available For Dividend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1,1,31,2,1</CBPLI>
                                  <ADVT>0</ADVT>
                                  <VT>7</VT>
                                </VdtnProps>
                              </Vdtn>
                              <LnkInForms>
                                <LnkInForm>
                                  <LnkInFormProps>
                                    <CBPLI>1,1,31,2,1</CBPLI>
                                    <ELN>1</ELN>
                                    <FFF><![CDATA[=§A¿10,FALSE,0,2,0,FALSE§Z¿]]></FFF>
                                  </LnkInFormProps>
                                </LnkInForm>
                              </LnkInForms>
                            </ClmnBlkPt>
                          </ClmnBlkPts>
                        </ClmnBlk>
                      </ClmnBlks>
                      <TtlCtg>
                        <TtlCtgProps>
                          <R>5</R>
                        </TtlCtgProps>
                        <LnkIn>
                          <LnkInProps>
                            <MN>44</MN>
                            <CLI>1,1,31,True,0</CLI>
                            <ELN>1</ELN>
                            <LOOT>2</LOOT>
                            <LOMN>6</LOMN>
                            <LOMCN>1</LOMCN>
                            <LOSN>1</LOSN>
                            <LOEN>81</LOEN>
                            <LOCN>0</LOCN>
                          </LnkInProps>
                        </LnkIn>
                      </TtlCtg>
                      <ElmtLnksIn>
                        <ElmtLnk>
                          <ElmtLnkProps>
                            <ELI>1,1,31</ELI>
                            <ELN>1</ELN>
                            <ELGN>1</ELGN>
                            <MLG>A9F1CFBD-8C03-4C56-8C4E-9F9C15EBAB0F</MLG>
                            <ICBI>2</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Dividends Determina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Dividend Declaration Frequency]]></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9,4,0,0,1,7,1,1,-1,0,0,TRU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A¿9,4,0,0,1,7,3,1,-1,0,0,TRU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Financial Year Month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A¿9,4,0,0,1,8,3,1,-1,0,0,TRU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11</SON>
                                <VOFFF><![CDATA[=INDEX(§A¿0,1,1,1,17,2,1,-1,0,0,FALSE,TRUE,1,17,2,1,-1,0,0,FALSE,FALSE§Z¿,1,MATCH(§A¿0,1,0,1,36,2,1,-1,0,0,FALSE,FALSE§Z¿,§A¿0,1,1,1,36,2,1,-1,0,0,FALSE,TRUE,1,36,2,1,-1,0,0,FALSE,FALSE§Z¿,0))]]></VOFFF>
                              </ClmnBlkPtProps>
                            </ClmnBlkPt>
                          </ClmnBlkPts>
                        </ClmnBlk>
                      </ClmnBlks>
                      <TtlCtg>
                        <TtlCtgProps>
                          <R>3</R>
                        </TtlCtgProps>
                      </TtlCtg>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Dividends Declared]]></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11</SON>
                                <VOFFF><![CDATA[=IF(§A¿0,1,0,1,38,2,1,-1,0,0,FALSE,FALSE§Z¿=§A¿1,2,2,1,14,1,1,1,1§Z¿,§A¿1,2,2,1,10,1,1,1,1§Z¿,IF(§A¿0,1,0,1,38,2,1,-1,0,0,FALSE,FALSE§Z¿=§A¿1,2,2,1,14,2,1,1,1§Z¿,IF(MOD(§A¿0,1,0,1,37,2,1,-1,0,0,FALSE,FALSE§Z¿,§A¿7,2,2,1,14,5,1,1,1§Z¿)=0,§A¿1,2,2,1,10,1,1,1,1§Z¿,§A¿1,2,2,1,10,2,1,1,1§Z¿),IF(§A¿0,1,0,1,38,2,1,-1,0,0,FALSE,FALSE§Z¿=§A¿1,2,2,1,14,3,1,1,1§Z¿,IF(MOD(§A¿0,1,0,1,37,2,1,-1,0,0,FALSE,FALSE§Z¿,§A¿7,2,2,1,14,6,1,1,1§Z¿)=0,§A¿1,2,2,1,10,1,1,1,1§Z¿,§A¿1,2,2,1,10,2,1,1,1§Z¿),IF(§A¿0,1,0,1,38,2,1,-1,0,0,FALSE,FALSE§Z¿=§A¿1,2,2,1,14,4,1,1,1§Z¿,IF(MOD(§A¿0,1,0,1,37,2,1,-1,0,0,FALSE,FALSE§Z¿,§A¿7,2,2,1,14,7,1,1,1§Z¿)=0,§A¿1,2,2,1,10,1,1,1,1§Z¿,§A¿1,2,2,1,10,2,1,1,1§Z¿),§A¿1,2,2,1,10,2,1,1,1§Z¿))))]]></VOFFF>
                              </ClmnBlkPtProps>
                              <FmtCnds>
                                <FmtCnd>
                                  <FmtCndProps>
                                    <CBPLI>1,1,41,2,1</CBPLI>
                                    <FCN>1</FCN>
                                    <FCT>1</FCT>
                                    <FCO>3</FCO>
                                    <F1FFF><![CDATA[=§A¿1,2,2,1,10,1,1,1,1§Z¿]]></F1FFF>
                                    <F2FFF/>
                                    <SIT>False</SIT>
                                    <BSV>True</BSV>
                                    <BCT>0</BCT>
                                    <CNBCN>0</CNBCN>
                                    <BTAS>0</BTAS>
                                    <IST>1</IST>
                                    <RO>False</RO>
                                    <SIO>False</SIO>
                                    <TO>0</TO>
                                    <TS/>
                                    <DO>1</DO>
                                    <TB>1</TB>
                                    <R>10</R>
                                    <P>False</P>
                                    <AB>0</AB>
                                    <NSD>1</NSD>
                                    <DU>1</DU>
                                    <INF>False</INF>
                                    <NT>0</NT>
                                    <DP>0</DP>
                                    <CNF/>
                                  </FmtCndProps>
                                  <FntOvly>
                                    <FntOvlyProps>
                                      <PT>2</PT>
                                      <SON>0</SON>
                                      <CBPLI>1,1,41,2,1</CBPLI>
                                      <FCN>1</FCN>
                                      <CN>0</CN>
                                      <IB>True</IB>
                                      <II>True</II>
                                      <B>True</B>
                                      <I>False</I>
                                    </FntOvlyProps>
                                  </FntOvly>
                                  <BdrOvlys>
                                    <BdrOvly>
                                      <BdrOvlyProps>
                                        <PT>2</PT>
                                        <SON>0</SON>
                                        <CBPLI>1,1,41,2,1</CBPLI>
                                        <FCN>1</FCN>
                                        <I>True</I>
                                        <BI>7</BI>
                                        <LS>1</LS>
                                        <W>2</W>
                                      </BdrOvlyProps>
                                    </BdrOvly>
                                    <BdrOvly>
                                      <BdrOvlyProps>
                                        <PT>2</PT>
                                        <SON>0</SON>
                                        <CBPLI>1,1,41,2,1</CBPLI>
                                        <FCN>1</FCN>
                                        <I>True</I>
                                        <BI>10</BI>
                                        <LS>1</LS>
                                        <W>2</W>
                                      </BdrOvlyProps>
                                    </BdrOvly>
                                    <BdrOvly>
                                      <BdrOvlyProps>
                                        <PT>2</PT>
                                        <SON>0</SON>
                                        <CBPLI>1,1,41,2,1</CBPLI>
                                        <FCN>1</FCN>
                                        <I>True</I>
                                        <BI>8</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8,2,1,-1,0,0,FALSE,FALSE§Z¿]]></VOFFF>
                              </ClmnBlkPtProps>
                              <FmtCnds>
                                <FmtCnd>
                                  <FmtCndProps>
                                    <CBPLI>1,1,42,2,1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1,1,42,2,1</CBPLI>
                                        <FCN>1</FCN>
                                        <I>True</I>
                                        <BI>7</BI>
                                        <LS>1</LS>
                                        <W>2</W>
                                      </BdrOvlyProps>
                                    </BdrOvly>
                                    <BdrOvly>
                                      <BdrOvlyProps>
                                        <PT>2</PT>
                                        <SON>0</SON>
                                        <CBPLI>1,1,42,2,1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9,2,1,-1,0,0,FALSE,FALSE§Z¿]]></VOFFF>
                              </ClmnBlkPtProps>
                              <FmtCnds>
                                <FmtCnd>
                                  <FmtCndProps>
                                    <CBPLI>1,1,43,2,1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1,1,43,2,1</CBPLI>
                                        <FCN>1</FCN>
                                        <I>True</I>
                                        <BI>7</BI>
                                        <LS>1</LS>
                                        <W>2</W>
                                      </BdrOvlyProps>
                                    </BdrOvly>
                                    <BdrOvly>
                                      <BdrOvlyProps>
                                        <PT>2</PT>
                                        <SON>0</SON>
                                        <CBPLI>1,1,43,2,1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aximum Dividends Allow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MAX(SUM(§A¿0,1,1,1,42,2,1,-1,0,0,FALSE,FALSE,1,43,2,1,-1,0,0,FALSE,FALSE§Z¿),0)]]></VOFFF>
                              </ClmnBlkPtProps>
                              <FmtCnds>
                                <FmtCnd>
                                  <FmtCndProps>
                                    <CBPLI>1,1,44,2,1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1,1,44,2,1</CBPLI>
                                        <FCN>1</FCN>
                                        <I>True</I>
                                        <BI>7</BI>
                                        <LS>1</LS>
                                        <W>2</W>
                                      </BdrOvlyProps>
                                    </BdrOvly>
                                    <BdrOvly>
                                      <BdrOvlyProps>
                                        <PT>2</PT>
                                        <SON>0</SON>
                                        <CBPLI>1,1,44,2,1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3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30,2,1,-1,0,0,FALSE,FALSE§Z¿]]></VOFFF>
                              </ClmnBlkPtProps>
                              <FmtCnds>
                                <FmtCnd>
                                  <FmtCndProps>
                                    <CBPLI>1,1,45,2,1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1,1,45,2,1</CBPLI>
                                        <FCN>1</FCN>
                                        <I>True</I>
                                        <BI>7</BI>
                                        <LS>1</LS>
                                        <W>2</W>
                                      </BdrOvlyProps>
                                    </BdrOvly>
                                    <BdrOvly>
                                      <BdrOvlyProps>
                                        <PT>2</PT>
                                        <SON>0</SON>
                                        <CBPLI>1,1,45,2,1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3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31,2,1,-1,0,0,FALSE,FALSE§Z¿]]></VOFFF>
                              </ClmnBlkPtProps>
                              <FmtCnds>
                                <FmtCnd>
                                  <FmtCndProps>
                                    <CBPLI>1,1,46,2,1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1,1,46,2,1</CBPLI>
                                        <FCN>1</FCN>
                                        <I>True</I>
                                        <BI>7</BI>
                                        <LS>1</LS>
                                        <W>2</W>
                                      </BdrOvlyProps>
                                    </BdrOvly>
                                    <BdrOvly>
                                      <BdrOvlyProps>
                                        <PT>2</PT>
                                        <SON>0</SON>
                                        <CBPLI>1,1,46,2,1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vailable Cash For Dividend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SUM(§A¿0,1,1,1,45,2,1,-1,0,0,FALSE,FALSE,1,46,2,1,-1,0,0,FALSE,FALSE§Z¿)]]></VOFFF>
                              </ClmnBlkPtProps>
                              <FmtCnds>
                                <FmtCnd>
                                  <FmtCndProps>
                                    <CBPLI>1,1,47,2,1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1,1,47,2,1</CBPLI>
                                        <FCN>1</FCN>
                                        <I>True</I>
                                        <BI>7</BI>
                                        <LS>1</LS>
                                        <W>2</W>
                                      </BdrOvlyProps>
                                    </BdrOvly>
                                    <BdrOvly>
                                      <BdrOvlyProps>
                                        <PT>2</PT>
                                        <SON>0</SON>
                                        <CBPLI>1,1,47,2,1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11</SON>
                                <VOFFF><![CDATA[=IF(§A¿0,1,0,1,41,2,1,-1,0,0,FALSE,FALSE§Z¿=§A¿1,2,2,1,10,1,1,1,1§Z¿,§A¿0,1,0,1,20,2,1,-1,0,0,FALSE,FALSE§Z¿,"-")]]></VOFFF>
                              </ClmnBlkPtProps>
                              <FmtCnds>
                                <FmtCnd>
                                  <FmtCndProps>
                                    <CBPLI>1,1,48,2,1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1,1,48,2,1</CBPLI>
                                        <FCN>1</FCN>
                                        <I>True</I>
                                        <BI>7</BI>
                                        <LS>1</LS>
                                        <W>2</W>
                                      </BdrOvlyProps>
                                    </BdrOvly>
                                    <BdrOvly>
                                      <BdrOvlyProps>
                                        <PT>2</PT>
                                        <SON>0</SON>
                                        <CBPLI>1,1,48,2,1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12</SON>
                                <VOFFF><![CDATA[=IF(AND(§A¿0,1,0,1,41,2,1,-1,0,0,FALSE,FALSE§Z¿=§A¿1,2,2,1,10,1,1,1,1§Z¿,§A¿0,1,0,1,48,2,1,-1,0,0,FALSE,FALSE§Z¿=§A¿1,2,2,1,6,1,1,1,1§Z¿),§A¿0,1,0,1,21,2,1,-1,0,0,FALSE,FALSE§Z¿,0)]]></VOFFF>
                              </ClmnBlkPtProps>
                              <FmtCnds>
                                <FmtCnd>
                                  <FmtCndProps>
                                    <CBPLI>1,1,49,2,1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1,1,49,2,1</CBPLI>
                                        <FCN>1</FCN>
                                        <I>True</I>
                                        <BI>7</BI>
                                        <LS>1</LS>
                                        <W>2</W>
                                      </BdrOvlyProps>
                                    </BdrOvly>
                                    <BdrOvly>
                                      <BdrOvlyProps>
                                        <PT>2</PT>
                                        <SON>0</SON>
                                        <CBPLI>1,1,49,2,1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nths in Dividend Declaratio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41,2,1,-1,0,0,FALSE,FALSE§Z¿=§A¿1,2,2,1,10,1,1,1,1§Z¿,MIN(§A¿9,4,0,0,1,6,3,1,-1,0,0,TRUE,FALSE§Z¿,IF(§A¿0,1,0,1,38,2,1,-1,0,0,FALSE,FALSE§Z¿=§A¿1,2,2,1,14,4,1,1,1§Z¿,§A¿7,2,2,1,14,7,1,1,1§Z¿,IF(§A¿0,1,0,1,38,2,1,-1,0,0,FALSE,FALSE§Z¿=§A¿1,2,2,1,14,3,1,1,1§Z¿,§A¿7,2,2,1,14,6,1,1,1§Z¿,IF(§A¿0,1,0,1,38,2,1,-1,0,0,FALSE,FALSE§Z¿=§A¿1,2,2,1,14,2,1,1,1§Z¿,§A¿7,2,2,1,14,5,1,1,1§Z¿,1)))),0)]]></VOFFF>
                              </ClmnBlkPtProps>
                              <FmtCnds>
                                <FmtCnd>
                                  <FmtCndProps>
                                    <CBPLI>1,1,50,2,1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1,1,50,2,1</CBPLI>
                                        <FCN>1</FCN>
                                        <I>True</I>
                                        <BI>7</BI>
                                        <LS>1</LS>
                                        <W>2</W>
                                      </BdrOvlyProps>
                                    </BdrOvly>
                                    <BdrOvly>
                                      <BdrOvlyProps>
                                        <PT>2</PT>
                                        <SON>0</SON>
                                        <CBPLI>1,1,50,2,1</CBPLI>
                                        <FCN>1</FCN>
                                        <I>True</I>
                                        <BI>10</BI>
                                        <LS>1</LS>
                                        <W>2</W>
                                      </BdrOvlyProps>
                                    </BdrOvly>
                                  </BdrOvlys>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PAT for Dividends Determin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ND(§A¿0,1,0,1,41,2,1,-1,0,0,FALSE,FALSE§Z¿=§A¿1,2,2,1,10,1,1,1,1§Z¿,§A¿0,1,0,1,48,2,1,-1,0,0,FALSE,FALSE§Z¿=§A¿1,2,2,1,6,1,1,1,1§Z¿),SUM(OFFSET(§A¿0,1,0,1,43,2,1,-1,0,0,FALSE,FALSE§Z¿,0,1-§A¿0,1,0,1,50,2,1,-1,0,0,FALSE,FALSE§Z¿,1,§A¿0,1,0,1,50,2,1,-1,0,0,FALSE,FALSE§Z¿)),0)]]></VOFFF>
                              </ClmnBlkPtProps>
                              <FmtCnds>
                                <FmtCnd>
                                  <FmtCndProps>
                                    <CBPLI>1,1,51,2,1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1,1,51,2,1</CBPLI>
                                        <FCN>1</FCN>
                                        <I>True</I>
                                        <BI>7</BI>
                                        <LS>1</LS>
                                        <W>2</W>
                                      </BdrOvlyProps>
                                    </BdrOvly>
                                    <BdrOvly>
                                      <BdrOvlyProps>
                                        <PT>2</PT>
                                        <SON>0</SON>
                                        <CBPLI>1,1,51,2,1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ND(§A¿0,1,0,1,41,2,1,-1,0,0,FALSE,FALSE§Z¿=§A¿1,2,2,1,10,1,1,1,1§Z¿,§A¿0,1,0,1,48,2,1,-1,0,0,FALSE,FALSE§Z¿=§A¿1,2,2,1,6,2,1,1,1§Z¿),§A¿0,1,0,1,22,2,1,-1,0,0,FALSE,FALSE§Z¿,0)]]></VOFFF>
                              </ClmnBlkPtProps>
                              <FmtCnds>
                                <FmtCnd>
                                  <FmtCndProps>
                                    <CBPLI>1,1,52,2,1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1,1,52,2,1</CBPLI>
                                        <FCN>1</FCN>
                                        <I>True</I>
                                        <BI>7</BI>
                                        <LS>1</LS>
                                        <W>2</W>
                                      </BdrOvlyProps>
                                    </BdrOvly>
                                    <BdrOvly>
                                      <BdrOvlyProps>
                                        <PT>2</PT>
                                        <SON>0</SON>
                                        <CBPLI>1,1,52,2,1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arget Dividends Declar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13</SON>
                                <VOFFF><![CDATA[=IF(§A¿0,1,0,1,41,2,1,-1,0,0,FALSE,FALSE§Z¿<>§A¿1,2,2,1,10,1,1,1,1§Z¿,0,MAX(0,IF(§A¿0,1,0,1,48,2,1,-1,0,0,FALSE,FALSE§Z¿=§A¿1,2,2,1,6,1,1,1,1§Z¿,§A¿0,1,0,1,49,2,1,-1,0,0,FALSE,FALSE§Z¿*§A¿0,1,0,1,51,2,1,-1,0,0,FALSE,FALSE§Z¿,§A¿0,1,0,1,52,2,1,-1,0,0,FALSE,FALSE§Z¿)))]]></VOFFF>
                              </ClmnBlkPtProps>
                              <FmtCnds>
                                <FmtCnd>
                                  <FmtCndProps>
                                    <CBPLI>1,1,53,2,1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1,1,53,2,1</CBPLI>
                                        <FCN>1</FCN>
                                        <I>True</I>
                                        <BI>7</BI>
                                        <LS>1</LS>
                                        <W>2</W>
                                      </BdrOvlyProps>
                                    </BdrOvly>
                                    <BdrOvly>
                                      <BdrOvlyProps>
                                        <PT>2</PT>
                                        <SON>0</SON>
                                        <CBPLI>1,1,53,2,1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s Limited To Prevent Negative Cash]]></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11</SON>
                                <VOFFF><![CDATA[=IF(§A¿0,1,0,1,41,2,1,-1,0,0,FALSE,FALSE§Z¿=§A¿1,2,2,1,10,1,1,1,1§Z¿,IF(AND(§A¿1,1,1,1,25,0,1,1,1§Z¿,§A¿0,1,0,1,53,2,1,-1,0,0,FALSE,FALSE§Z¿>§A¿0,1,0,1,47,2,1,-1,0,0,FALSE,FALSE§Z¿),§A¿1,2,2,1,10,1,1,1,1§Z¿,§A¿1,2,2,1,10,2,1,1,1§Z¿),"-")]]></VOFFF>
                              </ClmnBlkPtProps>
                              <FmtCnds>
                                <FmtCnd>
                                  <FmtCndProps>
                                    <CBPLI>1,1,54,2,1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1,1,54,2,1</CBPLI>
                                        <FCN>1</FCN>
                                        <I>True</I>
                                        <BI>7</BI>
                                        <LS>1</LS>
                                        <W>2</W>
                                      </BdrOvlyProps>
                                    </BdrOvly>
                                    <BdrOvly>
                                      <BdrOvlyProps>
                                        <PT>2</PT>
                                        <SON>0</SON>
                                        <CBPLI>1,1,54,2,1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IF(§A¿1,1,1,1,25,0,1,1,1§Z¿,MAX(0,MIN(§A¿0,1,0,1,44,2,1,-1,0,0,FALSE,FALSE§Z¿,§A¿0,1,0,1,47,2,1,-1,0,0,FALSE,FALSE§Z¿,§A¿0,1,0,1,53,2,1,-1,0,0,FALSE,FALSE§Z¿)),MAX(0,MIN(§A¿0,1,0,1,44,2,1,-1,0,0,FALSE,FALSE§Z¿,§A¿0,1,0,1,53,2,1,-1,0,0,FALSE,FALSE§Z¿)))]]></VOFFF>
                              </ClmnBlkPtProps>
                              <FmtCnds>
                                <FmtCnd>
                                  <FmtCndProps>
                                    <CBPLI>1,1,55,2,1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1,1,55,2,1</CBPLI>
                                        <FCN>1</FCN>
                                        <I>True</I>
                                        <BI>7</BI>
                                        <LS>1</LS>
                                        <W>2</W>
                                      </BdrOvlyProps>
                                    </BdrOvly>
                                    <BdrOvly>
                                      <BdrOvlyProps>
                                        <PT>2</PT>
                                        <SON>0</SON>
                                        <CBPLI>1,1,55,2,1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41,2,1,-1,0,0,FALSE,FALSE§Z¿<>§A¿1,2,2,1,10,1,1,1,1§Z¿,0,§A¿0,1,0,1,23,2,1,-1,0,0,FALSE,FALSE§Z¿)]]></VOFFF>
                              </ClmnBlkPtProps>
                              <FmtCnds>
                                <FmtCnd>
                                  <FmtCndProps>
                                    <CBPLI>1,1,56,2,1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1,1,56,2,1</CBPLI>
                                        <FCN>1</FCN>
                                        <I>True</I>
                                        <BI>7</BI>
                                        <LS>1</LS>
                                        <W>2</W>
                                      </BdrOvlyProps>
                                    </BdrOvly>
                                    <BdrOvly>
                                      <BdrOvlyProps>
                                        <PT>2</PT>
                                        <SON>0</SON>
                                        <CBPLI>1,1,56,2,1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s Declared - Payment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14</SON>
                                <VOFFF><![CDATA[=IF(§A¿0,1,0,1,41,2,1,-1,0,0,FALSE,FALSE§Z¿<>§A¿1,2,2,1,10,1,1,1,1§Z¿,0,EDATE(§A¿9,4,0,0,1,4,3,1,-1,0,0,TRUE,FALSE§Z¿,1+§A¿0,1,0,1,56,2,1,-1,0,0,FALSE,FALSE§Z¿)-1)]]></VOFFF>
                              </ClmnBlkPtProps>
                              <FmtCnds>
                                <FmtCnd>
                                  <FmtCndProps>
                                    <CBPLI>1,1,57,2,1</CBPLI>
                                    <FCN>1</FCN>
                                    <FCT>2</FCT>
                                    <FCO>1</FCO>
                                    <F1FFF><![CDATA[=§A¿0,1,0,1,41,2,1,-1,0,0,FALSE,FALSE§Z¿=§A¿1,2,2,1,10,1,1,1,1§Z¿]]></F1FFF>
                                    <F2FFF/>
                                    <SIT>False</SIT>
                                    <BSV>True</BSV>
                                    <BCT>0</BCT>
                                    <CNBCN>0</CNBCN>
                                    <BTAS>0</BTAS>
                                    <IST>1</IST>
                                    <RO>False</RO>
                                    <SIO>False</SIO>
                                    <TO>0</TO>
                                    <TS/>
                                    <DO>1</DO>
                                    <TB>1</TB>
                                    <R>10</R>
                                    <P>False</P>
                                    <AB>0</AB>
                                    <NSD>1</NSD>
                                    <DU>1</DU>
                                    <INF>False</INF>
                                    <NT>0</NT>
                                    <DP>0</DP>
                                    <CNF/>
                                  </FmtCndProps>
                                  <BdrOvlys>
                                    <BdrOvly>
                                      <BdrOvlyProps>
                                        <PT>2</PT>
                                        <SON>0</SON>
                                        <CBPLI>1,1,57,2,1</CBPLI>
                                        <FCN>1</FCN>
                                        <I>True</I>
                                        <BI>7</BI>
                                        <LS>1</LS>
                                        <W>2</W>
                                      </BdrOvlyProps>
                                    </BdrOvly>
                                    <BdrOvly>
                                      <BdrOvlyProps>
                                        <PT>2</PT>
                                        <SON>0</SON>
                                        <CBPLI>1,1,57,2,1</CBPLI>
                                        <FCN>1</FCN>
                                        <I>True</I>
                                        <BI>10</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Dividends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SUMIF(§A¿0,1,1,1,57,2,1,-1,0,0,FALSE,TRUE,1,57,2,1,-1,0,0,FALSE,FALSE§Z¿,§A¿9,4,0,0,1,5,3,1,-1,0,0,TRUE,FALSE§Z¿,§A¿0,1,1,1,55,2,1,-1,0,0,FALSE,TRUE,1,55,2,1,-1,0,0,FALSE,FALSE§Z¿)]]></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SUM(§A¿0,1,0,1,75,3,1,-1,0,0,FALSE,FALSE§Z¿,§A¿0,1,0,1,83,3,1,-1,0,0,FALSE,FALSE§Z¿)),1,0)]]></VOFFF>
                              </ClmnBlkPtProps>
                              <FmtCnds>
                                <FmtCnd>
                                  <FmtCndProps>
                                    <CBPLI>1,1,60,2,1</CBPLI>
                                    <FCN>1</FCN>
                                    <FCT>1</FCT>
                                    <FCO>4</FCO>
                                    <F1FFF><![CDATA[=0]]></F1FFF>
                                    <F2FFF/>
                                    <SIT>False</SIT>
                                    <BSV>True</BSV>
                                    <BCT>0</BCT>
                                    <CNBCN>0</CNBCN>
                                    <BTAS>0</BTAS>
                                    <IST>1</IST>
                                    <RO>False</RO>
                                    <SIO>False</SIO>
                                    <TO>0</TO>
                                    <TS/>
                                    <DO>1</DO>
                                    <TB>1</TB>
                                    <R>10</R>
                                    <P>False</P>
                                    <AB>0</AB>
                                    <NSD>1</NSD>
                                    <DU>1</DU>
                                    <INF>False</INF>
                                    <NT>0</NT>
                                    <DP>0</DP>
                                    <CNF/>
                                  </FmtCndProps>
                                  <FntOvly>
                                    <FntOvlyProps>
                                      <PT>2</PT>
                                      <SON>0</SON>
                                      <CBPLI>1,1,60,2,1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rdinary Equity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60,2,1,-1,0,0,FALSE,FALSE§Z¿<>0,0,IF(ROUND(§A¿0,1,0,1,75,3,1,-1,0,0,FALSE,FALSE§Z¿-SUM(§A¿0,1,1,1,72,2,1,-1,0,0,FALSE,FALSE,1,74,2,1,-1,0,0,FALSE,FALSE§Z¿),5)<>0,1,0))]]></VOFFF>
                              </ClmnBlkPtProps>
                              <FmtCnds>
                                <FmtCnd>
                                  <FmtCndProps>
                                    <CBPLI>1,1,61,2,1</CBPLI>
                                    <FCN>1</FCN>
                                    <FCT>1</FCT>
                                    <FCO>4</FCO>
                                    <F1FFF><![CDATA[=0]]></F1FFF>
                                    <F2FFF/>
                                    <SIT>False</SIT>
                                    <BSV>True</BSV>
                                    <BCT>0</BCT>
                                    <CNBCN>0</CNBCN>
                                    <BTAS>0</BTAS>
                                    <IST>1</IST>
                                    <RO>False</RO>
                                    <SIO>False</SIO>
                                    <TO>0</TO>
                                    <TS/>
                                    <DO>1</DO>
                                    <TB>1</TB>
                                    <R>10</R>
                                    <P>False</P>
                                    <AB>0</AB>
                                    <NSD>1</NSD>
                                    <DU>1</DU>
                                    <INF>False</INF>
                                    <NT>0</NT>
                                    <DP>0</DP>
                                    <CNF/>
                                  </FmtCndProps>
                                  <FntOvly>
                                    <FntOvlyProps>
                                      <PT>2</PT>
                                      <SON>0</SON>
                                      <CBPLI>1,1,61,2,1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Dividends Payable Balance Check]]></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60,2,1,-1,0,0,FALSE,FALSE§Z¿<>0,0,IF(ROUND(§A¿0,1,0,1,83,3,1,-1,0,0,FALSE,FALSE§Z¿-SUM(§A¿0,1,0,1,78,2,1,-1,0,0,FALSE,FALSE§Z¿,§A¿0,1,0,1,79,2,1,-1,0,0,FALSE,FALSE§Z¿,§A¿0,1,0,1,82,2,1,-1,0,0,FALSE,FALSE§Z¿),5)<>0,1,0))]]></VOFFF>
                              </ClmnBlkPtProps>
                              <FmtCnds>
                                <FmtCnd>
                                  <FmtCndProps>
                                    <CBPLI>1,1,62,2,1</CBPLI>
                                    <FCN>1</FCN>
                                    <FCT>1</FCT>
                                    <FCO>4</FCO>
                                    <F1FFF><![CDATA[=0]]></F1FFF>
                                    <F2FFF/>
                                    <SIT>False</SIT>
                                    <BSV>True</BSV>
                                    <BCT>0</BCT>
                                    <CNBCN>0</CNBCN>
                                    <BTAS>0</BTAS>
                                    <IST>1</IST>
                                    <RO>False</RO>
                                    <SIO>False</SIO>
                                    <TO>0</TO>
                                    <TS/>
                                    <DO>1</DO>
                                    <TB>1</TB>
                                    <R>10</R>
                                    <P>False</P>
                                    <AB>0</AB>
                                    <NSD>1</NSD>
                                    <DU>1</DU>
                                    <INF>False</INF>
                                    <NT>0</NT>
                                    <DP>0</DP>
                                    <CNF/>
                                  </FmtCndProps>
                                  <FntOvly>
                                    <FntOvlyProps>
                                      <PT>2</PT>
                                      <SON>0</SON>
                                      <CBPLI>1,1,62,2,1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7</SON>
                                <VOFFF><![CDATA[=IF(ISERROR(SUM(§A¿0,1,1,1,63,3,1,0,0,0,FALSE,FALSE,1,63,3,1,0,1,0,FALSE,FALSE§Z¿)),1,MIN(SUM(§A¿0,1,1,1,63,3,1,0,0,0,FALSE,FALSE,1,63,3,1,0,1,0,FALSE,FALSE§Z¿),1))]]></VOFFF>
                              </ClmnBlkPtProps>
                              <Chk>
                                <ChkProps>
                                  <CBPLI>1,1,63,2,1</CBPLI>
                                  <CT>0</CT>
                                  <CN>16</CN>
                                  <HST>1</HST>
                                  <CHT/>
                                  <HCBPLI>1,1,2,1,1</HCBPLI>
                                </ChkProps>
                              </Chk>
                              <Cmts>
                                <Cmt>
                                  <CmtProps>
                                    <CBPLI>1,1,63,2,1</CBPLI>
                                    <WRN>1</WRN>
                                    <ERT>5</ERT>
                                    <COSTN>0</COSTN>
                                    <OC>0</OC>
                                    <HT><![CDATA[Error Check]]></HT>
                                    <HFS>0</HFS>
                                    <BT><![CDATA[Flags the existence of errors.]]></BT>
                                    <BFS>0</BFS>
                                    <H>69</H>
                                    <W>128</W>
                                  </CmtProps>
                                </Cmt>
                              </Cmts>
                              <FmtCnds>
                                <FmtCnd>
                                  <FmtCndProps>
                                    <CBPLI>1,1,63,2,1</CBPLI>
                                    <FCN>1</FCN>
                                    <FCT>1</FCT>
                                    <FCO>4</FCO>
                                    <F1FFF><![CDATA[=0]]></F1FFF>
                                    <F2FFF/>
                                    <SIT>False</SIT>
                                    <BSV>True</BSV>
                                    <BCT>0</BCT>
                                    <CNBCN>0</CNBCN>
                                    <BTAS>0</BTAS>
                                    <IST>1</IST>
                                    <RO>False</RO>
                                    <SIO>False</SIO>
                                    <TO>0</TO>
                                    <TS/>
                                    <DO>1</DO>
                                    <TB>1</TB>
                                    <R>10</R>
                                    <P>False</P>
                                    <AB>0</AB>
                                    <NSD>1</NSD>
                                    <DU>1</DU>
                                    <INF>False</INF>
                                    <NT>0</NT>
                                    <DP>0</DP>
                                    <CNF/>
                                  </FmtCndProps>
                                  <FntOvly>
                                    <FntOvlyProps>
                                      <PT>2</PT>
                                      <SON>0</SON>
                                      <CBPLI>1,1,63,2,1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5</SON>
                                <VOFFF><![CDATA[=MIN(SUM(§A¿0,1,1,1,60,2,1,-1,0,0,FALSE,FALSE,1,62,2,1,-1,0,0,FALSE,FALSE§Z¿),1)]]></VOFFF>
                              </ClmnBlkPtProps>
                              <FmtCnds>
                                <FmtCnd>
                                  <FmtCndProps>
                                    <CBPLI>1,1,63,3,1</CBPLI>
                                    <FCN>1</FCN>
                                    <FCT>1</FCT>
                                    <FCO>4</FCO>
                                    <F1FFF><![CDATA[=0]]></F1FFF>
                                    <F2FFF/>
                                    <SIT>False</SIT>
                                    <BSV>True</BSV>
                                    <BCT>0</BCT>
                                    <CNBCN>0</CNBCN>
                                    <BTAS>0</BTAS>
                                    <IST>1</IST>
                                    <RO>False</RO>
                                    <SIO>False</SIO>
                                    <TO>0</TO>
                                    <TS/>
                                    <DO>1</DO>
                                    <TB>1</TB>
                                    <R>10</R>
                                    <P>False</P>
                                    <AB>0</AB>
                                    <NSD>1</NSD>
                                    <DU>1</DU>
                                    <INF>False</INF>
                                    <NT>0</NT>
                                    <DP>0</DP>
                                    <CNF/>
                                  </FmtCndProps>
                                  <FntOvly>
                                    <FntOvlyProps>
                                      <PT>2</PT>
                                      <SON>0</SON>
                                      <CBPLI>1,1,63,3,1</CBPLI>
                                      <FCN>1</FCN>
                                      <CN>0</CN>
                                      <IB>True</IB>
                                      <IC>True</IC>
                                      <B>True</B>
                                      <CT>2</CT>
                                      <CNU>3</CNU>
                                      <CPR>0</CPR>
                                      <TAS>0</TAS>
                                    </FntOvlyProps>
                                  </FntOvly>
                                </FmtCnd>
                              </FmtCnd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63,3,1,-1,0,0,FALSE,FALSE§Z¿<>0,0,IF(ROUND(§A¿0,1,0,1,75,3,1,-1,0,0,FALSE,FALSE§Z¿,5)<0,1,0))]]></VOFFF>
                              </ClmnBlkPtProps>
                              <FmtCnds>
                                <FmtCnd>
                                  <FmtCndProps>
                                    <CBPLI>1,1,65,2,1</CBPLI>
                                    <FCN>1</FCN>
                                    <FCT>1</FCT>
                                    <FCO>4</FCO>
                                    <F1FFF><![CDATA[=0]]></F1FFF>
                                    <F2FFF/>
                                    <SIT>False</SIT>
                                    <BSV>True</BSV>
                                    <BCT>0</BCT>
                                    <CNBCN>0</CNBCN>
                                    <BTAS>0</BTAS>
                                    <IST>1</IST>
                                    <RO>False</RO>
                                    <SIO>False</SIO>
                                    <TO>0</TO>
                                    <TS/>
                                    <DO>1</DO>
                                    <TB>1</TB>
                                    <R>10</R>
                                    <P>False</P>
                                    <AB>0</AB>
                                    <NSD>1</NSD>
                                    <DU>1</DU>
                                    <INF>False</INF>
                                    <NT>0</NT>
                                    <DP>0</DP>
                                    <CNF/>
                                  </FmtCndProps>
                                  <FntOvly>
                                    <FntOvlyProps>
                                      <PT>2</PT>
                                      <SON>0</SON>
                                      <CBPLI>1,1,65,2,1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Negative Dividends Payable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63,3,1,-1,0,0,FALSE,FALSE§Z¿<>0,0,IF(ROUND(§A¿0,1,0,1,83,3,1,-1,0,0,FALSE,FALSE§Z¿,5)<0,1,0))]]></VOFFF>
                              </ClmnBlkPtProps>
                              <FmtCnds>
                                <FmtCnd>
                                  <FmtCndProps>
                                    <CBPLI>1,1,66,2,1</CBPLI>
                                    <FCN>1</FCN>
                                    <FCT>1</FCT>
                                    <FCO>4</FCO>
                                    <F1FFF><![CDATA[=0]]></F1FFF>
                                    <F2FFF/>
                                    <SIT>False</SIT>
                                    <BSV>True</BSV>
                                    <BCT>0</BCT>
                                    <CNBCN>0</CNBCN>
                                    <BTAS>0</BTAS>
                                    <IST>1</IST>
                                    <RO>False</RO>
                                    <SIO>False</SIO>
                                    <TO>0</TO>
                                    <TS/>
                                    <DO>1</DO>
                                    <TB>1</TB>
                                    <R>10</R>
                                    <P>False</P>
                                    <AB>0</AB>
                                    <NSD>1</NSD>
                                    <DU>1</DU>
                                    <INF>False</INF>
                                    <NT>0</NT>
                                    <DP>0</DP>
                                    <CNF/>
                                  </FmtCndProps>
                                  <FntOvly>
                                    <FntOvlyProps>
                                      <PT>2</PT>
                                      <SON>0</SON>
                                      <CBPLI>1,1,66,2,1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lert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7</SON>
                                <VOFFF><![CDATA[=IF(ISERROR(SUM(§A¿0,1,1,1,67,3,1,0,0,0,FALSE,FALSE,1,67,3,1,0,1,0,FALSE,FALSE§Z¿)),1,MIN(SUM(§A¿0,1,1,1,67,3,1,0,0,0,FALSE,FALSE,1,67,3,1,0,1,0,FALSE,FALSE§Z¿),1))]]></VOFFF>
                              </ClmnBlkPtProps>
                              <Chk>
                                <ChkProps>
                                  <CBPLI>1,1,67,2,1</CBPLI>
                                  <CT>2</CT>
                                  <CN>12</CN>
                                  <HST>1</HST>
                                  <CHT/>
                                  <HCBPLI>1,1,2,1,1</HCBPLI>
                                </ChkProps>
                              </Chk>
                              <Cmts>
                                <Cmt>
                                  <CmtProps>
                                    <CBPLI>1,1,67,2,1</CBPLI>
                                    <WRN>1</WRN>
                                    <ERT>5</ERT>
                                    <COSTN>0</COSTN>
                                    <OC>0</OC>
                                    <HT><![CDATA[Alert Check]]></HT>
                                    <HFS>0</HFS>
                                    <BT><![CDATA[Flags the occurrence of designated events.]]></BT>
                                    <BFS>0</BFS>
                                    <H>14</H>
                                    <W>128</W>
                                  </CmtProps>
                                </Cmt>
                              </Cmts>
                              <FmtCnds>
                                <FmtCnd>
                                  <FmtCndProps>
                                    <CBPLI>1,1,67,2,1</CBPLI>
                                    <FCN>1</FCN>
                                    <FCT>1</FCT>
                                    <FCO>4</FCO>
                                    <F1FFF><![CDATA[=0]]></F1FFF>
                                    <F2FFF/>
                                    <SIT>False</SIT>
                                    <BSV>True</BSV>
                                    <BCT>0</BCT>
                                    <CNBCN>0</CNBCN>
                                    <BTAS>0</BTAS>
                                    <IST>1</IST>
                                    <RO>False</RO>
                                    <SIO>False</SIO>
                                    <TO>0</TO>
                                    <TS/>
                                    <DO>1</DO>
                                    <TB>1</TB>
                                    <R>10</R>
                                    <P>False</P>
                                    <AB>0</AB>
                                    <NSD>1</NSD>
                                    <DU>1</DU>
                                    <INF>False</INF>
                                    <NT>0</NT>
                                    <DP>0</DP>
                                    <CNF/>
                                  </FmtCndProps>
                                  <FntOvly>
                                    <FntOvlyProps>
                                      <PT>2</PT>
                                      <SON>0</SON>
                                      <CBPLI>1,1,67,2,1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6</SON>
                                <VOFFF><![CDATA[=MIN(SUM(§A¿0,1,1,1,65,2,1,-1,0,0,FALSE,FALSE,1,66,2,1,-1,0,0,FALSE,FALSE§Z¿),1)]]></VOFFF>
                              </ClmnBlkPtProps>
                              <FmtCnds>
                                <FmtCnd>
                                  <FmtCndProps>
                                    <CBPLI>1,1,67,3,1</CBPLI>
                                    <FCN>1</FCN>
                                    <FCT>1</FCT>
                                    <FCO>4</FCO>
                                    <F1FFF><![CDATA[=0]]></F1FFF>
                                    <F2FFF/>
                                    <SIT>False</SIT>
                                    <BSV>True</BSV>
                                    <BCT>0</BCT>
                                    <CNBCN>0</CNBCN>
                                    <BTAS>0</BTAS>
                                    <IST>1</IST>
                                    <RO>False</RO>
                                    <SIO>False</SIO>
                                    <TO>0</TO>
                                    <TS/>
                                    <DO>1</DO>
                                    <TB>1</TB>
                                    <R>10</R>
                                    <P>False</P>
                                    <AB>0</AB>
                                    <NSD>1</NSD>
                                    <DU>1</DU>
                                    <INF>False</INF>
                                    <NT>0</NT>
                                    <DP>0</DP>
                                    <CNF/>
                                  </FmtCndProps>
                                  <FntOvly>
                                    <FntOvlyProps>
                                      <PT>2</PT>
                                      <SON>0</SON>
                                      <CBPLI>1,1,67,3,1</CBPLI>
                                      <FCN>1</FCN>
                                      <CN>0</CN>
                                      <IB>True</IB>
                                      <IC>True</IC>
                                      <B>True</B>
                                      <CT>2</CT>
                                      <CNU>3</CNU>
                                      <CPR>0</CPR>
                                      <TAS>0</TAS>
                                    </FntOvlyProps>
                                  </FntOvly>
                                </FmtCnd>
                              </FmtCnd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6,1,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75,2,1,-1,0,0,FALSE,FALSE§Z¿)]]></VOFFF>
                              </ClmnBlkPtProps>
                              <LnkInForms>
                                <LnkInForm>
                                  <LnkInFormProps>
                                    <CBPLI>1,1,72,2,1</CBPLI>
                                    <ELN>1</ELN>
                                    <FFF><![CDATA[=IF(§A¿9,4,1,0,1,6,3,1,-1,0,0,TRUE,FALSE§Z¿=1,§A¿10,FALSE,0,2,0,FALSE§Z¿,§A¿0,1,0,1,75,2,1,-1,0,0,FALSE,FALSE§Z¿)]]></FFF>
                                  </LnkInFormProps>
                                </LnkInForm>
                              </LnkInForms>
                            </ClmnBlkPt>
                          </ClmnBlkPts>
                        </ClmnBlk>
                      </ClmnBlks>
                      <TtlCtg>
                        <TtlCtgProps>
                          <R>3</R>
                        </TtlCtgProps>
                        <LnkIn>
                          <LnkInProps>
                            <MN>44</MN>
                            <CLI>1,1,72,True,0</CLI>
                            <ELN>1</ELN>
                            <LOOT>2</LOOT>
                            <LOMN>3</LOMN>
                            <LOMCN>1</LOMCN>
                            <LOSN>1</LOSN>
                            <LOEN>50</LOEN>
                            <LOCN>0</LOCN>
                          </LnkInProps>
                        </LnkIn>
                      </TtlCtg>
                      <ElmtLnksOut>
                        <ElmtLnk>
                          <ElmtLnkProps>
                            <ELI>1,1,72</ELI>
                            <ELN>1</ELN>
                            <ELGN>1</ELGN>
                            <MLG>FA931DEC-0D77-415C-89E2-BB247BC494A9</MLG>
                            <ICBI>1,2</ICBI>
                            <ILBN>1,2</ILBN>
                            <LIBN>0</LIBN>
                          </ElmtLnkProps>
                        </ElmtLnk>
                      </ElmtLnksOut>
                      <ElmtLnksIn>
                        <ElmtLnk>
                          <ElmtLnkProps>
                            <ELI>1,1,72</ELI>
                            <ELN>1</ELN>
                            <ELGN>1</ELGN>
                            <MLG>2FF2F09F-7212-4B5C-9043-4BFA6FC5E97C</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8,2,1,-1,0,0,FALSE,FALSE§Z¿]]></VOFFF>
                              </ClmnBlkPtProps>
                            </ClmnBlkPt>
                          </ClmnBlkPts>
                        </ClmnBlk>
                      </ClmnBlks>
                      <TtlCtg>
                        <TtlCtgProps>
                          <R>3</R>
                        </TtlCtgProps>
                      </TtlCtg>
                      <ElmtLnksOut>
                        <ElmtLnk>
                          <ElmtLnkProps>
                            <ELI>1,1,73</ELI>
                            <ELN>1</ELN>
                            <ELGN>1</ELGN>
                            <MLG>6EEC30FD-B5E9-4595-841A-BC9F0D54AB7F</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A¿0,1,0,1,9,2,1,-1,0,0,FALSE,FALSE§Z¿]]></VOFFF>
                              </ClmnBlkPtProps>
                            </ClmnBlkPt>
                          </ClmnBlkPts>
                        </ClmnBlk>
                      </ClmnBlks>
                      <TtlCtg>
                        <TtlCtgProps>
                          <R>3</R>
                        </TtlCtgProps>
                      </TtlCtg>
                      <ElmtLnksOut>
                        <ElmtLnk>
                          <ElmtLnkProps>
                            <ELI>1,1,74</ELI>
                            <ELN>1</ELN>
                            <ELGN>1</ELGN>
                            <MLG>A0DDF613-C9B1-4167-BACE-E5032B763D4F</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0,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SUM(§A¿0,1,1,1,72,2,1,-1,0,0,FALSE,FALSE,1,74,2,1,-1,0,0,FALSE,FALSE§Z¿)]]></VOFFF>
                              </ClmnBlkPtProps>
                            </ClmnBlkPt>
                          </ClmnBlkPts>
                        </ClmnBlk>
                      </ClmnBlks>
                      <TtlCtg>
                        <TtlCtgProps>
                          <R>3</R>
                        </TtlCtgProps>
                      </TtlCtg>
                      <ElmtLnksOut>
                        <ElmtLnk>
                          <ElmtLnkProps>
                            <ELI>1,1,75</ELI>
                            <ELN>1</ELN>
                            <ELGN>1</ELGN>
                            <MLG>2A0E1E79-E7C9-479F-9B1D-AB5CC55D737A</MLG>
                            <ICBI>1,3</ICBI>
                            <ILBN>1,2</ILBN>
                            <LIBN>0</LIBN>
                          </ElmtLnkProps>
                        </ElmtLnk>
                      </ElmtLnksOut>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2,1,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Dividends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1,0,1,6,3,1,-1,0,0,TRUE,FALSE§Z¿=1,0,§A¿0,1,0,1,83,2,1,-1,0,0,FALSE,FALSE§Z¿)]]></VOFFF>
                              </ClmnBlkPtProps>
                              <LnkInForms>
                                <LnkInForm>
                                  <LnkInFormProps>
                                    <CBPLI>1,1,78,2,1</CBPLI>
                                    <ELN>1</ELN>
                                    <FFF><![CDATA[=IF(§A¿9,4,1,0,1,6,3,1,-1,0,0,TRUE,FALSE§Z¿=1,§A¿10,FALSE,0,2,0,FALSE§Z¿,§A¿0,1,0,1,83,2,1,-1,0,0,FALSE,FALSE§Z¿)]]></FFF>
                                  </LnkInFormProps>
                                </LnkInForm>
                              </LnkInForms>
                            </ClmnBlkPt>
                          </ClmnBlkPts>
                        </ClmnBlk>
                      </ClmnBlks>
                      <TtlCtg>
                        <TtlCtgProps>
                          <R>3</R>
                        </TtlCtgProps>
                        <LnkIn>
                          <LnkInProps>
                            <MN>44</MN>
                            <CLI>1,1,78,True,0</CLI>
                            <ELN>1</ELN>
                            <LOOT>2</LOOT>
                            <LOMN>3</LOMN>
                            <LOMCN>1</LOMCN>
                            <LOSN>1</LOSN>
                            <LOEN>34</LOEN>
                            <LOCN>0</LOCN>
                          </LnkInProps>
                        </LnkIn>
                      </TtlCtg>
                      <ElmtLnksOut>
                        <ElmtLnk>
                          <ElmtLnkProps>
                            <ELI>1,1,78</ELI>
                            <ELN>1</ELN>
                            <ELGN>1</ELGN>
                            <MLG>507142E7-DF1F-4012-8272-7BA7CDE2C2A4</MLG>
                            <ICBI>1,2</ICBI>
                            <ILBN>1,2</ILBN>
                            <LIBN>0</LIBN>
                          </ElmtLnkProps>
                        </ElmtLnk>
                      </ElmtLnksOut>
                      <ElmtLnksIn>
                        <ElmtLnk>
                          <ElmtLnkProps>
                            <ELI>1,1,78</ELI>
                            <ELN>1</ELN>
                            <ELGN>1</ELGN>
                            <MLG>135DAEDE-DD4A-4E44-BDD3-3B48B53B9FA4</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s Declar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5,2,1,-1,0,0,FALSE,FALSE§Z¿]]></VOFFF>
                              </ClmnBlkPtProps>
                            </ClmnBlkPt>
                          </ClmnBlkPts>
                        </ClmnBlk>
                      </ClmnBlks>
                      <TtlCtg>
                        <TtlCtgProps>
                          <R>3</R>
                        </TtlCtgProps>
                      </TtlCtg>
                      <ElmtLnksOut>
                        <ElmtLnk>
                          <ElmtLnkProps>
                            <ELI>1,1,79</ELI>
                            <ELN>1</ELN>
                            <ELGN>1</ELGN>
                            <MLG>ECD9E544-4B8D-4783-9147-868234392B88</MLG>
                            <ICBI>1,2</ICBI>
                            <ILBN>1,2</ILBN>
                            <LIBN>0</LIBN>
                          </ElmtLnkProps>
                        </ElmtLnk>
                      </ElmtLnksOut>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pening Dividends Payable -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IF(§A¿9,4,1,0,1,6,3,1,-1,0,0,TRUE,FALSE§Z¿=§A¿0,1,0,1,13,2,1,-1,0,0,TRUE,TRUE§Z¿,-§A¿0,1,0,1,78,2,1,-1,0,0,TRUE,TRUE§Z¿,0)]]></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eriod Dividends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15</SON>
                                <VOFFF><![CDATA[=-§A¿0,1,0,1,58,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ividends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2</SON>
                                <VOFFF><![CDATA[=SUM(§A¿0,1,1,1,80,2,1,-1,0,0,FALSE,FALSE,1,81,2,1,-1,0,0,FALSE,FALSE§Z¿)]]></VOFFF>
                              </ClmnBlkPtProps>
                            </ClmnBlkPt>
                          </ClmnBlkPts>
                        </ClmnBlk>
                      </ClmnBlks>
                      <TtlCtg>
                        <TtlCtgProps>
                          <R>3</R>
                        </TtlCtgProps>
                      </TtlCtg>
                      <ElmtLnksOut>
                        <ElmtLnk>
                          <ElmtLnkProps>
                            <ELI>1,1,82</ELI>
                            <ELN>1</ELN>
                            <ELGN>1</ELGN>
                            <MLG>53FEE166-3029-4EA9-A700-ABC9206E2191</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Dividends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A¿0,1,0,1,78,2,1,-1,0,0,FALSE,FALSE§Z¿+§A¿0,1,0,1,79,2,1,-1,0,0,FALSE,FALSE§Z¿+§A¿0,1,0,1,82,2,1,-1,0,0,FALSE,FALSE§Z¿]]></VOFFF>
                              </ClmnBlkPtProps>
                            </ClmnBlkPt>
                          </ClmnBlkPts>
                        </ClmnBlk>
                      </ClmnBlks>
                      <TtlCtg>
                        <TtlCtgProps>
                          <R>3</R>
                        </TtlCtgProps>
                      </TtlCtg>
                      <ElmtLnksOut>
                        <ElmtLnk>
                          <ElmtLnkProps>
                            <ELI>1,1,83</ELI>
                            <ELN>1</ELN>
                            <ELGN>1</ELGN>
                            <MLG>B742199D-0B20-44F0-B6FF-6C0B8FEF0835</MLG>
                            <ICBI>1,3</ICBI>
                            <ILBN>1,2</ILBN>
                            <LIBN>0</LIBN>
                          </ElmtLnkProps>
                        </ElmtLnk>
                      </ElmtLnksOut>
                    </Elmt>
                  </Elmts>
                </Sect>
              </Sects>
              <Ctrls>
                <Ctrl>
                  <CtrlProps>
                    <MN>44</MN>
                    <MCN>1</MCN>
                    <SIT>0</SIT>
                    <TLCRSN>1</TLCRSN>
                    <TLCREN>25</TLCREN>
                    <TLCRSRT>5</TLCRSRT>
                    <TLCCPT>3</TLCCPT>
                    <TLCCN>2</TLCCN>
                    <TLCCOT>0</TLCCOT>
                    <TLCCOC>0</TLCCOC>
                    <TLCCPTBMCN>4</TLCCPTBMCN>
                    <TLCCPTBN>1</TLCCPTBN>
                    <BRCRSN>1</BRCRSN>
                    <BRCREN>25</BRCREN>
                    <BRCRSRT>5</BRCRSRT>
                    <BRCCPT>3</BRCCPT>
                    <BRCCN>8</BRCCN>
                    <BRCCOT>0</BRCCOT>
                    <BRCCOC>5</BRCCOC>
                    <BRCCPTBMCN>4</BRCCPTBMCN>
                    <BRCCPTBN>2</BRCCPTBN>
                    <P>1</P>
                    <HAL>-4131</HAL>
                    <WA>1</WA>
                    <VA>-4108</VA>
                    <HAD>1</HAD>
                    <TI>0</TI>
                    <CT>6</CT>
                    <N/>
                    <D3DS>False</D3DS>
                    <PO>True</PO>
                    <L>True</L>
                    <OA/>
                    <T/>
                    <THA>-4108</THA>
                    <TVA>-4108</TVA>
                    <LT>True</LT>
                    <LCFFA><![CDATA[§A¿1,1,1,1,25,0,1,1,1§Z¿]]></LCFFA>
                    <LCCA/>
                    <CV>1</CV>
                    <MIV>0</MIV>
                    <MAV>100</MAV>
                    <SC>1</SC>
                    <LC>10</LC>
                    <LFRFFA/>
                    <LFRCA/>
                    <DDL>0</DDL>
                  </CtrlProps>
                </Ctrl>
              </Ctrls>
            </ModComp>
            <ModComp>
              <ModCompProps>
                <MN>44</MN>
                <MCN>2</MCN>
                <MCTK>LU</MCTK>
                <RT><![CDATA[<ModuleName> - Lookups]]></RT>
                <ERN>MODMC62</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Dividend Determination Method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1</EGN>
                      </ElmtProps>
                      <ClmnBlks>
                        <ClmnBlk>
                          <ClmnBlkProps>
                            <FCPT>0</FCPT>
                            <FCN>4</FCN>
                            <LCPT>0</LCPT>
                            <LCN>4</LCN>
                          </ClmnBlkProps>
                          <ClmnBlkPts>
                            <ClmnBlkPt>
                              <ClmnBlkPtProps>
                                <CBPT>0</CBPT>
                                <ST>25</ST>
                                <VOFFF/>
                              </ClmnBlkPtProps>
                              <RgeNmes>
                                <RgeNme>
                                  <RgeNmeProps>
                                    <CBPLI>2,1,6,1,1</CBPLI>
                                    <MCN>2</MCN>
                                    <SN>1</SN>
                                    <EN>6</EN>
                                    <CN>0</CN>
                                    <CBN>1</CBN>
                                    <CBPN>1</CBPN>
                                    <PT>1</PT>
                                    <CBPRNT>2</CBPRNT>
                                    <NT>11</NT>
                                    <SP1><![CDATA[Div_Meth]]></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ividend Determination Meth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Eq_Ord_Div_Meth]]></VOFFF>
                              </ClmnBlkPtProps>
                            </ClmnBlkPt>
                          </ClmnBlkPts>
                        </ClmnBlk>
                      </ClmnBlks>
                      <SubTtls>
                        <SubTtl>
                          <SubTtlHdgRow>
                            <SubTtlHdgRowProps>
                              <STLI>2,1,6,1</STLI>
                              <R>0</R>
                            </SubTtlHdgRowProps>
                          </SubTtlHdgRow>
                          <Ctgs>
                            <Ctg>
                              <CtgProps>
                                <R>3</R>
                              </CtgProps>
                              <LuTblLbl>
                                <LuTblLblProps>
                                  <CLI>2,1,6,False,1</CLI>
                                  <L><![CDATA[% of NPAT]]></L>
                                </LuTblLblProps>
                                <RgeNmes>
                                  <RgeNme>
                                    <RgeNmeProps>
                                      <CBPLI>2,1,6,1,1</CBPLI>
                                      <MCN>2</MCN>
                                      <SN>1</SN>
                                      <EN>6</EN>
                                      <CN>1</CN>
                                      <CBN>1</CBN>
                                      <CBPN>1</CBPN>
                                      <PT>2</PT>
                                      <CBPRNT>8</CBPRNT>
                                      <NT>-1</NT>
                                      <SP1><![CDATA[Div_Meth_Pcent_Of_Npat]]></SP1>
                                      <SP2/>
                                      <FFF/>
                                      <CMT/>
                                    </RgeNmeProps>
                                  </RgeNme>
                                </RgeNmes>
                              </LuTblLbl>
                            </Ctg>
                            <Ctg>
                              <CtgProps>
                                <R>3</R>
                              </CtgProps>
                              <LuTblLbl>
                                <LuTblLblProps>
                                  <CLI>2,1,6,False,2</CLI>
                                  <L><![CDATA[Amount]]></L>
                                </LuTblLblProps>
                                <RgeNmes>
                                  <RgeNme>
                                    <RgeNmeProps>
                                      <CBPLI>2,1,6,1,1</CBPLI>
                                      <MCN>2</MCN>
                                      <SN>1</SN>
                                      <EN>6</EN>
                                      <CN>2</CN>
                                      <CBN>1</CBN>
                                      <CBPN>1</CBPN>
                                      <PT>2</PT>
                                      <CBPRNT>8</CBPRNT>
                                      <NT>-1</NT>
                                      <SP1><![CDATA[Div_Meth_Amt]]></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Yes/No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2</EGN>
                      </ElmtProps>
                      <ClmnBlks>
                        <ClmnBlk>
                          <ClmnBlkProps>
                            <FCPT>0</FCPT>
                            <FCN>4</FCN>
                            <LCPT>0</LCPT>
                            <LCN>4</LCN>
                          </ClmnBlkProps>
                          <ClmnBlkPts>
                            <ClmnBlkPt>
                              <ClmnBlkPtProps>
                                <CBPT>0</CBPT>
                                <ST>25</ST>
                                <VOFFF/>
                              </ClmnBlkPtProps>
                              <RgeNmes>
                                <RgeNme>
                                  <RgeNmeProps>
                                    <CBPLI>2,1,10,1,1</CBPLI>
                                    <MCN>2</MCN>
                                    <SN>1</SN>
                                    <EN>10</EN>
                                    <CN>0</CN>
                                    <CBN>1</CBN>
                                    <CBPN>1</CBPN>
                                    <PT>1</PT>
                                    <CBPRNT>2</CBPRNT>
                                    <NT>11</NT>
                                    <SP1><![CDATA[Yes_No]]></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Yes/No]]></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Eq_Ord_Yes_No]]></VOFFF>
                              </ClmnBlkPtProps>
                            </ClmnBlkPt>
                          </ClmnBlkPts>
                        </ClmnBlk>
                      </ClmnBlks>
                      <SubTtls>
                        <SubTtl>
                          <SubTtlHdgRow>
                            <SubTtlHdgRowProps>
                              <STLI>2,1,10,1</STLI>
                              <R>0</R>
                            </SubTtlHdgRowProps>
                          </SubTtlHdgRow>
                          <Ctgs>
                            <Ctg>
                              <CtgProps>
                                <R>3</R>
                              </CtgProps>
                              <LuTblLbl>
                                <LuTblLblProps>
                                  <CLI>2,1,10,False,1</CLI>
                                  <L><![CDATA[Yes]]></L>
                                </LuTblLblProps>
                                <RgeNmes>
                                  <RgeNme>
                                    <RgeNmeProps>
                                      <CBPLI>2,1,10,1,1</CBPLI>
                                      <MCN>2</MCN>
                                      <SN>1</SN>
                                      <EN>10</EN>
                                      <CN>1</CN>
                                      <CBN>1</CBN>
                                      <CBPN>1</CBPN>
                                      <PT>2</PT>
                                      <CBPRNT>8</CBPRNT>
                                      <NT>-1</NT>
                                      <SP1><![CDATA[Yes]]></SP1>
                                      <SP2/>
                                      <FFF/>
                                      <CMT/>
                                    </RgeNmeProps>
                                  </RgeNme>
                                </RgeNmes>
                              </LuTblLbl>
                            </Ctg>
                            <Ctg>
                              <CtgProps>
                                <R>3</R>
                              </CtgProps>
                              <LuTblLbl>
                                <LuTblLblProps>
                                  <CLI>2,1,10,False,2</CLI>
                                  <L><![CDATA[No]]></L>
                                </LuTblLblProps>
                                <RgeNmes>
                                  <RgeNme>
                                    <RgeNmeProps>
                                      <CBPLI>2,1,10,1,1</CBPLI>
                                      <MCN>2</MCN>
                                      <SN>1</SN>
                                      <EN>10</EN>
                                      <CN>2</CN>
                                      <CBN>1</CBN>
                                      <CBPN>1</CBPN>
                                      <PT>2</PT>
                                      <CBPRNT>8</CBPRNT>
                                      <NT>-1</NT>
                                      <SP1><![CDATA[No]]></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Dividend Declaration Frequency]]></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3</EGN>
                      </ElmtProps>
                      <ClmnBlks>
                        <ClmnBlk>
                          <ClmnBlkProps>
                            <FCPT>0</FCPT>
                            <FCN>4</FCN>
                            <LCPT>0</LCPT>
                            <LCN>4</LCN>
                          </ClmnBlkProps>
                          <ClmnBlkPts>
                            <ClmnBlkPt>
                              <ClmnBlkPtProps>
                                <CBPT>0</CBPT>
                                <ST>25</ST>
                                <VOFFF/>
                              </ClmnBlkPtProps>
                              <RgeNmes>
                                <RgeNme>
                                  <RgeNmeProps>
                                    <CBPLI>2,1,14,1,1</CBPLI>
                                    <MCN>2</MCN>
                                    <SN>1</SN>
                                    <EN>14</EN>
                                    <CN>0</CN>
                                    <CBN>1</CBN>
                                    <CBPN>1</CBPN>
                                    <PT>1</PT>
                                    <CBPRNT>2</CBPRNT>
                                    <NT>11</NT>
                                    <SP1><![CDATA[Div_Dec_Freq]]></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ividend Declaration Frequenc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Eq_Ord_Div_Dec_Freq]]></VOFFF>
                              </ClmnBlkPtProps>
                            </ClmnBlkPt>
                          </ClmnBlkPts>
                        </ClmnBlk>
                      </ClmnBlks>
                      <SubTtls>
                        <SubTtl>
                          <Ctgs>
                            <Ctg>
                              <CtgProps>
                                <R>3</R>
                              </CtgProps>
                              <LuTblLbl>
                                <LuTblLblProps>
                                  <CLI>2,1,14,False,1</CLI>
                                  <L><![CDATA[Monthly]]></L>
                                </LuTblLblProps>
                                <RgeNmes>
                                  <RgeNme>
                                    <RgeNmeProps>
                                      <CBPLI>2,1,14,1,1</CBPLI>
                                      <MCN>2</MCN>
                                      <SN>1</SN>
                                      <EN>14</EN>
                                      <CN>1</CN>
                                      <CBN>1</CBN>
                                      <CBPN>1</CBPN>
                                      <PT>2</PT>
                                      <CBPRNT>8</CBPRNT>
                                      <NT>-1</NT>
                                      <SP1><![CDATA[Div_Dec_Freq_Mthly]]></SP1>
                                      <SP2/>
                                      <FFF/>
                                      <CMT/>
                                    </RgeNmeProps>
                                  </RgeNme>
                                </RgeNmes>
                              </LuTblLbl>
                            </Ctg>
                            <Ctg>
                              <CtgProps>
                                <R>3</R>
                              </CtgProps>
                              <LuTblLbl>
                                <LuTblLblProps>
                                  <CLI>2,1,14,False,2</CLI>
                                  <L><![CDATA[Quarterly]]></L>
                                </LuTblLblProps>
                                <RgeNmes>
                                  <RgeNme>
                                    <RgeNmeProps>
                                      <CBPLI>2,1,14,1,1</CBPLI>
                                      <MCN>2</MCN>
                                      <SN>1</SN>
                                      <EN>14</EN>
                                      <CN>2</CN>
                                      <CBN>1</CBN>
                                      <CBPN>1</CBPN>
                                      <PT>2</PT>
                                      <CBPRNT>8</CBPRNT>
                                      <NT>-1</NT>
                                      <SP1><![CDATA[Div_Dec_Freq_Qtrly]]></SP1>
                                      <SP2/>
                                      <FFF/>
                                      <CMT/>
                                    </RgeNmeProps>
                                  </RgeNme>
                                </RgeNmes>
                              </LuTblLbl>
                            </Ctg>
                            <Ctg>
                              <CtgProps>
                                <R>3</R>
                              </CtgProps>
                              <LuTblLbl>
                                <LuTblLblProps>
                                  <CLI>2,1,14,False,3</CLI>
                                  <L><![CDATA[Semi-Annual]]></L>
                                </LuTblLblProps>
                                <RgeNmes>
                                  <RgeNme>
                                    <RgeNmeProps>
                                      <CBPLI>2,1,14,1,1</CBPLI>
                                      <MCN>2</MCN>
                                      <SN>1</SN>
                                      <EN>14</EN>
                                      <CN>3</CN>
                                      <CBN>1</CBN>
                                      <CBPN>1</CBPN>
                                      <PT>2</PT>
                                      <CBPRNT>8</CBPRNT>
                                      <NT>-1</NT>
                                      <SP1><![CDATA[Div_Dec_Freq_Semi_Ann]]></SP1>
                                      <SP2/>
                                      <FFF/>
                                      <CMT/>
                                    </RgeNmeProps>
                                  </RgeNme>
                                </RgeNmes>
                              </LuTblLbl>
                            </Ctg>
                            <Ctg>
                              <CtgProps>
                                <R>3</R>
                              </CtgProps>
                              <LuTblLbl>
                                <LuTblLblProps>
                                  <CLI>2,1,14,False,4</CLI>
                                  <L><![CDATA[Annual]]></L>
                                </LuTblLblProps>
                                <RgeNmes>
                                  <RgeNme>
                                    <RgeNmeProps>
                                      <CBPLI>2,1,14,1,1</CBPLI>
                                      <MCN>2</MCN>
                                      <SN>1</SN>
                                      <EN>14</EN>
                                      <CN>4</CN>
                                      <CBN>1</CBN>
                                      <CBPN>1</CBPN>
                                      <PT>2</PT>
                                      <CBPRNT>8</CBPRNT>
                                      <NT>-1</NT>
                                      <SP1><![CDATA[Div_Dec_Freq_Ann]]></SP1>
                                      <SP2/>
                                      <FFF/>
                                      <CMT/>
                                    </RgeNmeProps>
                                  </RgeNme>
                                </RgeNmes>
                              </LuTblLbl>
                            </Ctg>
                          </Ctgs>
                        </SubTtl>
                      </SubTtls>
                      <TtlCtg>
                        <TtlCtgProps>
                          <R>3</R>
                        </TtlCtgProps>
                      </TtlCtg>
                    </Elmt>
                  </Elmts>
                </Sect>
              </Sects>
            </ModComp>
          </ModComps>
        </Mod>
        <Mod>
          <ModProps>
            <MVS>14.0.5.0</MVS>
            <RAV/>
            <RXV>0</RXV>
            <FV>3</FV>
            <MT>0</MT>
            <SCT>-1</SCT>
            <P><![CDATA[VAT]]></P>
            <OI>200</OI>
            <MN>0</MN>
            <MAG>8CA58486-7FBD-4E89-915A-32AB8396BA9C</MAG>
            <BN><![CDATA[VAT]]></BN>
            <N><![CDATA[VAT]]></N>
            <TS><![CDATA[Monthly]]></TS>
            <D><![CDATA[Calculates VAT payable and paid over a number of time series periods based on revenues and expenses included in the Modano generic financial model Chart of Accounts 2.]]></D>
            <FS><![CDATA[Periodic VAT payable is calculated based on the application of an assumed VAT rate to applicable revenue and expenses based on either accruals or cash receipts and payments.&#10;VAT payment timing assumptions are used to determine the cash payments (or refunds) of VAT payable liabilities.&#10;&#10;]]></FS>
            <R><![CDATA[United Kingdom]]></R>
            <GE><![CDATA[VAT]]></GE>
            <CA><![CDATA[Chart of Accounts 2, Rates, Timing]]></CA>
            <VA><![CDATA[Single Component]]></VA>
            <GST><![CDATA[VAT]]></GST>
            <DE><![CDATA[Modano]]></DE>
            <E><![CDATA[info@modano.com]]></E>
            <C><![CDATA[Modano]]></C>
            <W><![CDATA[www.modano.com]]></W>
            <K/>
            <CO/>
            <V>10.20.1.0.</V>
            <AX>2</AX>
            <SX/>
            <PMLO>False</PMLO>
            <IPMLO>False</IPMLO>
            <MACA>0</MACA>
            <HP>False</HP>
            <DR>False</DR>
            <RTSM>True</RTSM>
            <CC>True</CC>
            <X>False</X>
            <G>DF217769-A23A-4D34-8986-848F2E509155</G>
          </ModProps>
          <RowStgs>
            <RowStg>
              <RowStgProps>
                <RSN>1</RSN>
                <RHST>0</RHST>
                <HS>0</HS>
                <OL>3</OL>
                <RH>False</RH>
              </RowStgProps>
            </RowStg>
            <RowStg>
              <RowStgProps>
                <RSN>2</RSN>
                <RHST>0</RHST>
                <HS>0</HS>
                <OL>2</OL>
                <RH>False</RH>
              </RowStgProps>
            </RowStg>
            <RowStg>
              <RowStgProps>
                <RSN>3</RSN>
                <RHST>1</RHST>
                <HS>50</HS>
                <OL>2</OL>
                <RH>False</RH>
              </RowStgProps>
            </RowStg>
          </RowStgs>
          <StlOvlys>
            <StlOvly>
              <StlOvlyProps>
                <SON>1</SON>
                <IHA>True</IHA>
                <HA>-4152</HA>
              </StlOvlyProps>
              <BdrOvlys>
                <BdrOvly>
                  <BdrOvlyProps>
                    <PT>1</PT>
                    <SON>1</SON>
                    <CBPLI/>
                    <FCN>0</FCN>
                    <I>True</I>
                    <BI>10</BI>
                    <LS>1</LS>
                    <W>2</W>
                  </BdrOvlyProps>
                </BdrOvly>
              </BdrOvlys>
            </StlOvly>
            <StlOvly>
              <StlOvlyProps>
                <SON>2</SON>
                <INF>True</INF>
                <NT>1</NT>
                <DP>1</DP>
                <CNF/>
              </StlOvlyProps>
            </StlOvly>
            <StlOvly>
              <StlOvlyProps>
                <SON>3</SON>
                <INF>True</INF>
                <NT>1</NT>
                <DP>0</DP>
                <CNF/>
              </StlOvlyProps>
              <BdrOvlys>
                <BdrOvly>
                  <BdrOvlyProps>
                    <PT>1</PT>
                    <SON>3</SON>
                    <CBPLI/>
                    <FCN>0</FCN>
                    <I>True</I>
                    <BI>10</BI>
                    <LS>1</LS>
                    <W>2</W>
                  </BdrOvlyProps>
                </BdrOvly>
              </BdrOvlys>
            </StlOvly>
            <StlOvly>
              <StlOvlyProps>
                <SON>4</SON>
                <IHA>True</IHA>
                <HA>-4152</HA>
              </StlOvlyProps>
              <BdrOvlys>
                <BdrOvly>
                  <BdrOvlyProps>
                    <PT>1</PT>
                    <SON>4</SON>
                    <CBPLI/>
                    <FCN>0</FCN>
                    <I>True</I>
                    <BI>10</BI>
                    <LS>1</LS>
                    <W>2</W>
                  </BdrOvlyProps>
                </BdrOvly>
                <BdrOvly>
                  <BdrOvlyProps>
                    <PT>1</PT>
                    <SON>4</SON>
                    <CBPLI/>
                    <FCN>0</FCN>
                    <I>True</I>
                    <BI>9</BI>
                    <LS>1</LS>
                    <W>2</W>
                  </BdrOvlyProps>
                </BdrOvly>
              </BdrOvlys>
            </StlOvly>
            <StlOvly>
              <StlOvlyProps>
                <SON>5</SON>
              </StlOvlyProps>
              <FntOvly>
                <FntOvlyProps>
                  <PT>1</PT>
                  <SON>5</SON>
                  <CBPLI>0,0,0,0,0</CBPLI>
                  <FCN>0</FCN>
                  <CN>0</CN>
                  <IB>True</IB>
                  <B>True</B>
                </FntOvlyProps>
              </FntOvly>
              <BdrOvlys>
                <BdrOvly>
                  <BdrOvlyProps>
                    <PT>1</PT>
                    <SON>5</SON>
                    <CBPLI/>
                    <FCN>0</FCN>
                    <I>True</I>
                    <BI>8</BI>
                    <LS>1</LS>
                    <W>2</W>
                  </BdrOvlyProps>
                </BdrOvly>
              </BdrOvlys>
            </StlOvly>
            <StlOvly>
              <StlOvlyProps>
                <SON>6</SON>
              </StlOvlyProps>
              <FntOvly>
                <FntOvlyProps>
                  <PT>1</PT>
                  <SON>6</SON>
                  <CBPLI>0,0,0,0,0</CBPLI>
                  <FCN>0</FCN>
                  <CN>0</CN>
                  <IC>True</IC>
                  <CT>-2</CT>
                  <CNU>0</CNU>
                  <CPR>0</CPR>
                  <TAS>0</TAS>
                </FntOvlyProps>
              </FntOvly>
            </StlOvly>
            <StlOvly>
              <StlOvlyProps>
                <SON>7</SON>
                <INF>True</INF>
                <NT>0</NT>
                <DP>0</DP>
                <CNF/>
              </StlOvlyProps>
            </StlOvly>
            <StlOvly>
              <StlOvlyProps>
                <SON>8</SON>
                <INF>True</INF>
                <IHA>True</IHA>
                <NT>-2</NT>
                <DP>0</DP>
                <CNF><![CDATA[_(###0_);(###0);_("-"_);@_)]]></CNF>
                <HA>-4152</HA>
              </StlOvlyProps>
            </StlOvly>
            <StlOvly>
              <StlOvlyProps>
                <SON>9</SON>
                <IHA>True</IHA>
                <HA>-4108</HA>
              </StlOvlyProps>
              <FntOvly>
                <FntOvlyProps>
                  <PT>1</PT>
                  <SON>9</SON>
                  <CBPLI>0,0,0,0,0</CBPLI>
                  <FCN>0</FCN>
                  <CN>0</CN>
                  <IB>True</IB>
                  <B>True</B>
                </FntOvlyProps>
              </FntOvly>
              <BdrOvlys>
                <BdrOvly>
                  <BdrOvlyProps>
                    <PT>1</PT>
                    <SON>9</SON>
                    <CBPLI/>
                    <FCN>0</FCN>
                    <I>True</I>
                    <BI>9</BI>
                    <LS>1</LS>
                    <W>2</W>
                  </BdrOvlyProps>
                </BdrOvly>
              </BdrOvlys>
            </StlOvly>
            <StlOvly>
              <StlOvlyProps>
                <SON>10</SON>
              </StlOvlyProps>
              <BdrOvlys>
                <BdrOvly>
                  <BdrOvlyProps>
                    <PT>1</PT>
                    <SON>10</SON>
                    <CBPLI/>
                    <FCN>0</FCN>
                    <I>True</I>
                    <BI>9</BI>
                    <LS>-4115</LS>
                    <W>2</W>
                  </BdrOvlyProps>
                </BdrOvly>
              </BdrOvlys>
            </StlOvly>
            <StlOvly>
              <StlOvlyProps>
                <SON>11</SON>
                <INF>True</INF>
                <NT>-2</NT>
                <DP>0</DP>
                <CNF><![CDATA[_)mmm-yy_);_)mmm-yy_);_)"-"_);_)@_)]]></CNF>
              </StlOvlyProps>
            </StlOvly>
            <StlOvly>
              <StlOvlyProps>
                <SON>12</SON>
                <INF>True</INF>
                <NT>0</NT>
                <DP>0</DP>
                <CNF/>
              </StlOvlyProps>
              <BdrOvlys>
                <BdrOvly>
                  <BdrOvlyProps>
                    <PT>1</PT>
                    <SON>12</SON>
                    <CBPLI/>
                    <FCN>0</FCN>
                    <I>True</I>
                    <BI>9</BI>
                    <LS>-4115</LS>
                    <W>2</W>
                  </BdrOvlyProps>
                </BdrOvly>
              </BdrOvlys>
            </StlOvly>
            <StlOvly>
              <StlOvlyProps>
                <SON>13</SON>
              </StlOvlyProps>
              <BdrOvlys>
                <BdrOvly>
                  <BdrOvlyProps>
                    <PT>1</PT>
                    <SON>13</SON>
                    <CBPLI/>
                    <FCN>0</FCN>
                    <I>True</I>
                    <BI>8</BI>
                    <LS>1</LS>
                    <W>2</W>
                  </BdrOvlyProps>
                </BdrOvly>
              </BdrOvlys>
            </StlOvly>
            <StlOvly>
              <StlOvlyProps>
                <SON>14</SON>
              </StlOvlyProps>
              <FntOvly>
                <FntOvlyProps>
                  <PT>1</PT>
                  <SON>14</SON>
                  <CBPLI>0,0,0,0,0</CBPLI>
                  <FCN>0</FCN>
                  <CN>0</CN>
                  <IB>True</IB>
                  <B>True</B>
                </FntOvlyProps>
              </FntOvly>
              <BdrOvlys>
                <BdrOvly>
                  <BdrOvlyProps>
                    <PT>1</PT>
                    <SON>14</SON>
                    <CBPLI/>
                    <FCN>0</FCN>
                    <I>True</I>
                    <BI>8</BI>
                    <LS>1</LS>
                    <W>2</W>
                  </BdrOvlyProps>
                </BdrOvly>
                <BdrOvly>
                  <BdrOvlyProps>
                    <PT>1</PT>
                    <SON>14</SON>
                    <CBPLI/>
                    <FCN>0</FCN>
                    <I>True</I>
                    <BI>9</BI>
                    <LS>1</LS>
                    <W>2</W>
                  </BdrOvlyProps>
                </BdrOvly>
              </BdrOvlys>
            </StlOvly>
            <StlOvly>
              <StlOvlyProps>
                <SON>15</SON>
                <INF>True</INF>
                <NT>0</NT>
                <DP>0</DP>
                <CNF><![CDATA[_(#,##0.0_);(#,##0.0);_-"-"_-]]></CNF>
              </StlOvlyProps>
              <FntOvly>
                <FntOvlyProps>
                  <PT>1</PT>
                  <SON>15</SON>
                  <CBPLI>0,0,0,0,0</CBPLI>
                  <FCN>0</FCN>
                  <CN>0</CN>
                  <IB>True</IB>
                  <B>True</B>
                </FntOvlyProps>
              </FntOvly>
              <BdrOvlys>
                <BdrOvly>
                  <BdrOvlyProps>
                    <PT>1</PT>
                    <SON>15</SON>
                    <CBPLI/>
                    <FCN>0</FCN>
                    <I>True</I>
                    <BI>10</BI>
                    <LS>1</LS>
                    <W>2</W>
                  </BdrOvlyProps>
                </BdrOvly>
              </BdrOvlys>
            </StlOvly>
            <StlOvly>
              <StlOvlyProps>
                <SON>16</SON>
                <INF>True</INF>
                <NT>0</NT>
                <DP>0</DP>
                <CNF><![CDATA[_(#,##0.0_);(#,##0.0);_-"-"_-]]></CNF>
              </StlOvlyProps>
            </StlOvly>
            <StlOvly>
              <StlOvlyProps>
                <SON>17</SON>
                <INF>True</INF>
                <NT>1</NT>
                <DP>0</DP>
                <CNF/>
              </StlOvlyProps>
            </StlOvly>
            <StlOvly>
              <StlOvlyProps>
                <SON>18</SON>
              </StlOvlyProps>
              <FntOvly>
                <FntOvlyProps>
                  <PT>1</PT>
                  <SON>18</SON>
                  <CBPLI>0,0,0,0,0</CBPLI>
                  <FCN>0</FCN>
                  <CN>0</CN>
                  <IB>True</IB>
                  <B>True</B>
                </FntOvlyProps>
              </FntOvly>
              <BdrOvlys>
                <BdrOvly>
                  <BdrOvlyProps>
                    <PT>1</PT>
                    <SON>18</SON>
                    <CBPLI/>
                    <FCN>0</FCN>
                    <I>True</I>
                    <BI>7</BI>
                    <LS>1</LS>
                    <W>2</W>
                  </BdrOvlyProps>
                </BdrOvly>
                <BdrOvly>
                  <BdrOvlyProps>
                    <PT>1</PT>
                    <SON>18</SON>
                    <CBPLI/>
                    <FCN>0</FCN>
                    <I>True</I>
                    <BI>8</BI>
                    <LS>1</LS>
                    <W>2</W>
                  </BdrOvlyProps>
                </BdrOvly>
              </BdrOvlys>
            </StlOvly>
          </StlOvlys>
          <ElmtsGrps>
            <ElmtsGrp>
              <ElmtsGrpProps>
                <NU>1</NU>
                <NA><![CDATA[Revenue]]></NA>
                <EGT>0</EGT>
                <DCC>6</DCC>
                <AST>False</AST>
                <ISTH>True</ISTH>
                <PTMCN>0</PTMCN>
                <PTBN>0</PTBN>
                <PTBI>0</PTBI>
                <GLN/>
                <CLOT>0</CLOT>
                <CLIT>0</CLIT>
                <PMLO>0</PMLO>
                <IPMLO>0</IPMLO>
              </ElmtsGrpProps>
            </ElmtsGrp>
            <ElmtsGrp>
              <ElmtsGrpProps>
                <NU>2</NU>
                <NA><![CDATA[Other Revenue]]></NA>
                <EGT>0</EGT>
                <DCC>3</DCC>
                <AST>False</AST>
                <ISTH>True</ISTH>
                <PTMCN>0</PTMCN>
                <PTBN>0</PTBN>
                <PTBI>0</PTBI>
                <GLN/>
                <CLOT>0</CLOT>
                <CLIT>0</CLIT>
                <PMLO>0</PMLO>
                <IPMLO>0</IPMLO>
              </ElmtsGrpProps>
            </ElmtsGrp>
            <ElmtsGrp>
              <ElmtsGrpProps>
                <NU>3</NU>
                <NA><![CDATA[Cost of Goods Sold]]></NA>
                <EGT>0</EGT>
                <DCC>3</DCC>
                <AST>False</AST>
                <ISTH>True</ISTH>
                <PTMCN>0</PTMCN>
                <PTBN>0</PTBN>
                <PTBI>0</PTBI>
                <GLN/>
                <CLOT>0</CLOT>
                <CLIT>0</CLIT>
                <PMLO>0</PMLO>
                <IPMLO>0</IPMLO>
              </ElmtsGrpProps>
            </ElmtsGrp>
            <ElmtsGrp>
              <ElmtsGrpProps>
                <NU>4</NU>
                <NA><![CDATA[Inventory Purchases]]></NA>
                <EGT>0</EGT>
                <DCC>3</DCC>
                <AST>False</AST>
                <ISTH>True</ISTH>
                <PTMCN>0</PTMCN>
                <PTBN>0</PTBN>
                <PTBI>0</PTBI>
                <GLN/>
                <CLOT>0</CLOT>
                <CLIT>0</CLIT>
                <PMLO>0</PMLO>
                <IPMLO>0</IPMLO>
              </ElmtsGrpProps>
            </ElmtsGrp>
            <ElmtsGrp>
              <ElmtsGrpProps>
                <NU>5</NU>
                <NA><![CDATA[Operating Expenditure]]></NA>
                <EGT>0</EGT>
                <DCC>3</DCC>
                <AST>False</AST>
                <ISTH>True</ISTH>
                <PTMCN>0</PTMCN>
                <PTBN>0</PTBN>
                <PTBI>0</PTBI>
                <GLN/>
                <CLOT>0</CLOT>
                <CLIT>0</CLIT>
                <PMLO>0</PMLO>
                <IPMLO>0</IPMLO>
              </ElmtsGrpProps>
            </ElmtsGrp>
            <ElmtsGrp>
              <ElmtsGrpProps>
                <NU>6</NU>
                <NA><![CDATA[Other Expenses]]></NA>
                <EGT>0</EGT>
                <DCC>3</DCC>
                <AST>False</AST>
                <ISTH>True</ISTH>
                <PTMCN>0</PTMCN>
                <PTBN>0</PTBN>
                <PTBI>0</PTBI>
                <GLN/>
                <CLOT>0</CLOT>
                <CLIT>0</CLIT>
                <PMLO>0</PMLO>
                <IPMLO>0</IPMLO>
              </ElmtsGrpProps>
            </ElmtsGrp>
            <ElmtsGrp>
              <ElmtsGrpProps>
                <NU>7</NU>
                <NA><![CDATA[Fixed Assets Capital Expenditure]]></NA>
                <EGT>0</EGT>
                <DCC>3</DCC>
                <AST>False</AST>
                <ISTH>True</ISTH>
                <PTMCN>0</PTMCN>
                <PTBN>0</PTBN>
                <PTBI>0</PTBI>
                <GLN/>
                <CLOT>0</CLOT>
                <CLIT>0</CLIT>
                <PMLO>0</PMLO>
                <IPMLO>0</IPMLO>
              </ElmtsGrpProps>
            </ElmtsGrp>
            <ElmtsGrp>
              <ElmtsGrpProps>
                <NU>8</NU>
                <NA><![CDATA[Tax Year End Months]]></NA>
                <EGT>0</EGT>
                <DCC>12</DCC>
                <AST>False</AST>
                <ISTH>True</ISTH>
                <PTMCN>0</PTMCN>
                <PTBN>0</PTBN>
                <PTBI>0</PTBI>
                <GLN/>
                <CLOT>0</CLOT>
                <CLIT>0</CLIT>
                <PMLO>0</PMLO>
                <IPMLO>0</IPMLO>
              </ElmtsGrpProps>
            </ElmtsGrp>
            <ElmtsGrp>
              <ElmtsGrpProps>
                <NU>9</NU>
                <NA><![CDATA[Assessment Frequencies]]></NA>
                <EGT>0</EGT>
                <DCC>4</DCC>
                <AST>False</AST>
                <ISTH>True</ISTH>
                <PTMCN>0</PTMCN>
                <PTBN>0</PTBN>
                <PTBI>0</PTBI>
                <GLN/>
                <CLOT>0</CLOT>
                <CLIT>0</CLIT>
                <PMLO>0</PMLO>
                <IPMLO>0</IPMLO>
              </ElmtsGrpProps>
            </ElmtsGrp>
            <ElmtsGrp>
              <ElmtsGrpProps>
                <NU>10</NU>
                <NA><![CDATA[Yes/No Lookup]]></NA>
                <EGT>0</EGT>
                <DCC>6</DCC>
                <AST>False</AST>
                <ISTH>True</ISTH>
                <PTMCN>0</PTMCN>
                <PTBN>0</PTBN>
                <PTBI>0</PTBI>
                <GLN/>
                <CLOT>0</CLOT>
                <CLIT>0</CLIT>
                <PMLO>0</PMLO>
                <IPMLO>0</IPMLO>
              </ElmtsGrpProps>
            </ElmtsGrp>
            <ElmtsGrp>
              <ElmtsGrpProps>
                <NU>11</NU>
                <NA><![CDATA[Payment Bases]]></NA>
                <EGT>0</EGT>
                <DCC>2</DCC>
                <AST>False</AST>
                <ISTH>True</ISTH>
                <PTMCN>0</PTMCN>
                <PTBN>0</PTBN>
                <PTBI>0</PTBI>
                <GLN/>
                <CLOT>0</CLOT>
                <CLIT>0</CLIT>
                <PMLO>0</PMLO>
                <IPMLO>0</IPMLO>
              </ElmtsGrpProps>
            </ElmtsGrp>
          </ElmtsGrps>
          <ModComps>
            <ModComp>
              <ModCompProps>
                <MN>45</MN>
                <MCN>1</MCN>
                <MCTK>BaseCase</MCTK>
                <RT><![CDATA[<ModuleName>]]></RT>
                <ERN>MODMC63</ERN>
                <MCST>1</MCST>
                <IPMC>False</IPMC>
                <SN>14</SN>
                <LODS>False</LODS>
                <LST>False</LST>
                <RSTF>False</RSTF>
                <STRA>0</STRA>
                <HS>False</HS>
                <IBOA>0</IBOA>
                <IB>True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29</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VAT Year]]></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Year End]]></VOFFF>
                              </ClmnBlkPtProps>
                            </ClmnBlkPt>
                          </ClmnBlkPts>
                        </ClmnBlk>
                        <ClmnBlk>
                          <ClmnBlkProps>
                            <FCPT>3</FCPT>
                            <FCN>8</FCN>
                            <FCOT>0</FCOT>
                            <FCOC>5</FCOC>
                            <FCPTBMCN>4</FCPTBMCN>
                            <FCPTBN>2</FCPTBN>
                            <LCPT>3</LCPT>
                            <LCN>8</LCN>
                            <LCOT>0</LCOT>
                            <LCOC>5</LCOC>
                            <LCPTBMCN>4</LCPTBMCN>
                            <LCPTBN>2</LCPTBN>
                          </ClmnBlkProps>
                          <ClmnBlkPts>
                            <ClmnBlkPt>
                              <ClmnBlkPtProps>
                                <CBPT>5</CBPT>
                                <ST>15</ST>
                                <SON>6</SON>
                                <VOFFF><![CDATA[6]]></VOFFF>
                                <UDAV><![CDATA[6]]></UDAV>
                              </ClmnBlkPtProps>
                              <Vdtn>
                                <VdtnProps>
                                  <CBPLI>1,1,6,2,1</CBPLI>
                                  <ADVT>-1</ADVT>
                                  <VT>1</VT>
                                  <AS>1</AS>
                                  <O>1</O>
                                  <F1FFF><![CDATA[1]]></F1FFF>
                                  <F2FFF><![CDATA[=ROWS(§A¿1,1,2,1,6,0,1,1,1§Z¿)]]></F2FFF>
                                  <IB>False</IB>
                                  <ICDD>False</ICDD>
                                  <SI>False</SI>
                                  <IT/>
                                  <IM/>
                                  <SE>True</SE>
                                  <ET><![CDATA[Drop Down Box Cell Link]]></ET>
                                  <EM><![CDATA[The value in a drop down box cell link must be a whole number within the control's lookup range rows.]]></EM>
                                  <IMO>0</IMO>
                                </VdtnProps>
                              </Vdtn>
                              <RgeNmes>
                                <RgeNme>
                                  <RgeNmeProps>
                                    <CBPLI>1,1,6,2,1</CBPLI>
                                    <MCN>1</MCN>
                                    <SN>1</SN>
                                    <EN>6</EN>
                                    <CN>0</CN>
                                    <CBN>2</CBN>
                                    <CBPN>1</CBPN>
                                    <PT>1</PT>
                                    <CBPRNT>6</CBPRNT>
                                    <NT>3</NT>
                                    <SP1><![CDATA[Yr_End_Mth]]></SP1>
                                    <SP2/>
                                    <FFF/>
                                    <CMT/>
                                  </RgeNmeProps>
                                </RgeNme>
                              </RgeNmes>
                            </ClmnBlkPt>
                          </ClmnBlkPts>
                        </ClmnBlk>
                      </ClmnBlks>
                      <TtlCtg>
                        <TtlCtgProps>
                          <R>2</R>
                        </TtlCtgProps>
                      </TtlCtg>
                      <ShpNmes>
                        <ShpNme>
                          <ShpNmeProps>
                            <ELI>1,1,6</ELI>
                            <COSTN>0</COSTN>
                            <ST>1</ST>
                            <SNPT>2</SNPT>
                            <N><![CDATA[bpmDropDownVAT1]]></N>
                            <SHN>1</SHN>
                            <SHTN>1</SHTN>
                          </ShpNmeProps>
                        </ShpNme>
                      </ShpNmes>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Opening VAT Posi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ClmnBlks>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VAT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11</ST>
                                <VOFFF><![CDATA[0]]></VOFFF>
                                <UDAV><![CDATA[0]]></UDAV>
                              </ClmnBlkPtProps>
                              <Vdtn>
                                <VdtnProps>
                                  <CBPLI>1,1,10,2,1</CBPLI>
                                  <ADVT>0</ADVT>
                                  <VT>7</VT>
                                </VdtnProps>
                              </Vdtn>
                              <LnkInForms>
                                <LnkInForm>
                                  <LnkInFormProps>
                                    <CBPLI>1,1,10,2,1</CBPLI>
                                    <ELN>1</ELN>
                                    <FFF><![CDATA[=§A¿10,FALSE,0,2,0,FALSE§Z¿]]></FFF>
                                  </LnkInFormProps>
                                </LnkInForm>
                              </LnkInForms>
                            </ClmnBlkPt>
                          </ClmnBlkPts>
                        </ClmnBlk>
                      </ClmnBlks>
                      <TtlCtg>
                        <TtlCtgProps>
                          <R>2</R>
                        </TtlCtgProps>
                        <LnkIn>
                          <LnkInProps>
                            <MN>45</MN>
                            <CLI>1,1,10,True,0</CLI>
                            <ELN>1</ELN>
                            <LOOT>2</LOOT>
                            <LOMN>3</LOMN>
                            <LOMCN>1</LOMCN>
                            <LOSN>1</LOSN>
                            <LOEN>28</LOEN>
                            <LOCN>0</LOCN>
                          </LnkInProps>
                        </LnkIn>
                      </TtlCtg>
                      <ElmtLnksIn>
                        <ElmtLnk>
                          <ElmtLnkProps>
                            <ELI>1,1,10</ELI>
                            <ELN>1</ELN>
                            <ELGN>1</ELGN>
                            <MLG>BF1CA322-F5AD-404D-B0D7-360CCC270E03</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0,1,1,-1,0,0,FALSE,FALSE§Z¿&" Payment Delay (Months)"]]></VOFFF>
                              </ClmnBlkPtProps>
                            </ClmnBlkPt>
                          </ClmnBlkPts>
                        </ClmnBlk>
                        <ClmnBlk>
                          <ClmnBlkProps>
                            <FCPT>3</FCPT>
                            <FCN>9</FCN>
                            <FCOT>0</FCOT>
                            <FCOC>6</FCOC>
                            <FCPTBMCN>4</FCPTBMCN>
                            <FCPTBN>2</FCPTBN>
                            <LCPT>3</LCPT>
                            <LCN>9</LCN>
                            <LCOT>1</LCOT>
                            <LCOC>0</LCOC>
                            <LCPTBMCN>4</LCPTBMCN>
                            <LCPTBN>2</LCPTBN>
                          </ClmnBlkProps>
                          <ClmnBlkPts>
                            <ClmnBlkPt>
                              <ClmnBlkPtProps>
                                <CBPT>5</CBPT>
                                <ST>11</ST>
                                <SON>7</SON>
                                <VOFFF><![CDATA[1]]></VOFFF>
                                <UDAV><![CDATA[1]]></UDAV>
                              </ClmnBlkPtProps>
                              <Vdtn>
                                <VdtnProps>
                                  <CBPLI>1,1,11,2,1</CBPLI>
                                  <ADVT>-1</ADVT>
                                  <VT>1</VT>
                                  <AS>1</AS>
                                  <O>5</O>
                                  <F1FFF><![CDATA[0]]></F1FFF>
                                  <F2FFF/>
                                  <IB>False</IB>
                                  <ICDD>False</ICDD>
                                  <SI>False</SI>
                                  <IT/>
                                  <IM/>
                                  <SE>True</SE>
                                  <ET><![CDATA[Opening Tax Payment Delay]]></ET>
                                  <EM><![CDATA[The opening tax payment delay must be a whole number greater than zero.]]></EM>
                                  <IMO>0</IMO>
                                </VdtnProps>
                              </Vdtn>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 Paid During "&TEXT(EDATE(§A¿7,1,1,1,9,0,2,1,1§Z¿,§A¿0,1,0,1,11,2,1,-1,0,0,FALSE,FALSE§Z¿-1),"mmmm yyyy")]]></VOFFF>
                              </ClmnBlkPtProps>
                            </ClmnBlkPt>
                          </ClmnBlkPts>
                        </ClmnBlk>
                        <ClmnBlk>
                          <ClmnBlkProps>
                            <FCPT>3</FCPT>
                            <FCN>9</FCN>
                            <FCOT>0</FCOT>
                            <FCOC>6</FCOC>
                            <FCPTBMCN>4</FCPTBMCN>
                            <FCPTBN>2</FCPTBN>
                            <LCPT>3</LCPT>
                            <LCN>9</LCN>
                            <LCOT>1</LCOT>
                            <LCOC>0</LCOC>
                            <LCPTBMCN>4</LCPTBMCN>
                            <LCPTBN>2</LCPTBN>
                          </ClmnBlkProps>
                          <ClmnBlkPts>
                            <ClmnBlkPt>
                              <ClmnBlkPtProps>
                                <CBPT>5</CBPT>
                                <ST>12</ST>
                                <SON>17</SON>
                                <VOFFF><![CDATA[1]]></VOFFF>
                                <UDAV><![CDATA[1]]></UDAV>
                              </ClmnBlkPtProps>
                              <Vdtn>
                                <VdtnProps>
                                  <CBPLI>1,1,12,2,1</CBPLI>
                                  <ADVT>3</ADVT>
                                  <VT>2</VT>
                                </VdtnProps>
                              </Vdtn>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Periodic VAT Payable]]></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ssessment Period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6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A¿0,1,0,1,62,2,1,-1,0,0,FALSE,FALSE§Z¿]]></VOFFF>
                              </ClmnBlkPtProps>
                              <FmtCnds>
                                <FmtCnd>
                                  <FmtCndProps>
                                    <CBPLI>1,1,17,2,1</CBPLI>
                                    <FCN>1</FCN>
                                    <FCT>2</FCT>
                                    <FCO>1</FCO>
                                    <F1FFF><![CDATA[=OR(§A¿9,4,1,0,1,6,3,1,-1,0,0,TRUE,FALSE§Z¿=1,§A¿0,1,0,1,18,2,1,-1,0,0,FALSE,FALSE§Z¿=1)]]></F1FFF>
                                    <F2FFF/>
                                    <SIT>False</SIT>
                                    <BSV>True</BSV>
                                    <BCT>0</BCT>
                                    <CNBCN>0</CNBCN>
                                    <BTAS>0</BTAS>
                                    <IST>1</IST>
                                    <RO>False</RO>
                                    <SIO>False</SIO>
                                    <TO>0</TO>
                                    <TS/>
                                    <DO>1</DO>
                                    <TB>1</TB>
                                    <R>10</R>
                                    <P>False</P>
                                    <AB>0</AB>
                                    <NSD>1</NSD>
                                    <DU>1</DU>
                                    <INF>False</INF>
                                    <NT>0</NT>
                                    <DP>0</DP>
                                    <CNF/>
                                  </FmtCndProps>
                                  <FntOvly>
                                    <FntOvlyProps>
                                      <PT>2</PT>
                                      <SON>0</SON>
                                      <CBPLI>1,1,17,2,1</CBPLI>
                                      <FCN>1</FCN>
                                      <CN>0</CN>
                                      <IB>True</IB>
                                      <II>True</II>
                                      <B>True</B>
                                      <I>False</I>
                                    </FntOvlyProps>
                                  </FntOvly>
                                  <BdrOvlys>
                                    <BdrOvly>
                                      <BdrOvlyProps>
                                        <PT>2</PT>
                                        <SON>0</SON>
                                        <CBPLI>1,1,17,2,1</CBPLI>
                                        <FCN>1</FCN>
                                        <I>True</I>
                                        <BI>7</BI>
                                        <LS>1</LS>
                                        <W>2</W>
                                      </BdrOvlyProps>
                                    </BdrOvly>
                                    <BdrOvly>
                                      <BdrOvlyProps>
                                        <PT>2</PT>
                                        <SON>0</SON>
                                        <CBPLI>1,1,17,2,1</CBPLI>
                                        <FCN>1</FCN>
                                        <I>True</I>
                                        <BI>10</BI>
                                        <LS>1</LS>
                                        <W>2</W>
                                      </BdrOvlyProps>
                                    </BdrOvly>
                                    <BdrOvly>
                                      <BdrOvlyProps>
                                        <PT>2</PT>
                                        <SON>0</SON>
                                        <CBPLI>1,1,17,2,1</CBPLI>
                                        <FCN>1</FCN>
                                        <I>True</I>
                                        <BI>8</BI>
                                        <LS>1</LS>
                                        <W>2</W>
                                      </BdrOvlyProps>
                                    </BdrOvly>
                                    <BdrOvly>
                                      <BdrOvlyProps>
                                        <PT>2</PT>
                                        <SON>0</SON>
                                        <CBPLI>1,1,17,2,1</CBPLI>
                                        <FCN>1</FCN>
                                        <I>True</I>
                                        <BI>9</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6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63,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Assessment Frequency (Year-Specific)]]></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8</SON>
                                <VOFFF><![CDATA[Quarterly]]></VOFFF>
                                <UDAV><![CDATA[Quarterly]]></UDAV>
                              </ClmnBlkPtProps>
                              <Vdtn>
                                <VdtnProps>
                                  <CBPLI>1,1,19,2,1</CBPLI>
                                  <ADVT>-1</ADVT>
                                  <VT>3</VT>
                                  <AS>1</AS>
                                  <O>1</O>
                                  <F1FFF><![CDATA[=§A¿1,1,2,1,10,0,1,1,1§Z¿]]></F1FFF>
                                  <F2FFF/>
                                  <IB>False</IB>
                                  <ICDD>True</ICDD>
                                  <SI>False</SI>
                                  <IT/>
                                  <IM/>
                                  <SE>True</SE>
                                  <ET><![CDATA[VAT Assessment Frequency]]></ET>
                                  <EM><![CDATA[An VAT assessment frequency must be selected from the list of available frequencies.]]></EM>
                                  <IMO>0</IMO>
                                </VdtnProps>
                              </Vdtn>
                              <FmtCnds>
                                <FmtCnd>
                                  <FmtCndProps>
                                    <CBPLI>1,1,19,2,1</CBPLI>
                                    <FCN>1</FCN>
                                    <FCT>2</FCT>
                                    <FCO>1</FCO>
                                    <F1FFF><![CDATA[=NOT(OR(§A¿9,4,1,0,1,6,3,1,-1,0,0,TRUE,FALSE§Z¿=1,§A¿0,1,0,1,18,2,1,-1,0,0,FALSE,FALSE§Z¿=1))]]></F1FFF>
                                    <F2FFF/>
                                    <SIT>False</SIT>
                                    <BSV>True</BSV>
                                    <BCT>0</BCT>
                                    <CNBCN>0</CNBCN>
                                    <BTAS>0</BTAS>
                                    <IST>1</IST>
                                    <RO>False</RO>
                                    <SIO>False</SIO>
                                    <TO>0</TO>
                                    <TS/>
                                    <DO>1</DO>
                                    <TB>1</TB>
                                    <R>10</R>
                                    <P>False</P>
                                    <AB>0</AB>
                                    <NSD>1</NSD>
                                    <DU>1</DU>
                                    <INF>False</INF>
                                    <NT>-2</NT>
                                    <DP>0</DP>
                                    <CNF><![CDATA["-"_)]]></CNF>
                                  </FmtCndProps>
                                  <FntOvly>
                                    <FntOvlyProps>
                                      <PT>2</PT>
                                      <SON>0</SON>
                                      <CBPLI>1,1,19,2,1</CBPLI>
                                      <FCN>1</FCN>
                                      <CN>0</CN>
                                      <IC>True</IC>
                                      <CT>3</CT>
                                      <CNU>3</CNU>
                                      <CPR>0</CPR>
                                      <TAS>0</TAS>
                                    </FntOvlyProps>
                                  </FntOvly>
                                  <IntOvly>
                                    <IntOvlyProps>
                                      <PT>2</PT>
                                      <SON>0</SON>
                                      <CBPLI>1,1,19,2,1</CBPLI>
                                      <FCN>1</FCN>
                                      <IC>True</IC>
                                    </IntOvlyProps>
                                  </IntOvly>
                                </FmtCnd>
                              </FmtCnd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VAT Rate]]></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Rate (%)]]></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2</SON>
                                <VOFFF><![CDATA[0.2]]></VOFFF>
                                <UDAV><![CDATA[0.2]]></UDAV>
                              </ClmnBlkPtProps>
                              <Vdtn>
                                <VdtnProps>
                                  <CBPLI>1,1,22,2,1</CBPLI>
                                  <ADVT>3</ADVT>
                                  <VT>2</VT>
                                </VdtnProps>
                              </Vdtn>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ssessment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7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8</SON>
                                <VOFFF><![CDATA[=§A¿0,1,0,1,76,2,1,-1,0,0,FALSE,FALSE§Z¿]]></VOFFF>
                              </ClmnBlkPtProps>
                              <FmtCnds>
                                <FmtCnd>
                                  <FmtCndProps>
                                    <CBPLI>1,1,25,2,1</CBPLI>
                                    <FCN>1</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1,1,25,2,1</CBPLI>
                                      <FCN>1</FCN>
                                      <CN>0</CN>
                                      <IC>True</IC>
                                      <CT>3</CT>
                                      <CNU>3</CNU>
                                      <CPR>0</CPR>
                                      <TAS>0</TAS>
                                    </FntOvlyProps>
                                  </FntOvly>
                                </FmtCnd>
                                <FmtCnd>
                                  <FmtCndProps>
                                    <CBPLI>1,1,25,2,1</CBPLI>
                                    <FCN>2</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1,1,25,2,1</CBPLI>
                                      <FCN>2</FCN>
                                      <CN>0</CN>
                                      <IB>True</IB>
                                      <II>True</II>
                                      <B>True</B>
                                      <I>False</I>
                                    </FntOvlyProps>
                                  </FntOvly>
                                  <BdrOvlys>
                                    <BdrOvly>
                                      <BdrOvlyProps>
                                        <PT>2</PT>
                                        <SON>0</SON>
                                        <CBPLI>1,1,25,2,1</CBPLI>
                                        <FCN>2</FCN>
                                        <I>True</I>
                                        <BI>7</BI>
                                        <LS>1</LS>
                                        <W>2</W>
                                      </BdrOvlyProps>
                                    </BdrOvly>
                                    <BdrOvly>
                                      <BdrOvlyProps>
                                        <PT>2</PT>
                                        <SON>0</SON>
                                        <CBPLI>1,1,25,2,1</CBPLI>
                                        <FCN>2</FCN>
                                        <I>True</I>
                                        <BI>10</BI>
                                        <LS>1</LS>
                                        <W>2</W>
                                      </BdrOvlyProps>
                                    </BdrOvly>
                                    <BdrOvly>
                                      <BdrOvlyProps>
                                        <PT>2</PT>
                                        <SON>0</SON>
                                        <CBPLI>1,1,25,2,1</CBPLI>
                                        <FCN>2</FCN>
                                        <I>True</I>
                                        <BI>8</BI>
                                        <LS>1</LS>
                                        <W>2</W>
                                      </BdrOvlyProps>
                                    </BdrOvly>
                                    <BdrOvly>
                                      <BdrOvlyProps>
                                        <PT>2</PT>
                                        <SON>0</SON>
                                        <CBPLI>1,1,25,2,1</CBPLI>
                                        <FCN>2</FCN>
                                        <I>True</I>
                                        <BI>9</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Assessment Basis]]></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8</SON>
                                <VOFFF><![CDATA[Cash]]></VOFFF>
                                <UDAV><![CDATA[Cash]]></UDAV>
                              </ClmnBlkPtProps>
                              <Vdtn>
                                <VdtnProps>
                                  <CBPLI>1,1,26,2,1</CBPLI>
                                  <ADVT>-1</ADVT>
                                  <VT>3</VT>
                                  <AS>1</AS>
                                  <O>1</O>
                                  <F1FFF><![CDATA[=§A¿1,1,2,1,14,0,1,1,1§Z¿]]></F1FFF>
                                  <F2FFF/>
                                  <IB>False</IB>
                                  <ICDD>True</ICDD>
                                  <SI>True</SI>
                                  <IT/>
                                  <IM/>
                                  <SE>True</SE>
                                  <ET><![CDATA[VAT Payment Amount Basis]]></ET>
                                  <EM><![CDATA[The amount of VAT paid for the assessment period must be  based on either accruals or cash-based accounting.]]></EM>
                                  <IMO>0</IMO>
                                </VdtnProps>
                              </Vdtn>
                              <FmtCnds>
                                <FmtCnd>
                                  <FmtCndProps>
                                    <CBPLI>1,1,26,2,1</CBPLI>
                                    <FCN>1</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1,1,26,2,1</CBPLI>
                                      <FCN>1</FCN>
                                      <CN>0</CN>
                                      <IC>True</IC>
                                      <CT>3</CT>
                                      <CNU>3</CNU>
                                      <CPR>0</CPR>
                                      <TAS>0</TAS>
                                    </FntOvlyProps>
                                  </FntOvly>
                                  <IntOvly>
                                    <IntOvlyProps>
                                      <PT>2</PT>
                                      <SON>0</SON>
                                      <CBPLI>1,1,26,2,1</CBPLI>
                                      <FCN>1</FCN>
                                      <IC>True</IC>
                                    </IntOvlyProps>
                                  </IntOvly>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8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82,2,1,-1,0,0,FALSE,FALSE§Z¿]]></VOFFF>
                              </ClmnBlkPtProps>
                              <FmtCnds>
                                <FmtCnd>
                                  <FmtCndProps>
                                    <CBPLI>1,1,27,2,1</CBPLI>
                                    <FCN>1</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1,1,27,2,1</CBPLI>
                                      <FCN>1</FCN>
                                      <CN>0</CN>
                                      <IC>True</IC>
                                      <CT>3</CT>
                                      <CNU>3</CNU>
                                      <CPR>0</CPR>
                                      <TAS>0</TAS>
                                    </FntOvlyProps>
                                  </FntOvly>
                                </FmtCnd>
                                <FmtCnd>
                                  <FmtCndProps>
                                    <CBPLI>1,1,27,2,1</CBPLI>
                                    <FCN>2</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1,1,27,2,1</CBPLI>
                                      <FCN>2</FCN>
                                      <CN>0</CN>
                                      <IB>True</IB>
                                      <II>True</II>
                                      <B>True</B>
                                      <I>False</I>
                                    </FntOvlyProps>
                                  </FntOvly>
                                  <BdrOvlys>
                                    <BdrOvly>
                                      <BdrOvlyProps>
                                        <PT>2</PT>
                                        <SON>0</SON>
                                        <CBPLI>1,1,27,2,1</CBPLI>
                                        <FCN>2</FCN>
                                        <I>True</I>
                                        <BI>7</BI>
                                        <LS>1</LS>
                                        <W>2</W>
                                      </BdrOvlyProps>
                                    </BdrOvly>
                                    <BdrOvly>
                                      <BdrOvlyProps>
                                        <PT>2</PT>
                                        <SON>0</SON>
                                        <CBPLI>1,1,27,2,1</CBPLI>
                                        <FCN>2</FCN>
                                        <I>True</I>
                                        <BI>10</BI>
                                        <LS>1</LS>
                                        <W>2</W>
                                      </BdrOvlyProps>
                                    </BdrOvly>
                                    <BdrOvly>
                                      <BdrOvlyProps>
                                        <PT>2</PT>
                                        <SON>0</SON>
                                        <CBPLI>1,1,27,2,1</CBPLI>
                                        <FCN>2</FCN>
                                        <I>True</I>
                                        <BI>8</BI>
                                        <LS>1</LS>
                                        <W>2</W>
                                      </BdrOvlyProps>
                                    </BdrOvly>
                                    <BdrOvly>
                                      <BdrOvlyProps>
                                        <PT>2</PT>
                                        <SON>0</SON>
                                        <CBPLI>1,1,27,2,1</CBPLI>
                                        <FCN>2</FCN>
                                        <I>True</I>
                                        <BI>9</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Payment Delay (Month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7</SON>
                                <VOFFF><![CDATA[1]]></VOFFF>
                                <UDAV><![CDATA[1]]></UDAV>
                              </ClmnBlkPtProps>
                              <Vdtn>
                                <VdtnProps>
                                  <CBPLI>1,1,28,2,1</CBPLI>
                                  <ADVT>-1</ADVT>
                                  <VT>1</VT>
                                  <AS>1</AS>
                                  <O>7</O>
                                  <F1FFF><![CDATA[0]]></F1FFF>
                                  <F2FFF/>
                                  <IB>False</IB>
                                  <ICDD>False</ICDD>
                                  <SI>False</SI>
                                  <IT/>
                                  <IM/>
                                  <SE>True</SE>
                                  <ET><![CDATA[Tax Payment Delay]]></ET>
                                  <EM><![CDATA[The tax payment delay must be a whole number of months greater than or equal to zero.]]></EM>
                                  <IMO>0</IMO>
                                </VdtnProps>
                              </Vdtn>
                              <FmtCnds>
                                <FmtCnd>
                                  <FmtCndProps>
                                    <CBPLI>1,1,28,2,1</CBPLI>
                                    <FCN>1</FCN>
                                    <FCT>2</FCT>
                                    <FCO>1</FCO>
                                    <F1FFF><![CDATA[=§A¿0,1,0,1,25,2,1,-1,0,0,FALSE,FALSE§Z¿<>§A¿1,2,2,1,18,1,1,1,1§Z¿]]></F1FFF>
                                    <F2FFF/>
                                    <SIT>False</SIT>
                                    <BSV>True</BSV>
                                    <BCT>0</BCT>
                                    <CNBCN>0</CNBCN>
                                    <BTAS>0</BTAS>
                                    <IST>1</IST>
                                    <RO>False</RO>
                                    <SIO>False</SIO>
                                    <TO>0</TO>
                                    <TS/>
                                    <DO>1</DO>
                                    <TB>1</TB>
                                    <R>10</R>
                                    <P>False</P>
                                    <AB>0</AB>
                                    <NSD>1</NSD>
                                    <DU>1</DU>
                                    <INF>False</INF>
                                    <NT>0</NT>
                                    <DP>0</DP>
                                    <CNF/>
                                  </FmtCndProps>
                                  <FntOvly>
                                    <FntOvlyProps>
                                      <PT>2</PT>
                                      <SON>0</SON>
                                      <CBPLI>1,1,28,2,1</CBPLI>
                                      <FCN>1</FCN>
                                      <CN>0</CN>
                                      <IC>True</IC>
                                      <CT>3</CT>
                                      <CNU>3</CNU>
                                      <CPR>0</CPR>
                                      <TAS>0</TAS>
                                    </FntOvlyProps>
                                  </FntOvly>
                                  <IntOvly>
                                    <IntOvlyProps>
                                      <PT>2</PT>
                                      <SON>0</SON>
                                      <CBPLI>1,1,28,2,1</CBPLI>
                                      <FCN>1</FCN>
                                      <IC>True</IC>
                                    </IntOvlyProps>
                                  </IntOvly>
                                </FmtCnd>
                              </FmtCnd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ash Receipts & Payment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verage Revenue Cash Receipt Delay (Day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7</SON>
                                <VOFFF><![CDATA[0]]></VOFFF>
                                <UDAV><![CDATA[0]]></UDAV>
                              </ClmnBlkPtProps>
                              <Vdtn>
                                <VdtnProps>
                                  <CBPLI>1,1,31,2,1</CBPLI>
                                  <ADVT>1</ADVT>
                                  <VT>2</VT>
                                </VdtnProps>
                              </Vdtn>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verage Expenses Cash Payment Delay (Day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7</SON>
                                <VOFFF><![CDATA[0]]></VOFFF>
                                <UDAV><![CDATA[0]]></UDAV>
                              </ClmnBlkPtProps>
                              <Vdtn>
                                <VdtnProps>
                                  <CBPLI>1,1,32,2,1</CBPLI>
                                  <ADVT>1</ADVT>
                                  <VT>2</VT>
                                </VdtnProps>
                              </Vdtn>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Revenue (Excluding VAT)]]></VOFFF>
                              </ClmnBlkPtProps>
                              <RgeNmes>
                                <RgeNme>
                                  <RgeNmeProps>
                                    <CBPLI>1,1,34,1,1</CBPLI>
                                    <MCN>1</MCN>
                                    <SN>1</SN>
                                    <EN>34</EN>
                                    <CN>0</CN>
                                    <CBN>1</CBN>
                                    <CBPN>1</CBPN>
                                    <PT>1</PT>
                                    <CBPRNT>6</CBPRNT>
                                    <NT>12</NT>
                                    <SP1><![CDATA[Rev_Excl_Sales_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Revenue]]></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1,1,37,1,1</CBPLI>
                                    <ELN>1</ELN>
                                    <FFF><![CDATA[=§A¿10,FALSE,0,1,0,FALSE§Z¿]]></FFF>
                                  </LnkInFormProps>
                                </LnkInForm>
                              </LnkInForms>
                            </ClmnBlkPt>
                            <ClmnBlkPt>
                              <ClmnBlkPtProps>
                                <CBPT>1</CBPT>
                                <ST>6</ST>
                                <MC>True</MC>
                                <VOFFF><![CDATA[=§A¿0,1,0,1,3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36,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1,1,37,2,1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1,1,37,3,1</CBPLI>
                                  <ADVT>0</ADVT>
                                  <VT>7</VT>
                                </VdtnProps>
                              </Vdtn>
                              <LnkInForms>
                                <LnkInForm>
                                  <LnkInFormProps>
                                    <CBPLI>1,1,37,3,1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1,1,37,1</STLI>
                              <R>0</R>
                            </SubTtlHdgRowProps>
                          </SubTtlHdgRow>
                          <CatSpan>
                            <CatSpanProps>
                              <CC>5</CC>
                              <R>2</R>
                            </CatSpanProps>
                            <LnkIn>
                              <LnkInProps>
                                <MN>45</MN>
                                <CLI>1,1,37,False,1</CLI>
                                <ELN>1</ELN>
                                <LOOT>0</LOOT>
                                <LOMN>9</LOMN>
                                <LOMCN>4</LOMCN>
                                <LOSN>1</LOSN>
                                <LOEN>4</LOEN>
                                <LOCN>1</LOCN>
                              </LnkInProps>
                            </LnkIn>
                          </CatSpan>
                        </SubTtl>
                      </SubTtls>
                      <TtlCtg>
                        <TtlCtgProps>
                          <R>2</R>
                        </TtlCtgProps>
                      </TtlCtg>
                      <ElmtLnksIn>
                        <ElmtLnk>
                          <ElmtLnkProps>
                            <ELI>1,1,37</ELI>
                            <ELN>1</ELN>
                            <ELGN>2</ELGN>
                            <MLG>5BC5876E-4C28-4493-A230-4320A45C1EFE</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ther Revenue]]></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2</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1,1,40,1,1</CBPLI>
                                    <ELN>1</ELN>
                                    <FFF><![CDATA[=§A¿10,FALSE,0,1,0,FALSE§Z¿]]></FFF>
                                  </LnkInFormProps>
                                </LnkInForm>
                              </LnkInForms>
                            </ClmnBlkPt>
                            <ClmnBlkPt>
                              <ClmnBlkPtProps>
                                <CBPT>1</CBPT>
                                <ST>6</ST>
                                <MC>True</MC>
                                <VOFFF><![CDATA[=§A¿0,1,0,1,40,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39,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1,1,40,2,1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1,1,40,3,1</CBPLI>
                                  <ADVT>0</ADVT>
                                  <VT>7</VT>
                                </VdtnProps>
                              </Vdtn>
                              <LnkInForms>
                                <LnkInForm>
                                  <LnkInFormProps>
                                    <CBPLI>1,1,40,3,1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1,1,40,1</STLI>
                              <R>0</R>
                            </SubTtlHdgRowProps>
                          </SubTtlHdgRow>
                          <CatSpan>
                            <CatSpanProps>
                              <CC>2</CC>
                              <R>2</R>
                            </CatSpanProps>
                            <LnkIn>
                              <LnkInProps>
                                <MN>45</MN>
                                <CLI>1,1,40,False,1</CLI>
                                <ELN>1</ELN>
                                <LOOT>0</LOOT>
                                <LOMN>28</LOMN>
                                <LOMCN>4</LOMCN>
                                <LOSN>1</LOSN>
                                <LOEN>4</LOEN>
                                <LOCN>1</LOCN>
                              </LnkInProps>
                            </LnkIn>
                          </CatSpan>
                        </SubTtl>
                      </SubTtls>
                      <TtlCtg>
                        <TtlCtgProps>
                          <R>2</R>
                        </TtlCtgProps>
                      </TtlCtg>
                      <ElmtLnksIn>
                        <ElmtLnk>
                          <ElmtLnkProps>
                            <ELI>1,1,40</ELI>
                            <ELN>1</ELN>
                            <ELGN>3</ELGN>
                            <MLG>11B73427-89C3-496A-AAC9-239536099189</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Expenses (Excluding VAT)]]></VOFFF>
                              </ClmnBlkPtProps>
                              <RgeNmes>
                                <RgeNme>
                                  <RgeNmeProps>
                                    <CBPLI>1,1,42,1,1</CBPLI>
                                    <MCN>1</MCN>
                                    <SN>1</SN>
                                    <EN>42</EN>
                                    <CN>0</CN>
                                    <CBN>1</CBN>
                                    <CBPN>1</CBPN>
                                    <PT>1</PT>
                                    <CBPRNT>6</CBPRNT>
                                    <NT>12</NT>
                                    <SP1><![CDATA[Exp_Excl_Sales_Tax_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ost of Goods Sold]]></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3</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1,1,45,1,1</CBPLI>
                                    <ELN>1</ELN>
                                    <FFF><![CDATA[=§A¿10,FALSE,0,1,0,FALSE§Z¿]]></FFF>
                                  </LnkInFormProps>
                                </LnkInForm>
                              </LnkInForms>
                            </ClmnBlkPt>
                            <ClmnBlkPt>
                              <ClmnBlkPtProps>
                                <CBPT>1</CBPT>
                                <ST>6</ST>
                                <MC>True</MC>
                                <VOFFF><![CDATA[=§A¿0,1,0,1,45,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44,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11</ST>
                                <SON>3</SON>
                                <VOFFF><![CDATA[0]]></VOFFF>
                                <UDAV><![CDATA[0]]></UDAV>
                              </ClmnBlkPtProps>
                              <Vdtn>
                                <VdtnProps>
                                  <CBPLI>1,1,45,2,1</CBPLI>
                                  <ADVT>3</ADVT>
                                  <VT>2</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19</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1,1,45,3,1</CBPLI>
                                  <ADVT>0</ADVT>
                                  <VT>7</VT>
                                </VdtnProps>
                              </Vdtn>
                              <LnkInForms>
                                <LnkInForm>
                                  <LnkInFormProps>
                                    <CBPLI>1,1,45,3,1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1,1,45,1</STLI>
                              <R>0</R>
                            </SubTtlHdgRowProps>
                          </SubTtlHdgRow>
                          <CatSpan>
                            <CatSpanProps>
                              <CC>3</CC>
                              <R>2</R>
                            </CatSpanProps>
                            <LnkIn>
                              <LnkInProps>
                                <MN>45</MN>
                                <CLI>1,1,45,False,1</CLI>
                                <ELN>1</ELN>
                                <LOOT>0</LOOT>
                                <LOMN>15</LOMN>
                                <LOMCN>4</LOMCN>
                                <LOSN>1</LOSN>
                                <LOEN>4</LOEN>
                                <LOCN>1</LOCN>
                              </LnkInProps>
                            </LnkIn>
                          </CatSpan>
                        </SubTtl>
                      </SubTtls>
                      <TtlCtg>
                        <TtlCtgProps>
                          <R>2</R>
                        </TtlCtgProps>
                      </TtlCtg>
                      <ElmtLnksIn>
                        <ElmtLnk>
                          <ElmtLnkProps>
                            <ELI>1,1,45</ELI>
                            <ELN>1</ELN>
                            <ELGN>4</ELGN>
                            <MLG>5C860D93-DDC3-4B7A-BA2B-039792DD83BD</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ventory Purchases]]></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4</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1,1,48,1,1</CBPLI>
                                    <ELN>1</ELN>
                                    <FFF><![CDATA[=§A¿10,FALSE,0,1,0,FALSE§Z¿]]></FFF>
                                  </LnkInFormProps>
                                </LnkInForm>
                              </LnkInForms>
                            </ClmnBlkPt>
                            <ClmnBlkPt>
                              <ClmnBlkPtProps>
                                <CBPT>1</CBPT>
                                <ST>6</ST>
                                <MC>True</MC>
                                <VOFFF><![CDATA[=§A¿0,1,0,1,48,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47,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1,1,48,2,1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1,1,48,3,1</CBPLI>
                                  <ADVT>0</ADVT>
                                  <VT>7</VT>
                                </VdtnProps>
                              </Vdtn>
                              <LnkInForms>
                                <LnkInForm>
                                  <LnkInFormProps>
                                    <CBPLI>1,1,48,3,1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1,1,48,1</STLI>
                              <R>0</R>
                            </SubTtlHdgRowProps>
                          </SubTtlHdgRow>
                          <Ctgs>
                            <Ctg>
                              <CtgProps>
                                <R>2</R>
                              </CtgProps>
                              <LnkIn>
                                <LnkInProps>
                                  <MN>45</MN>
                                  <CLI>1,1,48,False,1</CLI>
                                  <ELN>1</ELN>
                                  <LOOT>0</LOOT>
                                  <LOMN>34</LOMN>
                                  <LOMCN>1</LOMCN>
                                  <LOSN>3</LOSN>
                                  <LOEN>6</LOEN>
                                  <LOCN>1</LOCN>
                                </LnkInProps>
                              </LnkIn>
                            </Ctg>
                          </Ctgs>
                        </SubTtl>
                      </SubTtls>
                      <TtlCtg>
                        <TtlCtgProps>
                          <R>2</R>
                        </TtlCtgProps>
                      </TtlCtg>
                      <ElmtLnksIn>
                        <ElmtLnk>
                          <ElmtLnkProps>
                            <ELI>1,1,48</ELI>
                            <ELN>1</ELN>
                            <ELGN>5</ELGN>
                            <MLG>8E388AB7-C3A6-4D08-8BA3-0A54E6268AAB</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rating Expenditure]]></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5</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1,1,51,1,1</CBPLI>
                                    <ELN>1</ELN>
                                    <FFF><![CDATA[=§A¿10,FALSE,0,1,0,FALSE§Z¿]]></FFF>
                                  </LnkInFormProps>
                                </LnkInForm>
                              </LnkInForms>
                            </ClmnBlkPt>
                            <ClmnBlkPt>
                              <ClmnBlkPtProps>
                                <CBPT>1</CBPT>
                                <ST>6</ST>
                                <MC>True</MC>
                                <VOFFF><![CDATA[=§A¿0,1,0,1,51,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50,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1,1,51,2,1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1,1,51,3,1</CBPLI>
                                  <ADVT>0</ADVT>
                                  <VT>7</VT>
                                </VdtnProps>
                              </Vdtn>
                              <LnkInForms>
                                <LnkInForm>
                                  <LnkInFormProps>
                                    <CBPLI>1,1,51,3,1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1,1,51,1</STLI>
                              <R>0</R>
                            </SubTtlHdgRowProps>
                          </SubTtlHdgRow>
                          <CatSpan>
                            <CatSpanProps>
                              <CC>8</CC>
                              <R>2</R>
                            </CatSpanProps>
                            <LnkIn>
                              <LnkInProps>
                                <MN>45</MN>
                                <CLI>1,1,51,False,1</CLI>
                                <ELN>1</ELN>
                                <LOOT>0</LOOT>
                                <LOMN>19</LOMN>
                                <LOMCN>4</LOMCN>
                                <LOSN>1</LOSN>
                                <LOEN>4</LOEN>
                                <LOCN>1</LOCN>
                              </LnkInProps>
                            </LnkIn>
                          </CatSpan>
                        </SubTtl>
                      </SubTtls>
                      <TtlCtg>
                        <TtlCtgProps>
                          <R>2</R>
                        </TtlCtgProps>
                      </TtlCtg>
                      <ElmtLnksIn>
                        <ElmtLnk>
                          <ElmtLnkProps>
                            <ELI>1,1,51</ELI>
                            <ELN>1</ELN>
                            <ELGN>6</ELGN>
                            <MLG>38F3F5CD-EA4A-45A0-BA33-D4A1343DCA30</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ther Expenses]]></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6</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1,1,54,1,1</CBPLI>
                                    <ELN>1</ELN>
                                    <FFF><![CDATA[=§A¿10,FALSE,0,1,0,FALSE§Z¿]]></FFF>
                                  </LnkInFormProps>
                                </LnkInForm>
                              </LnkInForms>
                            </ClmnBlkPt>
                            <ClmnBlkPt>
                              <ClmnBlkPtProps>
                                <CBPT>1</CBPT>
                                <ST>6</ST>
                                <MC>True</MC>
                                <VOFFF><![CDATA[=§A¿0,1,0,1,54,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53,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1,1,54,2,1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1,1,54,3,1</CBPLI>
                                  <ADVT>0</ADVT>
                                  <VT>7</VT>
                                </VdtnProps>
                              </Vdtn>
                              <LnkInForms>
                                <LnkInForm>
                                  <LnkInFormProps>
                                    <CBPLI>1,1,54,3,1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1,1,54,1</STLI>
                              <R>0</R>
                            </SubTtlHdgRowProps>
                          </SubTtlHdgRow>
                          <Ctgs>
                            <Ctg>
                              <CtgProps>
                                <R>2</R>
                              </CtgProps>
                              <LnkIn>
                                <LnkInProps>
                                  <MN>45</MN>
                                  <CLI>1,1,54,False,1</CLI>
                                  <ELN>1</ELN>
                                  <LOOT>0</LOOT>
                                  <LOMN>31</LOMN>
                                  <LOMCN>3</LOMCN>
                                  <LOSN>1</LOSN>
                                  <LOEN>4</LOEN>
                                  <LOCN>1</LOCN>
                                </LnkInProps>
                              </LnkIn>
                            </Ctg>
                          </Ctgs>
                        </SubTtl>
                      </SubTtls>
                      <TtlCtg>
                        <TtlCtgProps>
                          <R>2</R>
                        </TtlCtgProps>
                      </TtlCtg>
                      <ElmtLnksIn>
                        <ElmtLnk>
                          <ElmtLnkProps>
                            <ELI>1,1,54</ELI>
                            <ELN>1</ELN>
                            <ELGN>7</ELGN>
                            <MLG>070A3ADD-0FB1-4CC9-BDBB-B89F34486725</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Fixed Assets Capital Expenditure]]></VOFFF>
                              </ClmnBlkPtProps>
                            </ClmnBlkPt>
                          </ClmnBlkPts>
                        </ClmnBlk>
                        <ClmnBlk>
                          <ClmnBlkProps>
                            <FCPT>3</FCPT>
                            <FCN>9</FCN>
                            <FCOT>0</FCOT>
                            <FCOC>6</FCOC>
                            <FCPTBMCN>4</FCPTBMCN>
                            <FCPTBN>2</FCPTBN>
                            <LCPT>3</LCPT>
                            <LCN>9</LCN>
                            <LCOT>1</LCOT>
                            <LCOC>0</LCOC>
                            <LCPTBMCN>4</LCPTBMCN>
                            <LCPTBN>2</LCPTBN>
                          </ClmnBlkProps>
                          <ClmnBlkPts>
                            <ClmnBlkPt>
                              <ClmnBlkPtProps>
                                <CBPT>5</CBPT>
                                <ST>5</ST>
                                <SON>1</SON>
                                <VOFFF><![CDATA[VAT Applicable ]]></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Excluding VAT)"]]></VOFFF>
                              </ClmnBlkPtProps>
                            </ClmnBlkPt>
                          </ClmnBlkPts>
                        </ClmnBlk>
                      </ClmnBlks>
                      <TtlCtg>
                        <TtlCtgProps>
                          <R>2</R>
                        </TtlCtgProps>
                      </TtlCtg>
                    </Elmt>
                    <Elmt>
                      <ElmtProps>
                        <CPT>0</CPT>
                        <TOT>False</TOT>
                        <EGN>7</EGN>
                      </ElmtProps>
                      <ClmnBlks>
                        <ClmnBlk>
                          <ClmnBlkProps>
                            <FCPT>3</FCPT>
                            <FCN>2</FCN>
                            <FCOT>0</FCOT>
                            <FCOC>0</FCOC>
                            <FCPTBMCN>4</FCPTBMCN>
                            <FCPTBN>1</FCPTBN>
                            <LCPT>3</LCPT>
                            <LCN>7</LCN>
                            <LCOT>0</LCOT>
                            <LCOC>4</LCOC>
                            <LCPTBMCN>4</LCPTBMCN>
                            <LCPTBN>2</LCPTBN>
                          </ClmnBlkProps>
                          <ClmnBlkPts>
                            <ClmnBlkPt>
                              <ClmnBlkPtProps>
                                <CBPT>0</CBPT>
                                <ST>8</ST>
                                <MC>True</MC>
                                <VOFFF><![CDATA[<CategoriesGroupName> Category <CategoryNumber>]]></VOFFF>
                                <UDAV><![CDATA[<CategoriesGroupName> Category <CategoryNumber>]]></UDAV>
                              </ClmnBlkPtProps>
                              <LnkInForms>
                                <LnkInForm>
                                  <LnkInFormProps>
                                    <CBPLI>1,1,57,1,1</CBPLI>
                                    <ELN>1</ELN>
                                    <FFF><![CDATA[=§A¿10,FALSE,0,1,0,FALSE§Z¿]]></FFF>
                                  </LnkInFormProps>
                                </LnkInForm>
                              </LnkInForms>
                            </ClmnBlkPt>
                            <ClmnBlkPt>
                              <ClmnBlkPtProps>
                                <CBPT>1</CBPT>
                                <ST>6</ST>
                                <MC>True</MC>
                                <VOFFF><![CDATA[=§A¿0,1,0,1,57,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56,1,1,-1,0,0,FALSE,FALSE§Z¿]]></VOFFF>
                                <UDAV><![CDATA[Total <CategoriesGroupName>]]></UDAV>
                              </ClmnBlkPtProps>
                            </ClmnBlkPt>
                          </ClmnBlkPts>
                        </ClmnBlk>
                        <ClmnBlk>
                          <ClmnBlkProps>
                            <FCPT>3</FCPT>
                            <FCN>9</FCN>
                            <FCOT>0</FCOT>
                            <FCOC>6</FCOC>
                            <FCPTBMCN>4</FCPTBMCN>
                            <FCPTBN>2</FCPTBN>
                            <LCPT>3</LCPT>
                            <LCN>9</LCN>
                            <LCOT>1</LCOT>
                            <LCOC>0</LCOC>
                            <LCPTBMCN>4</LCPTBMCN>
                            <LCPTBN>2</LCPTBN>
                          </ClmnBlkProps>
                          <ClmnBlkPts>
                            <ClmnBlkPt>
                              <ClmnBlkPtProps>
                                <CBPT>0</CBPT>
                                <ST>12</ST>
                                <SON>3</SON>
                                <VOFFF><![CDATA[1]]></VOFFF>
                                <UDAV><![CDATA[1]]></UDAV>
                              </ClmnBlkPtProps>
                              <Vdtn>
                                <VdtnProps>
                                  <CBPLI>1,1,57,2,1</CBPLI>
                                  <ADVT>3</ADVT>
                                  <VT>2</VT>
                                </VdtnProps>
                              </Vdtn>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
                              </ClmnBlkPtProps>
                            </ClmnBlkPt>
                          </ClmnBlkPts>
                        </ClmnBlk>
                        <ClmnBlk>
                          <ClmnBlkProps>
                            <FCPT>3</FCPT>
                            <FCN>10</FCN>
                            <FCOT>0</FCOT>
                            <FCOC>0</FCOC>
                            <FCPTBMCN>4</FCPTBMCN>
                            <FCPTBN>3</FCPTBN>
                            <LCPT>3</LCPT>
                            <LCN>45</LCN>
                            <LCOT>1</LCOT>
                            <LCOC>0</LCOC>
                            <LCPTBMCN>4</LCPTBMCN>
                            <LCPTBN>3</LCPTBN>
                          </ClmnBlkProps>
                          <ClmnBlkPts>
                            <ClmnBlkPt>
                              <ClmnBlkPtProps>
                                <CBPT>0</CBPT>
                                <ST>11</ST>
                                <VOFFF><![CDATA[0]]></VOFFF>
                                <UDAV><![CDATA[0]]></UDAV>
                              </ClmnBlkPtProps>
                              <Vdtn>
                                <VdtnProps>
                                  <CBPLI>1,1,57,3,1</CBPLI>
                                  <ADVT>0</ADVT>
                                  <VT>7</VT>
                                </VdtnProps>
                              </Vdtn>
                              <LnkInForms>
                                <LnkInForm>
                                  <LnkInFormProps>
                                    <CBPLI>1,1,57,3,1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18</SON>
                                <VOFFF><![CDATA[=§A¿3§Z¿]]></VOFFF>
                              </ClmnBlkPtProps>
                            </ClmnBlkPt>
                          </ClmnBlkPts>
                        </ClmnBlk>
                      </ClmnBlks>
                      <SubTtls>
                        <SubTtl>
                          <SubTtlHdgRow>
                            <SubTtlHdgRowProps>
                              <STLI>1,1,57,1</STLI>
                              <R>0</R>
                            </SubTtlHdgRowProps>
                          </SubTtlHdgRow>
                          <CatSpan>
                            <CatSpanProps>
                              <CC>2</CC>
                              <R>2</R>
                            </CatSpanProps>
                            <LnkIn>
                              <LnkInProps>
                                <MN>45</MN>
                                <CLI>1,1,57,False,1</CLI>
                                <ELN>1</ELN>
                                <LOOT>0</LOOT>
                                <LOMN>40</LOMN>
                                <LOMCN>1</LOMCN>
                                <LOSN>3</LOSN>
                                <LOEN>6</LOEN>
                                <LOCN>1</LOCN>
                              </LnkInProps>
                            </LnkIn>
                          </CatSpan>
                        </SubTtl>
                      </SubTtls>
                      <TtlCtg>
                        <TtlCtgProps>
                          <R>2</R>
                        </TtlCtgProps>
                      </TtlCtg>
                      <ElmtLnksIn>
                        <ElmtLnk>
                          <ElmtLnkProps>
                            <ELI>1,1,57</ELI>
                            <ELN>1</ELN>
                            <ELGN>8</ELGN>
                            <MLG>5F2DF3CF-CC5E-4FA8-9D2A-79458EFCD4E0</MLG>
                            <ICBI>1,3</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VAT Assessment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ssessment Timing]]></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Year]]></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YEAR(§A¿9,4,0,0,1,5,3,1,-1,0,0,TRUE,FALSE§Z¿)+IF(MONTH(§A¿9,4,0,0,1,5,3,1,-1,0,0,TRUE,FALSE§Z¿)>§A¿1,1,1,1,6,0,2,1,1§Z¿,1,0)]]></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Year Month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MOD(MONTH(§A¿9,4,0,0,1,5,3,1,-1,0,0,TRUE,FALSE§Z¿)-§A¿1,1,1,1,6,0,2,1,1§Z¿-1,§A¿7,2,2,1,14,7,1,1,1§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INDEX(§A¿0,1,1,1,19,2,1,-1,0,0,FALSE,TRUE,1,19,2,1,-1,0,0,FALSE,FALSE§Z¿,1,MATCH(§A¿0,1,0,1,62,2,1,-1,0,0,FALSE,FALSE§Z¿,§A¿0,1,1,1,62,2,1,-1,0,0,FALSE,TRUE,1,62,2,1,-1,0,0,FALSE,FALSE§Z¿,0))]]></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VAT Assessment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on "&§A¿0,1,0,1,3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7,3,6,-1,0,0,FALSE,FALSE§Z¿-§A¿0,1,0,1,37,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on "&§A¿0,1,0,1,3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A¿0,1,0,1,140,3,6,-1,0,0,FALSE,FALSE§Z¿-§A¿0,1,0,1,40,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VAT on "&§A¿0,1,0,1,4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45,3,6,-1,0,0,FALSE,FALSE§Z¿-§A¿0,1,0,1,45,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VAT on "&§A¿0,1,0,1,4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48,3,6,-1,0,0,FALSE,FALSE§Z¿-§A¿0,1,0,1,48,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VAT on "&§A¿0,1,0,1,5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51,3,6,-1,0,0,FALSE,FALSE§Z¿-§A¿0,1,0,1,51,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VAT on "&§A¿0,1,0,1,5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54,3,6,-1,0,0,FALSE,FALSE§Z¿-§A¿0,1,0,1,54,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VAT on "&§A¿0,1,0,1,5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57,3,6,-1,0,0,FALSE,FALSE§Z¿-§A¿0,1,0,1,57,3,6,-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VAT on Accrued Revenues & Expens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13</SON>
                                <VOFFF><![CDATA[=SUM(§A¿0,1,1,1,67,2,1,-1,0,0,FALSE,FALSE,1,73,2,1,-1,0,0,FALSE,FALS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ssessment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8</SON>
                                <VOFFF><![CDATA[=IF(§A¿0,1,0,1,64,2,1,-1,0,0,FALSE,FALSE§Z¿=§A¿1,2,2,1,10,1,1,1,1§Z¿,§A¿1,2,2,1,18,1,1,1,1§Z¿,IF(§A¿0,1,0,1,64,2,1,-1,0,0,FALSE,FALSE§Z¿=§A¿1,2,2,1,10,2,1,1,1§Z¿,IF(MOD(§A¿0,1,0,1,63,2,1,-1,0,0,FALSE,FALSE§Z¿,§A¿7,2,2,1,14,5,1,1,1§Z¿)=0,§A¿1,2,2,1,18,1,1,1,1§Z¿,§A¿1,2,2,1,18,2,1,1,1§Z¿),IF(§A¿0,1,0,1,64,2,1,-1,0,0,FALSE,FALSE§Z¿=§A¿1,2,2,1,10,3,1,1,1§Z¿,IF(MOD(§A¿0,1,0,1,63,2,1,-1,0,0,FALSE,FALSE§Z¿,§A¿7,2,2,1,14,6,1,1,1§Z¿)=0,§A¿1,2,2,1,18,1,1,1,1§Z¿,§A¿1,2,2,1,18,2,1,1,1§Z¿),IF(§A¿0,1,0,1,63,2,1,-1,0,0,FALSE,FALSE§Z¿=§A¿7,2,2,1,14,7,1,1,1§Z¿,§A¿1,2,2,1,18,1,1,1,1§Z¿,§A¿1,2,2,1,18,2,1,1,1§Z¿))))]]></VOFFF>
                              </ClmnBlkPtProps>
                              <FmtCnds>
                                <FmtCnd>
                                  <FmtCndProps>
                                    <CBPLI>1,1,76,2,1</CBPLI>
                                    <FCN>1</FCN>
                                    <FCT>2</FCT>
                                    <FCO>1</FCO>
                                    <F1FFF><![CDATA[=§A¿0,1,0,1,76,2,1,-1,0,0,FALSE,FALSE§Z¿=§A¿1,2,2,1,18,1,1,1,1§Z¿]]></F1FFF>
                                    <F2FFF/>
                                    <SIT>False</SIT>
                                    <BSV>True</BSV>
                                    <BCT>0</BCT>
                                    <CNBCN>0</CNBCN>
                                    <BTAS>0</BTAS>
                                    <IST>1</IST>
                                    <RO>False</RO>
                                    <SIO>False</SIO>
                                    <TO>0</TO>
                                    <TS/>
                                    <DO>1</DO>
                                    <TB>1</TB>
                                    <R>10</R>
                                    <P>False</P>
                                    <AB>0</AB>
                                    <NSD>1</NSD>
                                    <DU>1</DU>
                                    <INF>False</INF>
                                    <NT>0</NT>
                                    <DP>0</DP>
                                    <CNF/>
                                  </FmtCndProps>
                                  <FntOvly>
                                    <FntOvlyProps>
                                      <PT>2</PT>
                                      <SON>0</SON>
                                      <CBPLI>1,1,76,2,1</CBPLI>
                                      <FCN>1</FCN>
                                      <CN>0</CN>
                                      <IB>True</IB>
                                      <II>True</II>
                                      <B>True</B>
                                      <I>False</I>
                                    </FntOvlyProps>
                                  </FntOvly>
                                  <BdrOvlys>
                                    <BdrOvly>
                                      <BdrOvlyProps>
                                        <PT>2</PT>
                                        <SON>0</SON>
                                        <CBPLI>1,1,76,2,1</CBPLI>
                                        <FCN>1</FCN>
                                        <I>True</I>
                                        <BI>7</BI>
                                        <LS>1</LS>
                                        <W>2</W>
                                      </BdrOvlyProps>
                                    </BdrOvly>
                                    <BdrOvly>
                                      <BdrOvlyProps>
                                        <PT>2</PT>
                                        <SON>0</SON>
                                        <CBPLI>1,1,76,2,1</CBPLI>
                                        <FCN>1</FCN>
                                        <I>True</I>
                                        <BI>10</BI>
                                        <LS>1</LS>
                                        <W>2</W>
                                      </BdrOvlyProps>
                                    </BdrOvly>
                                    <BdrOvly>
                                      <BdrOvlyProps>
                                        <PT>2</PT>
                                        <SON>0</SON>
                                        <CBPLI>1,1,76,2,1</CBPLI>
                                        <FCN>1</FCN>
                                        <I>True</I>
                                        <BI>8</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ssessment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64,2,1,-1,0,0,FALSE,FALSE§Z¿=§A¿1,2,2,1,10,1,1,1,1§Z¿,§A¿0,1,0,1,63,2,1,-1,0,0,FALSE,FALSE§Z¿,IF(§A¿0,1,0,1,64,2,1,-1,0,0,FALSE,FALSE§Z¿=§A¿1,2,2,1,10,2,1,1,1§Z¿,INT((§A¿0,1,0,1,63,2,1,-1,0,0,FALSE,FALSE§Z¿-1)/§A¿7,2,2,1,14,5,1,1,1§Z¿)+1,IF(§A¿0,1,0,1,64,2,1,-1,0,0,FALSE,FALSE§Z¿=§A¿1,2,2,1,10,3,1,1,1§Z¿,INT((§A¿0,1,0,1,63,2,1,-1,0,0,FALSE,FALSE§Z¿-1)/§A¿7,2,2,1,14,6,1,1,1§Z¿)+1,1)))]]></VOFFF>
                              </ClmnBlkPtProps>
                              <FmtCnds>
                                <FmtCnd>
                                  <FmtCndProps>
                                    <CBPLI>1,1,77,2,1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1,1,77,2,1</CBPLI>
                                        <FCN>1</FCN>
                                        <I>True</I>
                                        <BI>7</BI>
                                        <LS>1</LS>
                                        <W>2</W>
                                      </BdrOvlyProps>
                                    </BdrOvly>
                                    <BdrOvly>
                                      <BdrOvlyProps>
                                        <PT>2</PT>
                                        <SON>0</SON>
                                        <CBPLI>1,1,77,2,1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im Assessment Period Key]]></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8</SON>
                                <VOFFF><![CDATA[=§A¿0,1,0,1,62,2,1,-1,0,0,FALSE,FALSE§Z¿&"-"&§A¿0,1,0,1,77,2,1,-1,0,0,FALSE,FALSE§Z¿]]></VOFFF>
                              </ClmnBlkPtProps>
                              <FmtCnds>
                                <FmtCnd>
                                  <FmtCndProps>
                                    <CBPLI>1,1,78,2,1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1,1,78,2,1</CBPLI>
                                        <FCN>1</FCN>
                                        <I>True</I>
                                        <BI>7</BI>
                                        <LS>1</LS>
                                        <W>2</W>
                                      </BdrOvlyProps>
                                    </BdrOvly>
                                    <BdrOvly>
                                      <BdrOvlyProps>
                                        <PT>2</PT>
                                        <SON>0</SON>
                                        <CBPLI>1,1,78,2,1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7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74,2,1,-1,0,0,FALSE,FALSE§Z¿]]></VOFFF>
                              </ClmnBlkPtProps>
                              <FmtCnds>
                                <FmtCnd>
                                  <FmtCndProps>
                                    <CBPLI>1,1,79,2,1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1,1,79,2,1</CBPLI>
                                        <FCN>1</FCN>
                                        <I>True</I>
                                        <BI>7</BI>
                                        <LS>1</LS>
                                        <W>2</W>
                                      </BdrOvlyProps>
                                    </BdrOvly>
                                    <BdrOvly>
                                      <BdrOvlyProps>
                                        <PT>2</PT>
                                        <SON>0</SON>
                                        <CBPLI>1,1,79,2,1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1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19,2,1,-1,0,0,FALSE,FALSE§Z¿]]></VOFFF>
                              </ClmnBlkPtProps>
                              <FmtCnds>
                                <FmtCnd>
                                  <FmtCndProps>
                                    <CBPLI>1,1,80,2,1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1,1,80,2,1</CBPLI>
                                        <FCN>1</FCN>
                                        <I>True</I>
                                        <BI>7</BI>
                                        <LS>1</LS>
                                        <W>2</W>
                                      </BdrOvlyProps>
                                    </BdrOvly>
                                    <BdrOvly>
                                      <BdrOvlyProps>
                                        <PT>2</PT>
                                        <SON>0</SON>
                                        <CBPLI>1,1,80,2,1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8</SON>
                                <VOFFF><![CDATA[=IF(§A¿0,1,0,1,76,2,1,-1,0,0,FALSE,FALSE§Z¿<>§A¿1,2,2,1,18,1,1,1,1§Z¿,0,§A¿0,1,0,1,26,2,1,-1,0,0,FALSE,FALSE§Z¿)]]></VOFFF>
                              </ClmnBlkPtProps>
                              <FmtCnds>
                                <FmtCnd>
                                  <FmtCndProps>
                                    <CBPLI>1,1,81,2,1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1,1,81,2,1</CBPLI>
                                        <FCN>1</FCN>
                                        <I>True</I>
                                        <BI>7</BI>
                                        <LS>1</LS>
                                        <W>2</W>
                                      </BdrOvlyProps>
                                    </BdrOvly>
                                    <BdrOvly>
                                      <BdrOvlyProps>
                                        <PT>2</PT>
                                        <SON>0</SON>
                                        <CBPLI>1,1,81,2,1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ssessment VA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1,0,1,76,2,1,-1,0,0,FALSE,FALSE§Z¿<>§A¿1,2,2,1,18,1,1,1,1§Z¿,0,SUMIF(§A¿0,1,1,1,78,2,1,-1,0,0,FALSE,TRUE,1,78,2,1,-1,0,0,FALSE,FALSE§Z¿,§A¿0,1,0,1,78,2,1,-1,0,0,FALSE,FALSE§Z¿,IF(§A¿0,1,0,1,81,2,1,-1,0,0,FALSE,FALSE§Z¿=§A¿1,2,2,1,14,2,1,1,1§Z¿,§A¿0,1,1,1,80,2,1,-1,0,0,FALSE,TRUE,1,80,2,1,-1,0,0,FALSE,FALSE§Z¿,§A¿0,1,1,1,79,2,1,-1,0,0,FALSE,TRUE,1,79,2,1,-1,0,0,FALSE,FALSE§Z¿)))]]></VOFFF>
                              </ClmnBlkPtProps>
                              <FmtCnds>
                                <FmtCnd>
                                  <FmtCndProps>
                                    <CBPLI>1,1,82,2,1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1,1,82,2,1</CBPLI>
                                        <FCN>1</FCN>
                                        <I>True</I>
                                        <BI>7</BI>
                                        <LS>1</LS>
                                        <W>2</W>
                                      </BdrOvlyProps>
                                    </BdrOvly>
                                    <BdrOvly>
                                      <BdrOvlyProps>
                                        <PT>2</PT>
                                        <SON>0</SON>
                                        <CBPLI>1,1,82,2,1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76,2,1,-1,0,0,FALSE,FALSE§Z¿<>§A¿1,2,2,1,18,1,1,1,1§Z¿,0,§A¿0,1,0,1,28,2,1,-1,0,0,FALSE,FALSE§Z¿)]]></VOFFF>
                              </ClmnBlkPtProps>
                              <FmtCnds>
                                <FmtCnd>
                                  <FmtCndProps>
                                    <CBPLI>1,1,83,2,1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1,1,83,2,1</CBPLI>
                                        <FCN>1</FCN>
                                        <I>True</I>
                                        <BI>7</BI>
                                        <LS>1</LS>
                                        <W>2</W>
                                      </BdrOvlyProps>
                                    </BdrOvly>
                                    <BdrOvly>
                                      <BdrOvlyProps>
                                        <PT>2</PT>
                                        <SON>0</SON>
                                        <CBPLI>1,1,83,2,1</CBPLI>
                                        <FCN>1</FCN>
                                        <I>True</I>
                                        <BI>10</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im Assessment - Tax Payment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11</SON>
                                <VOFFF><![CDATA[=IF(§A¿0,1,0,1,76,2,1,-1,0,0,FALSE,FALSE§Z¿<>§A¿1,2,2,1,18,1,1,1,1§Z¿,0,EDATE(§A¿9,4,0,0,1,4,3,1,-1,0,0,TRUE,FALSE§Z¿,1+§A¿0,1,0,1,83,2,1,-1,0,0,FALSE,FALSE§Z¿)-1)]]></VOFFF>
                              </ClmnBlkPtProps>
                              <FmtCnds>
                                <FmtCnd>
                                  <FmtCndProps>
                                    <CBPLI>1,1,84,2,1</CBPLI>
                                    <FCN>1</FCN>
                                    <FCT>2</FCT>
                                    <FCO>1</FCO>
                                    <F1FFF><![CDATA[=§A¿0,1,0,1,76,2,1,-1,0,0,FALSE,FALSE§Z¿=§A¿1,2,2,1,18,1,1,1,1§Z¿]]></F1FFF>
                                    <F2FFF/>
                                    <SIT>False</SIT>
                                    <BSV>True</BSV>
                                    <BCT>0</BCT>
                                    <CNBCN>0</CNBCN>
                                    <BTAS>0</BTAS>
                                    <IST>1</IST>
                                    <RO>False</RO>
                                    <SIO>False</SIO>
                                    <TO>0</TO>
                                    <TS/>
                                    <DO>1</DO>
                                    <TB>1</TB>
                                    <R>10</R>
                                    <P>False</P>
                                    <AB>0</AB>
                                    <NSD>1</NSD>
                                    <DU>1</DU>
                                    <INF>False</INF>
                                    <NT>0</NT>
                                    <DP>0</DP>
                                    <CNF/>
                                  </FmtCndProps>
                                  <BdrOvlys>
                                    <BdrOvly>
                                      <BdrOvlyProps>
                                        <PT>2</PT>
                                        <SON>0</SON>
                                        <CBPLI>1,1,84,2,1</CBPLI>
                                        <FCN>1</FCN>
                                        <I>True</I>
                                        <BI>7</BI>
                                        <LS>1</LS>
                                        <W>2</W>
                                      </BdrOvlyProps>
                                    </BdrOvly>
                                    <BdrOvly>
                                      <BdrOvlyProps>
                                        <PT>2</PT>
                                        <SON>0</SON>
                                        <CBPLI>1,1,84,2,1</CBPLI>
                                        <FCN>1</FCN>
                                        <I>True</I>
                                        <BI>10</BI>
                                        <LS>1</LS>
                                        <W>2</W>
                                      </BdrOvlyProps>
                                    </BdrOvly>
                                    <BdrOvly>
                                      <BdrOvlyProps>
                                        <PT>2</PT>
                                        <SON>0</SON>
                                        <CBPLI>1,1,84,2,1</CBPLI>
                                        <FCN>1</FCN>
                                        <I>True</I>
                                        <BI>9</BI>
                                        <LS>1</LS>
                                        <W>2</W>
                                      </BdrOvlyProps>
                                    </BdrOvly>
                                  </BdrOvlys>
                                </FmtCnd>
                              </FmtCnd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VAT Paid/(Refund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SUMIF(§A¿0,1,1,1,84,2,1,-1,0,0,FALSE,TRUE,1,84,2,1,-1,0,0,FALSE,FALSE§Z¿,§A¿9,4,0,0,1,5,3,1,-1,0,0,TRUE,FALSE§Z¿,§A¿0,1,1,1,82,2,1,-1,0,0,FALSE,TRUE,1,82,2,1,-1,0,0,FALSE,FALS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Cash Basis Net VAT Estimate]]></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ays in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9,4,0,0,1,5,3,1,-1,0,0,TRUE,FALSE§Z¿-§A¿9,4,0,0,1,4,3,1,-1,0,0,TRU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Start Timing]]></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9,4,0,0,1,6,3,1,-1,0,0,TRUE,FALSE§Z¿=1,0,§A¿0,1,0,1,91,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Period End Timing]]></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90,2,1,-1,0,0,FALSE,FALSE§Z¿+§A¿0,1,0,1,89,2,1,-1,0,0,FALSE,FALSE§Z¿]]></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Revenue VAT Cash Receipt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VAT on Revenu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67,2,1,-1,0,0,FALSE,FALSE,1,68,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3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31,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Start Ti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90,2,1,-1,0,0,TRUE,FALSE§Z¿+§A¿0,1,0,1,95,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End Ti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A¿0,1,0,1,96,2,1,-1,0,0,FALSE,FALSE§Z¿+§A¿0,1,0,1,89,2,1,-1,0,0,TRU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1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96,2,1,-1,0,0,FALSE,FALSE§Z¿>MAX(§A¿0,1,1,1,91,3,1,-1,0,0,TRUE,TRUE,1,91,3,1,-1,1,0,TRUE,TRUE§Z¿),0,MATCH(§A¿0,1,0,1,96,2,1,-1,0,0,FALSE,FALSE§Z¿,§A¿0,1,1,1,90,2,1,-1,0,0,TRUE,TRUE,1,90,2,1,-1,1,0,TRUE,TRUE§Z¿,1))]]>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2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98,2,1,-1,0,0,FALSE,FALSE§Z¿<1,0,IF(§A¿0,1,0,1,98,2,1,-1,0,0,FALSE,FALSE§Z¿>=COLUMNS(§A¿0,1,1,1,98,2,1,-1,0,0,FALSE,TRUE,1,98,2,1,-1,1,0,FALSE,TRUE§Z¿),0,§A¿0,1,0,1,98,2,1,-1,0,0,FALSE,FALSE§Z¿+1))]]>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3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IF(§A¿0,1,0,1,99,2,1,-1,0,0,FALSE,FALSE§Z¿<1,0,IF(§A¿0,1,0,1,99,2,1,-1,0,0,FALSE,FALSE§Z¿>=COLUMNS(§A¿0,1,1,1,99,2,1,-1,0,0,FALSE,TRUE,1,99,2,1,-1,1,0,FALSE,TRUE§Z¿),0,§A¿0,1,0,1,99,2,1,-1,0,0,FALSE,FALSE§Z¿+1))]]>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1 - Cash Receiv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94,2,1,-1,0,0,FALSE,FALSE§Z¿/§A¿0,1,0,1,89,2,1,-1,0,0,TRUE,FALSE§Z¿*MAX(MIN(INDEX(§A¿0,1,1,1,91,3,1,-1,0,0,TRUE,TRUE,1,91,3,1,-1,1,0,TRUE,TRUE§Z¿,§A¿0,1,0,1,98,2,1,-1,0,0,FALSE,FALSE§Z¿),§A¿0,1,0,1,97,2,1,-1,0,0,FALSE,FALSE§Z¿)-§A¿0,1,0,1,96,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2 - Cash Receiv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94,2,1,-1,0,0,FALSE,FALSE§Z¿/§A¿0,1,0,1,89,2,1,-1,0,0,TRUE,FALSE§Z¿*MAX(MIN(INDEX(§A¿0,1,1,1,91,3,1,-1,0,0,TRUE,TRUE,1,91,3,1,-1,1,0,TRUE,TRUE§Z¿,§A¿0,1,0,1,99,2,1,-1,0,0,FALSE,FALSE§Z¿),§A¿0,1,0,1,97,2,1,-1,0,0,FALSE,FALSE§Z¿)-INDEX(§A¿0,1,1,1,90,2,1,-1,0,0,TRUE,TRUE,1,90,2,1,-1,1,0,TRUE,TRUE§Z¿,§A¿0,1,0,1,99,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Receipts Period 3 - Cash Receiv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A¿0,1,0,1,94,2,1,-1,0,0,FALSE,FALSE§Z¿/§A¿0,1,0,1,89,2,1,-1,0,0,TRUE,FALSE§Z¿*MAX(MIN(INDEX(§A¿0,1,1,1,91,3,1,-1,0,0,TRUE,TRUE,1,91,3,1,-1,1,0,TRUE,TRUE§Z¿,§A¿0,1,0,1,100,2,1,-1,0,0,FALSE,FALSE§Z¿),§A¿0,1,0,1,97,2,1,-1,0,0,FALSE,FALSE§Z¿)-INDEX(§A¿0,1,1,1,90,2,1,-1,0,0,TRUE,TRUE,1,90,2,1,-1,1,0,TRUE,TRUE§Z¿,§A¿0,1,0,1,100,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9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SUMPRODUCT(((§A¿0,1,1,1,98,2,1,-1,0,0,FALSE,TRUE,1,100,2,1,-1,1,0,FALSE,TRUE§Z¿)=§A¿9,4,0,0,1,6,3,1,-1,0,0,TRUE,FALSE§Z¿)*§A¿0,1,1,1,101,2,1,-1,0,0,FALSE,TRUE,1,103,2,1,-1,1,0,FALSE,TRU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Expenses VAT Cash Payments]]></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VAT on Expens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69,2,1,-1,0,0,FALSE,FALSE,1,73,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3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32,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Start Ti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1,0,1,90,2,1,-1,0,0,TRUE,FALSE§Z¿+§A¿0,1,0,1,108,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End Tim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A¿0,1,0,1,109,2,1,-1,0,0,FALSE,FALSE§Z¿+§A¿0,1,0,1,89,2,1,-1,0,0,TRU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1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109,2,1,-1,0,0,FALSE,FALSE§Z¿>MAX(§A¿0,1,1,1,91,3,1,-1,0,0,TRUE,TRUE,1,91,3,1,-1,1,0,TRUE,TRUE§Z¿),0,MATCH(§A¿0,1,0,1,109,2,1,-1,0,0,FALSE,FALSE§Z¿,§A¿0,1,1,1,90,2,1,-1,0,0,TRUE,TRUE,1,90,2,1,-1,1,0,TRUE,TRUE§Z¿,1))]]>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2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111,2,1,-1,0,0,FALSE,FALSE§Z¿<1,0,IF(§A¿0,1,0,1,111,2,1,-1,0,0,FALSE,FALSE§Z¿>=COLUMNS(§A¿0,1,1,1,111,2,1,-1,0,0,FALSE,TRUE,1,111,2,1,-1,1,0,FALSE,TRUE§Z¿),0,§A¿0,1,0,1,111,2,1,-1,0,0,FALSE,FALSE§Z¿+1))]]>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3 -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IF(§A¿0,1,0,1,112,2,1,-1,0,0,FALSE,FALSE§Z¿<1,0,IF(§A¿0,1,0,1,112,2,1,-1,0,0,FALSE,FALSE§Z¿>=COLUMNS(§A¿0,1,1,1,112,2,1,-1,0,0,FALSE,TRUE,1,112,2,1,-1,1,0,FALSE,TRUE§Z¿),0,§A¿0,1,0,1,112,2,1,-1,0,0,FALSE,FALSE§Z¿+1))]]></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1 - Cash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07,2,1,-1,0,0,FALSE,FALSE§Z¿/§A¿0,1,0,1,89,2,1,-1,0,0,TRUE,FALSE§Z¿*MAX(MIN(INDEX(§A¿0,1,1,1,91,3,1,-1,0,0,TRUE,TRUE,1,91,3,1,-1,1,0,TRUE,TRUE§Z¿,§A¿0,1,0,1,111,2,1,-1,0,0,FALSE,FALSE§Z¿),§A¿0,1,0,1,110,2,1,-1,0,0,FALSE,FALSE§Z¿)-§A¿0,1,0,1,109,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2 - Cash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07,2,1,-1,0,0,FALSE,FALSE§Z¿/§A¿0,1,0,1,89,2,1,-1,0,0,TRUE,FALSE§Z¿*MAX(MIN(INDEX(§A¿0,1,1,1,91,3,1,-1,0,0,TRUE,TRUE,1,91,3,1,-1,1,0,TRUE,TRUE§Z¿,§A¿0,1,0,1,112,2,1,-1,0,0,FALSE,FALSE§Z¿),§A¿0,1,0,1,110,2,1,-1,0,0,FALSE,FALSE§Z¿)-INDEX(§A¿0,1,1,1,90,2,1,-1,0,0,TRUE,TRUE,1,90,2,1,-1,1,0,TRUE,TRUE§Z¿,§A¿0,1,0,1,112,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ash Payments Period 3 - Cash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A¿0,1,0,1,107,2,1,-1,0,0,FALSE,FALSE§Z¿/§A¿0,1,0,1,89,2,1,-1,0,0,TRUE,FALSE§Z¿*MAX(MIN(INDEX(§A¿0,1,1,1,91,3,1,-1,0,0,TRUE,TRUE,1,91,3,1,-1,1,0,TRUE,TRUE§Z¿,§A¿0,1,0,1,113,2,1,-1,0,0,FALSE,FALSE§Z¿),§A¿0,1,0,1,110,2,1,-1,0,0,FALSE,FALSE§Z¿)-INDEX(§A¿0,1,1,1,90,2,1,-1,0,0,TRUE,TRUE,1,90,2,1,-1,1,0,TRUE,TRUE§Z¿,§A¿0,1,0,1,113,2,1,-1,0,0,FALSE,FALSE§Z¿),0)]]></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0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SUMPRODUCT(((§A¿0,1,1,1,111,2,1,-1,0,0,FALSE,TRUE,1,113,2,1,-1,1,0,FALSE,TRUE§Z¿)=§A¿9,4,0,0,1,6,3,1,-1,0,0,TRUE,FALSE§Z¿)*§A¿0,1,1,1,114,2,1,-1,0,0,FALSE,TRUE,1,116,2,1,-1,1,0,FALSE,TRU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VAT on Cash Receipts &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14</SON>
                                <VOFFF><![CDATA[=§A¿0,1,0,1,104,2,1,-1,0,0,FALSE,FALSE§Z¿+§A¿0,1,0,1,117,2,1,-1,0,0,FALSE,FALS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VAT Payable & Paid]]></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1,§A¿0,1,0,1,10,2,1,-1,0,0,TRUE,TRUE§Z¿,§A¿0,1,0,1,128,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Payable - Creat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74,2,1,-1,0,0,FALSE,FALSE§Z¿]]></VOFFF>
                              </ClmnBlkPtProps>
                            </ClmnBlkPt>
                          </ClmnBlkPts>
                        </ClmnBlk>
                      </ClmnBlk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pening VAT Payable - Payments]]></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A¿0,1,0,1,11,2,1,-1,0,0,TRUE,TRUE§Z¿,-§A¿0,1,0,1,123,2,1,-1,0,0,FALSE,TRUE§Z¿*§A¿0,1,0,1,12,2,1,-1,0,0,TRUE,TRUE§Z¿,IF(AND(§A¿9,4,0,0,1,6,3,1,-1,0,0,TRUE,FALSE§Z¿>§A¿0,1,0,1,11,2,1,-1,0,0,TRUE,TRUE§Z¿,NOT(ISERROR(MATCH(§A¿9,4,0,0,1,5,3,1,-1,0,0,TRUE,FALSE§Z¿,§A¿0,1,1,1,84,2,1,-1,0,0,FALSE,TRUE,1,84,2,1,-1,0,0,FALSE,FALSE§Z¿,0)))),-(§A¿0,1,0,1,123,2,1,-1,0,0,FALSE,TRUE§Z¿+SUM(§A¿0,1,1,1,125,2,1,-1,0,0,FALSE,TRUE,1,125,2,1,-1,0,0,FALSE,FALSE§Z¿)),0))]]></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eriodic VAT Payable -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10</SON>
                                <VOFFF><![CDATA[=-§A¿0,1,0,1,85,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VAT Payable - Pai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125,3,1,-1,0,0,FALSE,FALSE,1,126,2,1,-1,0,0,FALSE,FALSE§Z¿)]]></VOFFF>
                              </ClmnBlkPtProps>
                            </ClmnBlkPt>
                          </ClmnBlkPts>
                        </ClmnBlk>
                      </ClmnBlk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VAT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SUM(§A¿0,1,1,1,123,2,1,-1,0,0,FALSE,FALSE,1,124,2,1,-1,0,0,FALSE,FALSE§Z¿,§A¿0,1,0,1,127,2,1,-1,0,0,FALSE,FALS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A¿0,1,0,1,21,1,1,-1,0,0,FALSE,FALSE§Z¿]]></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2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2</SON>
                                <VOFFF><![CDATA[=§A¿0,1,0,1,22,2,1,-1,0,0,FALSE,FALSE§Z¿]]></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Revenue (Including VAT)]]></VOFFF>
                              </ClmnBlkPtProps>
                              <RgeNmes>
                                <RgeNme>
                                  <RgeNmeProps>
                                    <CBPLI>1,1,134,1,1</CBPLI>
                                    <MCN>1</MCN>
                                    <SN>1</SN>
                                    <EN>134</EN>
                                    <CN>0</CN>
                                    <CBN>1</CBN>
                                    <CBPN>1</CBPN>
                                    <PT>1</PT>
                                    <CBPRNT>6</CBPRNT>
                                    <NT>12</NT>
                                    <SP1><![CDATA[Rev_Inc_Sales_Tax_Out]]></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36,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36,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1,0,1,37,1,1,0,0,0,FALSE,FALSE§Z¿]]></VOFFF>
                              </ClmnBlkPtProps>
                            </ClmnBlkPt>
                            <ClmnBlkPt>
                              <ClmnBlkPtProps>
                                <CBPT>1</CBPT>
                                <ST>6</ST>
                                <VOFFF><![CDATA[=§A¿0,1,0,1,137,1,3,0,0,0,FALSE,FALSE§Z¿]]></VOFFF>
                                <UDAV><![CDATA[<CategoriesGroupName> Sub-Total <SubTotalNumber>]]></UDAV>
                              </ClmnBlkPtProps>
                            </ClmnBlkPt>
                            <ClmnBlkPt>
                              <ClmnBlkPtProps>
                                <CBPT>2</CBPT>
                                <ST>5</ST>
                                <VOFFF><![CDATA[=§A¿0,1,0,1,37,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36,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37,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37,3,1,0,0,0,FALSE,FALSE§Z¿*(1+§A¿0,1,0,1,137,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1,1,137,1</STLI>
                              <R>0</R>
                            </SubTtlHdgRowProps>
                          </SubTtlHdgRow>
                          <CatSpan>
                            <CatSpanProps>
                              <CC>5</CC>
                              <R>2</R>
                            </CatSpanProps>
                          </CatSpan>
                        </SubTtl>
                      </SubTtls>
                      <TtlCtg>
                        <TtlCtgProps>
                          <R>2</R>
                        </TtlCtgProps>
                      </TtlCtg>
                      <ElmtLnksOut>
                        <ElmtLnk>
                          <ElmtLnkProps>
                            <ELI>1,1,137</ELI>
                            <ELN>1</ELN>
                            <ELGN>1</ELGN>
                            <MLG>7340B374-3D3B-4ABB-93D6-52726D4B4F06</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39,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39,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2</EGN>
                      </ElmtProps>
                      <ClmnBlks>
                        <ClmnBlk>
                          <ClmnBlkProps>
                            <FCPT>3</FCPT>
                            <FCN>2</FCN>
                            <FCOT>0</FCOT>
                            <FCOC>0</FCOC>
                            <FCPTBMCN>4</FCPTBMCN>
                            <FCPTBN>1</FCPTBN>
                            <LCPT>3</LCPT>
                            <LCN>2</LCN>
                            <LCOT>1</LCOT>
                            <LCOC>0</LCOC>
                            <LCPTBMCN>4</LCPTBMCN>
                            <LCPTBN>1</LCPTBN>
                          </ClmnBlkProps>
                          <ClmnBlkPts>
                            <ClmnBlkPt>
                              <ClmnBlkPtProps>
                                <CBPT>0</CBPT>
                                <ST>6</ST>
                                <VOFFF><![CDATA[=§A¿0,1,0,1,40,1,1,0,0,0,FALSE,FALSE§Z¿]]></VOFFF>
                              </ClmnBlkPtProps>
                            </ClmnBlkPt>
                            <ClmnBlkPt>
                              <ClmnBlkPtProps>
                                <CBPT>1</CBPT>
                                <ST>6</ST>
                                <VOFFF><![CDATA[=§A¿0,1,0,1,140,1,3,0,0,0,FALSE,FALSE§Z¿]]></VOFFF>
                                <UDAV><![CDATA[<CategoriesGroupName> Sub-Total <SubTotalNumber>]]></UDAV>
                              </ClmnBlkPtProps>
                            </ClmnBlkPt>
                            <ClmnBlkPt>
                              <ClmnBlkPtProps>
                                <CBPT>2</CBPT>
                                <ST>5</ST>
                                <VOFFF><![CDATA[=§A¿0,1,0,1,40,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39,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40,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40,3,1,0,0,0,FALSE,FALSE§Z¿*(1+§A¿0,1,0,1,140,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1,1,140,1</STLI>
                              <R>0</R>
                            </SubTtlHdgRowProps>
                          </SubTtlHdgRow>
                          <CatSpan>
                            <CatSpanProps>
                              <CC>2</CC>
                              <R>2</R>
                            </CatSpanProps>
                          </CatSpan>
                        </SubTtl>
                      </SubTtls>
                      <TtlCtg>
                        <TtlCtgProps>
                          <R>2</R>
                        </TtlCtgProps>
                      </TtlCtg>
                      <ElmtLnksOut>
                        <ElmtLnk>
                          <ElmtLnkProps>
                            <ELI>1,1,140</ELI>
                            <ELN>1</ELN>
                            <ELGN>2</ELGN>
                            <MLG>0E13DC82-FF30-4EF6-8206-C098351585F4</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Expenses (Including VAT)]]></VOFFF>
                              </ClmnBlkPtProps>
                              <RgeNmes>
                                <RgeNme>
                                  <RgeNmeProps>
                                    <CBPLI>1,1,142,1,1</CBPLI>
                                    <MCN>1</MCN>
                                    <SN>1</SN>
                                    <EN>142</EN>
                                    <CN>0</CN>
                                    <CBN>1</CBN>
                                    <CBPN>1</CBPN>
                                    <PT>1</PT>
                                    <CBPRNT>6</CBPRNT>
                                    <NT>12</NT>
                                    <SP1><![CDATA[Exp_Inc_Sales_Tax_Out]]></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44,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3</EGN>
                      </ElmtProps>
                      <ClmnBlks>
                        <ClmnBlk>
                          <ClmnBlkProps>
                            <FCPT>3</FCPT>
                            <FCN>2</FCN>
                            <FCOT>0</FCOT>
                            <FCOC>0</FCOC>
                            <FCPTBMCN>4</FCPTBMCN>
                            <FCPTBN>1</FCPTBN>
                            <LCPT>3</LCPT>
                            <LCN>2</LCN>
                            <LCOT>1</LCOT>
                            <LCOC>0</LCOC>
                            <LCPTBMCN>4</LCPTBMCN>
                            <LCPTBN>1</LCPTBN>
                          </ClmnBlkProps>
                          <ClmnBlkPts>
                            <ClmnBlkPt>
                              <ClmnBlkPtProps>
                                <CBPT>0</CBPT>
                                <ST>6</ST>
                                <VOFFF><![CDATA[=§A¿0,1,0,1,45,1,1,0,0,0,FALSE,FALSE§Z¿]]></VOFFF>
                              </ClmnBlkPtProps>
                            </ClmnBlkPt>
                            <ClmnBlkPt>
                              <ClmnBlkPtProps>
                                <CBPT>1</CBPT>
                                <ST>6</ST>
                                <VOFFF><![CDATA[=§A¿0,1,0,1,145,1,3,0,0,0,FALSE,FALSE§Z¿]]></VOFFF>
                                <UDAV><![CDATA[<CategoriesGroupName> Sub-Total <SubTotalNumber>]]></UDAV>
                              </ClmnBlkPtProps>
                            </ClmnBlkPt>
                            <ClmnBlkPt>
                              <ClmnBlkPtProps>
                                <CBPT>2</CBPT>
                                <ST>5</ST>
                                <VOFFF><![CDATA[=§A¿0,1,0,1,45,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4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45,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45,3,1,0,0,0,FALSE,FALSE§Z¿*(1+§A¿0,1,0,1,145,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1,1,145,1</STLI>
                              <R>0</R>
                            </SubTtlHdgRowProps>
                          </SubTtlHdgRow>
                          <CatSpan>
                            <CatSpanProps>
                              <CC>3</CC>
                              <R>2</R>
                            </CatSpanProps>
                          </CatSpan>
                        </SubTtl>
                      </SubTtls>
                      <TtlCtg>
                        <TtlCtgProps>
                          <R>2</R>
                        </TtlCtgProps>
                      </TtlCtg>
                      <ElmtLnksOut>
                        <ElmtLnk>
                          <ElmtLnkProps>
                            <ELI>1,1,145</ELI>
                            <ELN>1</ELN>
                            <ELGN>3</ELGN>
                            <MLG>C3AEE604-C9C0-4DCC-84BB-FC4235E84FBF</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7,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47,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4</EGN>
                      </ElmtProps>
                      <ClmnBlks>
                        <ClmnBlk>
                          <ClmnBlkProps>
                            <FCPT>3</FCPT>
                            <FCN>2</FCN>
                            <FCOT>0</FCOT>
                            <FCOC>0</FCOC>
                            <FCPTBMCN>4</FCPTBMCN>
                            <FCPTBN>1</FCPTBN>
                            <LCPT>3</LCPT>
                            <LCN>2</LCN>
                            <LCOT>1</LCOT>
                            <LCOC>0</LCOC>
                            <LCPTBMCN>4</LCPTBMCN>
                            <LCPTBN>1</LCPTBN>
                          </ClmnBlkProps>
                          <ClmnBlkPts>
                            <ClmnBlkPt>
                              <ClmnBlkPtProps>
                                <CBPT>0</CBPT>
                                <ST>6</ST>
                                <VOFFF><![CDATA[=§A¿0,1,0,1,48,1,1,0,0,0,FALSE,FALSE§Z¿]]></VOFFF>
                              </ClmnBlkPtProps>
                            </ClmnBlkPt>
                            <ClmnBlkPt>
                              <ClmnBlkPtProps>
                                <CBPT>1</CBPT>
                                <ST>6</ST>
                                <VOFFF><![CDATA[=§A¿0,1,0,1,148,1,3,0,0,0,FALSE,FALSE§Z¿]]></VOFFF>
                                <UDAV><![CDATA[<CategoriesGroupName> Sub-Total <SubTotalNumber>]]></UDAV>
                              </ClmnBlkPtProps>
                            </ClmnBlkPt>
                            <ClmnBlkPt>
                              <ClmnBlkPtProps>
                                <CBPT>2</CBPT>
                                <ST>5</ST>
                                <VOFFF><![CDATA[=§A¿0,1,0,1,48,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47,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48,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48,3,1,0,0,0,FALSE,FALSE§Z¿*(1+§A¿0,1,0,1,148,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1,1,148,1</STLI>
                              <R>0</R>
                            </SubTtlHdgRowProps>
                          </SubTtlHdgRow>
                          <Ctgs>
                            <Ctg>
                              <CtgProps>
                                <R>2</R>
                              </CtgProps>
                            </Ctg>
                          </Ctgs>
                        </SubTtl>
                      </SubTtls>
                      <TtlCtg>
                        <TtlCtgProps>
                          <R>2</R>
                        </TtlCtgProps>
                      </TtlCtg>
                      <ElmtLnksOut>
                        <ElmtLnk>
                          <ElmtLnkProps>
                            <ELI>1,1,148</ELI>
                            <ELN>1</ELN>
                            <ELGN>4</ELGN>
                            <MLG>3752BD6F-07D2-4D59-A300-5B482F76BFA2</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50,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50,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5</EGN>
                      </ElmtProps>
                      <ClmnBlks>
                        <ClmnBlk>
                          <ClmnBlkProps>
                            <FCPT>3</FCPT>
                            <FCN>2</FCN>
                            <FCOT>0</FCOT>
                            <FCOC>0</FCOC>
                            <FCPTBMCN>4</FCPTBMCN>
                            <FCPTBN>1</FCPTBN>
                            <LCPT>3</LCPT>
                            <LCN>2</LCN>
                            <LCOT>1</LCOT>
                            <LCOC>0</LCOC>
                            <LCPTBMCN>4</LCPTBMCN>
                            <LCPTBN>1</LCPTBN>
                          </ClmnBlkProps>
                          <ClmnBlkPts>
                            <ClmnBlkPt>
                              <ClmnBlkPtProps>
                                <CBPT>0</CBPT>
                                <ST>6</ST>
                                <VOFFF><![CDATA[=§A¿0,1,0,1,51,1,1,0,0,0,FALSE,FALSE§Z¿]]></VOFFF>
                              </ClmnBlkPtProps>
                            </ClmnBlkPt>
                            <ClmnBlkPt>
                              <ClmnBlkPtProps>
                                <CBPT>1</CBPT>
                                <ST>6</ST>
                                <VOFFF><![CDATA[=§A¿0,1,0,1,151,1,3,0,0,0,FALSE,FALSE§Z¿]]></VOFFF>
                                <UDAV><![CDATA[<CategoriesGroupName> Sub-Total <SubTotalNumber>]]></UDAV>
                              </ClmnBlkPtProps>
                            </ClmnBlkPt>
                            <ClmnBlkPt>
                              <ClmnBlkPtProps>
                                <CBPT>2</CBPT>
                                <ST>5</ST>
                                <VOFFF><![CDATA[=§A¿0,1,0,1,51,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50,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51,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51,3,1,0,0,0,FALSE,FALSE§Z¿*(1+§A¿0,1,0,1,151,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1,1,151,1</STLI>
                              <R>0</R>
                            </SubTtlHdgRowProps>
                          </SubTtlHdgRow>
                          <CatSpan>
                            <CatSpanProps>
                              <CC>8</CC>
                              <R>2</R>
                            </CatSpanProps>
                          </CatSpan>
                        </SubTtl>
                      </SubTtls>
                      <TtlCtg>
                        <TtlCtgProps>
                          <R>2</R>
                        </TtlCtgProps>
                      </TtlCtg>
                      <ElmtLnksOut>
                        <ElmtLnk>
                          <ElmtLnkProps>
                            <ELI>1,1,151</ELI>
                            <ELN>1</ELN>
                            <ELGN>5</ELGN>
                            <MLG>EB190EDC-6436-419B-90CB-392B740B89B0</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53,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53,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6</EGN>
                      </ElmtProps>
                      <ClmnBlks>
                        <ClmnBlk>
                          <ClmnBlkProps>
                            <FCPT>3</FCPT>
                            <FCN>2</FCN>
                            <FCOT>0</FCOT>
                            <FCOC>0</FCOC>
                            <FCPTBMCN>4</FCPTBMCN>
                            <FCPTBN>1</FCPTBN>
                            <LCPT>3</LCPT>
                            <LCN>2</LCN>
                            <LCOT>1</LCOT>
                            <LCOC>0</LCOC>
                            <LCPTBMCN>4</LCPTBMCN>
                            <LCPTBN>1</LCPTBN>
                          </ClmnBlkProps>
                          <ClmnBlkPts>
                            <ClmnBlkPt>
                              <ClmnBlkPtProps>
                                <CBPT>0</CBPT>
                                <ST>6</ST>
                                <VOFFF><![CDATA[=§A¿0,1,0,1,54,1,1,0,0,0,FALSE,FALSE§Z¿]]></VOFFF>
                              </ClmnBlkPtProps>
                            </ClmnBlkPt>
                            <ClmnBlkPt>
                              <ClmnBlkPtProps>
                                <CBPT>1</CBPT>
                                <ST>6</ST>
                                <VOFFF><![CDATA[=§A¿0,1,0,1,154,1,3,0,0,0,FALSE,FALSE§Z¿]]></VOFFF>
                                <UDAV><![CDATA[<CategoriesGroupName> Sub-Total <SubTotalNumber>]]></UDAV>
                              </ClmnBlkPtProps>
                            </ClmnBlkPt>
                            <ClmnBlkPt>
                              <ClmnBlkPtProps>
                                <CBPT>2</CBPT>
                                <ST>5</ST>
                                <VOFFF><![CDATA[=§A¿0,1,0,1,54,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53,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54,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54,3,1,0,0,0,FALSE,FALSE§Z¿*(1+§A¿0,1,0,1,154,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1,1,154,1</STLI>
                              <R>0</R>
                            </SubTtlHdgRowProps>
                          </SubTtlHdgRow>
                          <Ctgs>
                            <Ctg>
                              <CtgProps>
                                <R>2</R>
                              </CtgProps>
                            </Ctg>
                          </Ctgs>
                        </SubTtl>
                      </SubTtls>
                      <TtlCtg>
                        <TtlCtgProps>
                          <R>2</R>
                        </TtlCtgProps>
                      </TtlCtg>
                      <ElmtLnksOut>
                        <ElmtLnk>
                          <ElmtLnkProps>
                            <ELI>1,1,154</ELI>
                            <ELN>1</ELN>
                            <ELGN>6</ELGN>
                            <MLG>4FED42CE-E3D8-4B97-809D-09067CC2440C</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56,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5</ST>
                                <SON>4</SON>
                                <VOFFF><![CDATA[=§A¿0,1,0,1,56,2,1,-1,0,0,FALSE,FALSE§Z¿]]></VOFFF>
                              </ClmnBlkPtProps>
                            </ClmnBlkPt>
                          </ClmnBlkPts>
                        </ClmnBlk>
                        <ClmnBlk>
                          <ClmnBlkProps>
                            <FCPT>3</FCPT>
                            <FCN>10</FCN>
                            <FCOT>0</FCOT>
                            <FCOC>0</FCOC>
                            <FCPTBMCN>4</FCPTBMCN>
                            <FCPTBN>3</FCPTBN>
                            <LCPT>3</LCPT>
                            <LCN>10</LCN>
                            <LCOT>0</LCOT>
                            <LCOC>0</LCOC>
                            <LCPTBMCN>4</LCPTBMCN>
                            <LCPTBN>3</LCPTBN>
                          </ClmnBlkProps>
                          <ClmnBlkPts>
                            <ClmnBlkPt>
                              <ClmnBlkPtProps>
                                <CBPT>5</CBPT>
                                <ST>5</ST>
                                <VOFFF><![CDATA[=" "&INDEX(§A¿7,1,2,1,18,0,1,1,1§Z¿,§A¿7,1,1,1,15,0,3,1,1§Z¿)&" (Including VAT)"]]></VOFFF>
                              </ClmnBlkPtProps>
                            </ClmnBlkPt>
                          </ClmnBlkPts>
                        </ClmnBlk>
                      </ClmnBlks>
                      <TtlCtg>
                        <TtlCtgProps>
                          <R>2</R>
                        </TtlCtgProps>
                      </TtlCtg>
                    </Elmt>
                    <Elmt>
                      <ElmtProps>
                        <CPT>0</CPT>
                        <TOT>False</TOT>
                        <EGN>7</EGN>
                      </ElmtProps>
                      <ClmnBlks>
                        <ClmnBlk>
                          <ClmnBlkProps>
                            <FCPT>3</FCPT>
                            <FCN>2</FCN>
                            <FCOT>0</FCOT>
                            <FCOC>0</FCOC>
                            <FCPTBMCN>4</FCPTBMCN>
                            <FCPTBN>1</FCPTBN>
                            <LCPT>3</LCPT>
                            <LCN>2</LCN>
                            <LCOT>1</LCOT>
                            <LCOC>0</LCOC>
                            <LCPTBMCN>4</LCPTBMCN>
                            <LCPTBN>1</LCPTBN>
                          </ClmnBlkProps>
                          <ClmnBlkPts>
                            <ClmnBlkPt>
                              <ClmnBlkPtProps>
                                <CBPT>0</CBPT>
                                <ST>6</ST>
                                <VOFFF><![CDATA[=§A¿0,1,0,1,57,1,1,0,0,0,FALSE,FALSE§Z¿]]></VOFFF>
                              </ClmnBlkPtProps>
                            </ClmnBlkPt>
                            <ClmnBlkPt>
                              <ClmnBlkPtProps>
                                <CBPT>1</CBPT>
                                <ST>6</ST>
                                <VOFFF><![CDATA[=§A¿0,1,0,1,157,1,3,0,0,0,FALSE,FALSE§Z¿]]></VOFFF>
                                <UDAV><![CDATA[<CategoriesGroupName> Sub-Total <SubTotalNumber>]]></UDAV>
                              </ClmnBlkPtProps>
                            </ClmnBlkPt>
                            <ClmnBlkPt>
                              <ClmnBlkPtProps>
                                <CBPT>2</CBPT>
                                <ST>5</ST>
                                <VOFFF><![CDATA[=§A¿0,1,0,1,57,1,3,0,0,0,FALSE,FALSE§Z¿]]></VOFFF>
                                <UDAV><![CDATA[Sub-Total <SubTotalNumber>]]></UDAV>
                              </ClmnBlkPtProps>
                            </ClmnBlkPt>
                            <ClmnBlkPt>
                              <ClmnBlkPtProps>
                                <CBPT>3</CBPT>
                                <ST>-1</ST>
                                <VOFFF/>
                              </ClmnBlkPtProps>
                            </ClmnBlkPt>
                            <ClmnBlkPt>
                              <ClmnBlkPtProps>
                                <CBPT>4</CBPT>
                                <ST>-1</ST>
                                <VOFFF/>
                              </ClmnBlkPtProps>
                            </ClmnBlkPt>
                            <ClmnBlkPt>
                              <ClmnBlkPtProps>
                                <CBPT>5</CBPT>
                                <ST>5</ST>
                                <VOFFF><![CDATA[="Total Applicable "&§A¿0,1,0,1,156,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19</ST>
                                <SON>3</SON>
                                <VOFFF><![CDATA[=§A¿0,1,0,1,57,2,1,0,0,0,FALSE,FALSE§Z¿]]></VOFFF>
                              </ClmnBlkPtProps>
                            </ClmnBlkPt>
                            <ClmnBlkPt>
                              <ClmnBlkPtProps>
                                <CBPT>1</CBPT>
                                <ST>19</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A¿0,1,0,1,57,3,1,0,0,0,FALSE,FALSE§Z¿*(1+§A¿0,1,0,1,157,2,1,0,0,0,FALSE,TRUE§Z¿*§A¿0,1,0,1,132,2,1,-1,0,0,TRU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5</SON>
                                <VOFFF><![CDATA[=§A¿3§Z¿]]></VOFFF>
                              </ClmnBlkPtProps>
                            </ClmnBlkPt>
                          </ClmnBlkPts>
                        </ClmnBlk>
                      </ClmnBlks>
                      <SubTtls>
                        <SubTtl>
                          <SubTtlHdgRow>
                            <SubTtlHdgRowProps>
                              <STLI>1,1,157,1</STLI>
                              <R>0</R>
                            </SubTtlHdgRowProps>
                          </SubTtlHdgRow>
                          <CatSpan>
                            <CatSpanProps>
                              <CC>2</CC>
                              <R>2</R>
                            </CatSpanProps>
                          </CatSpan>
                        </SubTtl>
                      </SubTtls>
                      <TtlCtg>
                        <TtlCtgProps>
                          <R>2</R>
                        </TtlCtgProps>
                      </TtlCtg>
                      <ElmtLnksOut>
                        <ElmtLnk>
                          <ElmtLnkProps>
                            <ELI>1,1,157</ELI>
                            <ELN>1</ELN>
                            <ELGN>7</ELGN>
                            <MLG>C8013BEF-1B90-4875-A064-C502755B90EE</MLG>
                            <ICBI>1,3</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2</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23,2,1,-1,0,0,FALSE,FALSE§Z¿]]></VOFFF>
                              </ClmnBlkPtProps>
                            </ClmnBlkPt>
                          </ClmnBlkPts>
                        </ClmnBlk>
                      </ClmnBlks>
                      <TtlCtg>
                        <TtlCtgProps>
                          <R>2</R>
                        </TtlCtgProps>
                      </TtlCtg>
                      <ElmtLnksOut>
                        <ElmtLnk>
                          <ElmtLnkProps>
                            <ELI>1,1,161</ELI>
                            <ELN>1</ELN>
                            <ELGN>8</ELGN>
                            <MLG>7C5BF857-8DC9-426E-8168-6A3CDFF135AD</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24,2,1,-1,0,0,FALSE,FALSE§Z¿]]></VOFFF>
                              </ClmnBlkPtProps>
                            </ClmnBlkPt>
                          </ClmnBlkPts>
                        </ClmnBlk>
                      </ClmnBlks>
                      <TtlCtg>
                        <TtlCtgProps>
                          <R>2</R>
                        </TtlCtgProps>
                      </TtlCtg>
                      <ElmtLnksOut>
                        <ElmtLnk>
                          <ElmtLnkProps>
                            <ELI>1,1,162</ELI>
                            <ELN>1</ELN>
                            <ELGN>8</ELGN>
                            <MLG>849E3C51-4FAB-4DEE-AAC1-12B1AD0AEDAF</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27,2,1,-1,0,0,FALSE,FALSE§Z¿]]></VOFFF>
                              </ClmnBlkPtProps>
                            </ClmnBlkPt>
                          </ClmnBlkPts>
                        </ClmnBlk>
                      </ClmnBlks>
                      <TtlCtg>
                        <TtlCtgProps>
                          <R>2</R>
                        </TtlCtgProps>
                      </TtlCtg>
                      <ElmtLnksOut>
                        <ElmtLnk>
                          <ElmtLnkProps>
                            <ELI>1,1,163</ELI>
                            <ELN>1</ELN>
                            <ELGN>8</ELGN>
                            <MLG>53EE0053-1F87-4876-AAF3-A761C2478CF8</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2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A¿0,1,0,1,128,3,1,-1,0,0,FALSE,FALSE§Z¿]]></VOFFF>
                              </ClmnBlkPtProps>
                            </ClmnBlkPt>
                          </ClmnBlkPts>
                        </ClmnBlk>
                      </ClmnBlks>
                      <TtlCtg>
                        <TtlCtgProps>
                          <R>2</R>
                        </TtlCtgProps>
                      </TtlCtg>
                      <ElmtLnksOut>
                        <ElmtLnk>
                          <ElmtLnkProps>
                            <ELI>1,1,164</ELI>
                            <ELN>1</ELN>
                            <ELGN>8</ELGN>
                            <MLG>BA2F83B2-E547-4A3C-9720-5F8B6A38C5C6</MLG>
                            <ICBI>1,2</ICBI>
                            <ILBN>1,2</ILBN>
                            <LIBN>0</LIBN>
                          </ElmtLnkProps>
                        </ElmtLnk>
                      </ElmtLnksOut>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3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2</SON>
                                <VOFFF><![CDATA[=§A¿0,1,0,1,132,2,1,-1,0,0,FALSE,FALSE§Z¿]]></VOFFF>
                              </ClmnBlkPtProps>
                            </ClmnBlkPt>
                          </ClmnBlkPts>
                        </ClmnBlk>
                      </ClmnBlks>
                      <TtlCtg>
                        <TtlCtgProps>
                          <R>2</R>
                        </TtlCtgProps>
                      </TtlCtg>
                      <ElmtLnksOut>
                        <ElmtLnk>
                          <ElmtLnkProps>
                            <ELI>1,1,166</ELI>
                            <ELN>1</ELN>
                            <ELGN>8</ELGN>
                            <MLG>B8F084B7-D237-4942-842B-13C62667885A</MLG>
                            <ICBI>1,2</ICBI>
                            <ILBN>1,2</ILBN>
                            <LIBN>0</LIBN>
                          </ElmtLnkProps>
                        </ElmtLnk>
                      </ElmtLnksOut>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ISERROR(§A¿0,1,0,1,164,2,1,-1,0,0,FALSE,FALSE§Z¿+§A¿0,1,0,1,166,2,1,-1,0,0,FALSE,FALSE§Z¿),1,0)]]></VOFFF>
                              </ClmnBlkPtProps>
                              <FmtCnds>
                                <FmtCnd>
                                  <FmtCndProps>
                                    <CBPLI>1,1,168,2,1</CBPLI>
                                    <FCN>1</FCN>
                                    <FCT>1</FCT>
                                    <FCO>4</FCO>
                                    <F1FFF><![CDATA[=0]]></F1FFF>
                                    <F2FFF/>
                                    <SIT>False</SIT>
                                    <BSV>True</BSV>
                                    <BCT>0</BCT>
                                    <CNBCN>0</CNBCN>
                                    <BTAS>0</BTAS>
                                    <IST>1</IST>
                                    <RO>False</RO>
                                    <SIO>False</SIO>
                                    <TO>0</TO>
                                    <TS/>
                                    <DO>1</DO>
                                    <TB>1</TB>
                                    <R>10</R>
                                    <P>False</P>
                                    <AB>0</AB>
                                    <NSD>1</NSD>
                                    <DU>1</DU>
                                    <INF>False</INF>
                                    <NT>0</NT>
                                    <DP>0</DP>
                                    <CNF/>
                                  </FmtCndProps>
                                  <FntOvly>
                                    <FntOvlyProps>
                                      <PT>2</PT>
                                      <SON>0</SON>
                                      <CBPLI>1,1,168,2,1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in Balancing of VAT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IF(§A¿0,1,0,1,168,2,1,-1,0,0,FALSE,FALSE§Z¿<>0,0,IF(ROUND(§A¿0,1,0,1,164,2,1,-1,0,0,FALSE,FALSE§Z¿-SUM(§A¿0,1,1,1,161,2,1,-1,0,0,FALSE,FALSE,1,163,2,1,-1,0,0,FALSE,FALSE§Z¿),5)<>0,1,0))]]></VOFFF>
                              </ClmnBlkPtProps>
                              <FmtCnds>
                                <FmtCnd>
                                  <FmtCndProps>
                                    <CBPLI>1,1,169,2,1</CBPLI>
                                    <FCN>1</FCN>
                                    <FCT>1</FCT>
                                    <FCO>4</FCO>
                                    <F1FFF><![CDATA[=0]]></F1FFF>
                                    <F2FFF/>
                                    <SIT>False</SIT>
                                    <BSV>True</BSV>
                                    <BCT>0</BCT>
                                    <CNBCN>0</CNBCN>
                                    <BTAS>0</BTAS>
                                    <IST>1</IST>
                                    <RO>False</RO>
                                    <SIO>False</SIO>
                                    <TO>0</TO>
                                    <TS/>
                                    <DO>1</DO>
                                    <TB>1</TB>
                                    <R>10</R>
                                    <P>False</P>
                                    <AB>0</AB>
                                    <NSD>1</NSD>
                                    <DU>1</DU>
                                    <INF>False</INF>
                                    <NT>0</NT>
                                    <DP>0</DP>
                                    <CNF/>
                                  </FmtCndProps>
                                  <FntOvly>
                                    <FntOvlyProps>
                                      <PT>2</PT>
                                      <SON>0</SON>
                                      <CBPLI>1,1,169,2,1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15</SON>
                                <VOFFF><![CDATA[=IF(ISERROR(SUM(§A¿0,1,1,1,170,3,1,-1,0,0,FALSE,FALSE,1,170,3,1,-1,1,0,FALSE,FALSE§Z¿)),1,MIN(SUM(§A¿0,1,1,1,170,3,1,-1,0,0,FALSE,FALSE,1,170,3,1,-1,1,0,FALSE,FALSE§Z¿),1))]]></VOFFF>
                              </ClmnBlkPtProps>
                              <Chk>
                                <ChkProps>
                                  <CBPLI>1,1,170,2,1</CBPLI>
                                  <CT>0</CT>
                                  <CN>20</CN>
                                  <HST>1</HST>
                                  <CHT/>
                                  <HCBPLI>1,1,2,1,1</HCBPLI>
                                </ChkProps>
                              </Chk>
                              <Cmts>
                                <Cmt>
                                  <CmtProps>
                                    <CBPLI>1,1,170,2,1</CBPLI>
                                    <WRN>1</WRN>
                                    <ERT>5</ERT>
                                    <COSTN>0</COSTN>
                                    <OC>0</OC>
                                    <HT><![CDATA[Error Check]]></HT>
                                    <HFS>0</HFS>
                                    <BT><![CDATA[Flags the existence of errors.]]></BT>
                                    <BFS>0</BFS>
                                    <H>112</H>
                                    <W>128</W>
                                  </CmtProps>
                                </Cmt>
                                <Cmt>
                                  <CmtProps>
                                    <CBPLI>1,1,170,2,1</CBPLI>
                                    <WRN>2</WRN>
                                    <ERT>5</ERT>
                                    <COSTN>0</COSTN>
                                    <OC>0</OC>
                                    <HT><![CDATA[Error Check]]></HT>
                                    <HFS>0</HFS>
                                    <BT><![CDATA[Flags the existence of errors.]]></BT>
                                    <BFS>0</BFS>
                                    <H>112</H>
                                    <W>128</W>
                                  </CmtProps>
                                </Cmt>
                              </Cmts>
                              <FmtCnds>
                                <FmtCnd>
                                  <FmtCndProps>
                                    <CBPLI>1,1,170,2,1</CBPLI>
                                    <FCN>1</FCN>
                                    <FCT>1</FCT>
                                    <FCO>4</FCO>
                                    <F1FFF><![CDATA[=0]]></F1FFF>
                                    <F2FFF/>
                                    <SIT>False</SIT>
                                    <BSV>True</BSV>
                                    <BCT>0</BCT>
                                    <CNBCN>0</CNBCN>
                                    <BTAS>0</BTAS>
                                    <IST>1</IST>
                                    <RO>False</RO>
                                    <SIO>False</SIO>
                                    <TO>0</TO>
                                    <TS/>
                                    <DO>1</DO>
                                    <TB>1</TB>
                                    <R>10</R>
                                    <P>False</P>
                                    <AB>0</AB>
                                    <NSD>1</NSD>
                                    <DU>1</DU>
                                    <INF>False</INF>
                                    <NT>0</NT>
                                    <DP>0</DP>
                                    <CNF/>
                                  </FmtCndProps>
                                  <FntOvly>
                                    <FntOvlyProps>
                                      <PT>2</PT>
                                      <SON>0</SON>
                                      <CBPLI>1,1,170,2,1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16</SON>
                                <VOFFF><![CDATA[=IF(ISERROR(SUM(§A¿0,1,1,1,168,2,1,-1,0,0,FALSE,FALSE,1,169,2,1,-1,0,0,FALSE,FALSE§Z¿)),1,MIN(1,SUM(§A¿0,1,1,1,168,2,1,-1,0,0,FALSE,FALSE,1,169,2,1,-1,0,0,FALSE,FALSE§Z¿)))]]></VOFFF>
                              </ClmnBlkPtProps>
                              <FmtCnds>
                                <FmtCnd>
                                  <FmtCndProps>
                                    <CBPLI>1,1,170,3,1</CBPLI>
                                    <FCN>1</FCN>
                                    <FCT>1</FCT>
                                    <FCO>4</FCO>
                                    <F1FFF><![CDATA[=0]]></F1FFF>
                                    <F2FFF/>
                                    <SIT>False</SIT>
                                    <BSV>True</BSV>
                                    <BCT>0</BCT>
                                    <CNBCN>0</CNBCN>
                                    <BTAS>0</BTAS>
                                    <IST>1</IST>
                                    <RO>False</RO>
                                    <SIO>False</SIO>
                                    <TO>0</TO>
                                    <TS/>
                                    <DO>1</DO>
                                    <TB>1</TB>
                                    <R>10</R>
                                    <P>False</P>
                                    <AB>0</AB>
                                    <NSD>1</NSD>
                                    <DU>1</DU>
                                    <INF>False</INF>
                                    <NT>0</NT>
                                    <DP>0</DP>
                                    <CNF/>
                                  </FmtCndProps>
                                  <FntOvly>
                                    <FntOvlyProps>
                                      <PT>2</PT>
                                      <SON>0</SON>
                                      <CBPLI>1,1,170,3,1</CBPLI>
                                      <FCN>1</FCN>
                                      <CN>0</CN>
                                      <IB>True</IB>
                                      <IC>True</IC>
                                      <B>True</B>
                                      <CT>2</CT>
                                      <CNU>3</CNU>
                                      <CPR>0</CPR>
                                      <TAS>0</TAS>
                                    </FntOvlyProps>
                                  </FntOvly>
                                </FmtCnd>
                              </FmtCnds>
                            </ClmnBlkPt>
                          </ClmnBlkPts>
                        </ClmnBlk>
                      </ClmnBlks>
                      <TtlCtg>
                        <TtlCtgProps>
                          <R>2</R>
                        </TtlCtgProps>
                      </TtlCtg>
                    </Elmt>
                  </Elmts>
                </Sect>
              </Sects>
              <Ctrls>
                <Ctrl>
                  <CtrlProps>
                    <MN>45</MN>
                    <MCN>1</MCN>
                    <SIT>0</SIT>
                    <TLCRSN>1</TLCRSN>
                    <TLCREN>6</TLCREN>
                    <TLCRSRT>5</TLCRSRT>
                    <TLCCPT>3</TLCCPT>
                    <TLCCN>8</TLCCN>
                    <TLCCOT>0</TLCCOT>
                    <TLCCOC>5</TLCCOC>
                    <TLCCPTBMCN>0</TLCCPTBMCN>
                    <TLCCPTBN>0</TLCCPTBN>
                    <BRCRSN>1</BRCRSN>
                    <BRCREN>6</BRCREN>
                    <BRCRSRT>5</BRCRSRT>
                    <BRCCPT>3</BRCCPT>
                    <BRCCN>9</BRCCN>
                    <BRCCOT>1</BRCCOT>
                    <BRCCOC>0</BRCCOC>
                    <BRCCPTBMCN>4</BRCCPTBMCN>
                    <BRCCPTBN>2</BRCCPTBN>
                    <P>1</P>
                    <HAL>-4131</HAL>
                    <WA>1</WA>
                    <VA>-4108</VA>
                    <HAD>1</HAD>
                    <TI>0</TI>
                    <CT>0</CT>
                    <N/>
                    <D3DS>False</D3DS>
                    <PO>True</PO>
                    <L>True</L>
                    <OA/>
                    <T/>
                    <THA>-4108</THA>
                    <TVA>-4108</TVA>
                    <LT>True</LT>
                    <LCFFA><![CDATA[§A¿1,1,1,1,6,0,2,1,1§Z¿]]></LCFFA>
                    <LCCA/>
                    <CV>1</CV>
                    <MIV>0</MIV>
                    <MAV>100</MAV>
                    <SC>1</SC>
                    <LC>10</LC>
                    <LFRFFA><![CDATA[§A¿1,1,2,1,6,0,1,1,1§Z¿]]></LFRFFA>
                    <LFRCA/>
                    <DDL>0</DDL>
                  </CtrlProps>
                </Ctrl>
              </Ctrls>
            </ModComp>
            <ModComp>
              <ModCompProps>
                <MN>45</MN>
                <MCN>2</MCN>
                <MCTK>LU</MCTK>
                <RT><![CDATA[<ModuleName> - Lookups]]></RT>
                <ERN>MODMC64</ERN>
                <MCST>3</MCST>
                <IPMC>False</IPMC>
                <SN>19</SN>
                <LODS>False</LODS>
                <LST>False</LST>
                <RSTF>False</RSTF>
                <STRA>0</STRA>
                <HS>False</HS>
                <IBOA>0</IBOA>
                <IB>True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30</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2</R>
                        </TtlCtgProps>
                      </TtlCtg>
                    </Elmt>
                    <Elmt>
                      <ElmtProps>
                        <CPT>2</CPT>
                      </ElmtProps>
                      <ClmnBlks>
                        <ClmnBlk>
                          <ClmnBlkProps>
                            <FCPT>0</FCPT>
                            <FCN>3</FCN>
                            <LCPT>0</LCPT>
                            <LCN>5</LCN>
                          </ClmnBlkProps>
                          <ClmnBlkPts>
                            <ClmnBlkPt>
                              <ClmnBlkPtProps>
                                <CBPT>5</CBPT>
                                <ST>4</ST>
                                <MC>True</MC>
                                <VOFFF><![CDATA[VAT Year End Month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2</R>
                        </TtlCtgProps>
                      </TtlCtg>
                    </Elmt>
                    <Elmt>
                      <ElmtProps>
                        <CPT>2</CPT>
                      </ElmtProps>
                      <TtlCtg>
                        <TtlCtgProps>
                          <R>2</R>
                        </TtlCtgProps>
                      </TtlCtg>
                    </Elmt>
                    <Elmt>
                      <ElmtProps>
                        <CPT>0</CPT>
                        <TOT>True</TOT>
                        <EGN>8</EGN>
                      </ElmtProps>
                      <ClmnBlks>
                        <ClmnBlk>
                          <ClmnBlkProps>
                            <FCPT>0</FCPT>
                            <FCN>4</FCN>
                            <LCPT>0</LCPT>
                            <LCN>4</LCN>
                          </ClmnBlkProps>
                          <ClmnBlkPts>
                            <ClmnBlkPt>
                              <ClmnBlkPtProps>
                                <CBPT>0</CBPT>
                                <ST>25</ST>
                                <VOFFF><![CDATA[=TEXT(DATE(1,ROWS(§A¿0,2,1,1,6,1,1,1,0,0,TRUE,FALSE,1,6,1,1,0,0,0,FALSE,FALSE§Z¿),1),"mmmm")]]></VOFFF>
                              </ClmnBlkPtProps>
                              <RgeNmes>
                                <RgeNme>
                                  <RgeNmeProps>
                                    <CBPLI>2,1,6,1,1</CBPLI>
                                    <MCN>2</MCN>
                                    <SN>1</SN>
                                    <EN>6</EN>
                                    <CN>0</CN>
                                    <CBN>1</CBN>
                                    <CBPN>1</CBPN>
                                    <PT>1</PT>
                                    <CBPRNT>2</CBPRNT>
                                    <NT>11</NT>
                                    <SP1><![CDATA[Yr_End_Mth]]></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VAT Year End Mont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VAT_Yr_End_Mth]]></VOFFF>
                              </ClmnBlkPtProps>
                            </ClmnBlkPt>
                          </ClmnBlkPts>
                        </ClmnBlk>
                      </ClmnBlks>
                      <SubTtls>
                        <SubTtl>
                          <SubTtlHdgRow>
                            <SubTtlHdgRowProps>
                              <STLI>2,1,6,1</STLI>
                              <R>0</R>
                            </SubTtlHdgRowProps>
                          </SubTtlHdgRow>
                          <Ctgs>
                            <Ctg>
                              <CtgProps>
                                <R>2</R>
                              </CtgProps>
                              <LuTblLbl>
                                <LuTblLblProps>
                                  <CLI>2,1,6,False,1</CLI>
                                  <L><![CDATA[Lookup Label <CategoryNumber>.]]></L>
                                </LuTblLblProps>
                              </LuTblLbl>
                            </Ctg>
                            <Ctg>
                              <CtgProps>
                                <R>2</R>
                              </CtgProps>
                              <LuTblLbl>
                                <LuTblLblProps>
                                  <CLI>2,1,6,False,2</CLI>
                                  <L><![CDATA[Lookup Label <CategoryNumber>.]]></L>
                                </LuTblLblProps>
                              </LuTblLbl>
                            </Ctg>
                            <Ctg>
                              <CtgProps>
                                <R>2</R>
                              </CtgProps>
                              <LuTblLbl>
                                <LuTblLblProps>
                                  <CLI>2,1,6,False,3</CLI>
                                  <L><![CDATA[Lookup Label <CategoryNumber>.]]></L>
                                </LuTblLblProps>
                              </LuTblLbl>
                            </Ctg>
                            <Ctg>
                              <CtgProps>
                                <R>2</R>
                              </CtgProps>
                              <LuTblLbl>
                                <LuTblLblProps>
                                  <CLI>2,1,6,False,4</CLI>
                                  <L><![CDATA[Lookup Label <CategoryNumber>.]]></L>
                                </LuTblLblProps>
                              </LuTblLbl>
                            </Ctg>
                            <Ctg>
                              <CtgProps>
                                <R>2</R>
                              </CtgProps>
                              <LuTblLbl>
                                <LuTblLblProps>
                                  <CLI>2,1,6,False,5</CLI>
                                  <L><![CDATA[Lookup Label <CategoryNumber>.]]></L>
                                </LuTblLblProps>
                              </LuTblLbl>
                            </Ctg>
                            <Ctg>
                              <CtgProps>
                                <R>2</R>
                              </CtgProps>
                              <LuTblLbl>
                                <LuTblLblProps>
                                  <CLI>2,1,6,False,6</CLI>
                                  <L><![CDATA[Lookup Label <CategoryNumber>.]]></L>
                                </LuTblLblProps>
                              </LuTblLbl>
                            </Ctg>
                            <Ctg>
                              <CtgProps>
                                <R>2</R>
                              </CtgProps>
                              <LuTblLbl>
                                <LuTblLblProps>
                                  <CLI>2,1,6,False,7</CLI>
                                  <L><![CDATA[Lookup Label <CategoryNumber>.]]></L>
                                </LuTblLblProps>
                              </LuTblLbl>
                            </Ctg>
                            <Ctg>
                              <CtgProps>
                                <R>2</R>
                              </CtgProps>
                              <LuTblLbl>
                                <LuTblLblProps>
                                  <CLI>2,1,6,False,8</CLI>
                                  <L><![CDATA[Lookup Label <CategoryNumber>.]]></L>
                                </LuTblLblProps>
                              </LuTblLbl>
                            </Ctg>
                            <Ctg>
                              <CtgProps>
                                <R>2</R>
                              </CtgProps>
                              <LuTblLbl>
                                <LuTblLblProps>
                                  <CLI>2,1,6,False,9</CLI>
                                  <L><![CDATA[Lookup Label <CategoryNumber>.]]></L>
                                </LuTblLblProps>
                              </LuTblLbl>
                            </Ctg>
                            <Ctg>
                              <CtgProps>
                                <R>2</R>
                              </CtgProps>
                              <LuTblLbl>
                                <LuTblLblProps>
                                  <CLI>2,1,6,False,10</CLI>
                                  <L><![CDATA[Lookup Label <CategoryNumber>.]]></L>
                                </LuTblLblProps>
                              </LuTblLbl>
                            </Ctg>
                            <Ctg>
                              <CtgProps>
                                <R>2</R>
                              </CtgProps>
                              <LuTblLbl>
                                <LuTblLblProps>
                                  <CLI>2,1,6,False,11</CLI>
                                  <L><![CDATA[Lookup Label <CategoryNumber>.]]></L>
                                </LuTblLblProps>
                              </LuTblLbl>
                            </Ctg>
                            <Ctg>
                              <CtgProps>
                                <R>2</R>
                              </CtgProps>
                              <LuTblLbl>
                                <LuTblLblProps>
                                  <CLI>2,1,6,False,12</CLI>
                                  <L><![CDATA[Lookup Label <CategoryNumber>.]]></L>
                                </LuTblLblProps>
                              </LuTblLbl>
                            </Ctg>
                          </Ctgs>
                        </SubTtl>
                      </SubTtls>
                      <TtlCtg>
                        <TtlCtgProps>
                          <R>2</R>
                        </TtlCtgProps>
                      </TtlCtg>
                    </Elmt>
                    <Elmt>
                      <ElmtProps>
                        <CPT>2</CPT>
                      </ElmtProps>
                      <TtlCtg>
                        <TtlCtgProps>
                          <R>2</R>
                        </TtlCtgProps>
                      </TtlCtg>
                    </Elmt>
                    <Elmt>
                      <ElmtProps>
                        <CPT>2</CPT>
                      </ElmtProps>
                      <ClmnBlks>
                        <ClmnBlk>
                          <ClmnBlkProps>
                            <FCPT>0</FCPT>
                            <FCN>3</FCN>
                            <LCPT>0</LCPT>
                            <LCN>5</LCN>
                          </ClmnBlkProps>
                          <ClmnBlkPts>
                            <ClmnBlkPt>
                              <ClmnBlkPtProps>
                                <CBPT>5</CBPT>
                                <ST>4</ST>
                                <MC>True</MC>
                                <VOFFF><![CDATA[Assessment Frequenci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2</R>
                        </TtlCtgProps>
                      </TtlCtg>
                    </Elmt>
                    <Elmt>
                      <ElmtProps>
                        <CPT>2</CPT>
                      </ElmtProps>
                      <TtlCtg>
                        <TtlCtgProps>
                          <R>2</R>
                        </TtlCtgProps>
                      </TtlCtg>
                    </Elmt>
                    <Elmt>
                      <ElmtProps>
                        <CPT>0</CPT>
                        <TOT>True</TOT>
                        <EGN>9</EGN>
                      </ElmtProps>
                      <ClmnBlks>
                        <ClmnBlk>
                          <ClmnBlkProps>
                            <FCPT>0</FCPT>
                            <FCN>4</FCN>
                            <LCPT>0</LCPT>
                            <LCN>4</LCN>
                          </ClmnBlkProps>
                          <ClmnBlkPts>
                            <ClmnBlkPt>
                              <ClmnBlkPtProps>
                                <CBPT>0</CBPT>
                                <ST>25</ST>
                                <VOFFF/>
                              </ClmnBlkPtProps>
                              <RgeNmes>
                                <RgeNme>
                                  <RgeNmeProps>
                                    <CBPLI>2,1,10,1,1</CBPLI>
                                    <MCN>2</MCN>
                                    <SN>1</SN>
                                    <EN>10</EN>
                                    <CN>0</CN>
                                    <CBN>1</CBN>
                                    <CBPN>1</CBPN>
                                    <PT>1</PT>
                                    <CBPRNT>2</CBPRNT>
                                    <NT>11</NT>
                                    <SP1><![CDATA[Assess_Freq]]></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Assessment Frequenc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VAT_Assess_Freq]]></VOFFF>
                              </ClmnBlkPtProps>
                            </ClmnBlkPt>
                          </ClmnBlkPts>
                        </ClmnBlk>
                      </ClmnBlks>
                      <SubTtls>
                        <SubTtl>
                          <SubTtlHdgRow>
                            <SubTtlHdgRowProps>
                              <STLI>2,1,10,1</STLI>
                              <R>0</R>
                            </SubTtlHdgRowProps>
                          </SubTtlHdgRow>
                          <Ctgs>
                            <Ctg>
                              <CtgProps>
                                <R>2</R>
                              </CtgProps>
                              <LuTblLbl>
                                <LuTblLblProps>
                                  <CLI>2,1,10,False,1</CLI>
                                  <L><![CDATA[Monthly]]></L>
                                </LuTblLblProps>
                                <RgeNmes>
                                  <RgeNme>
                                    <RgeNmeProps>
                                      <CBPLI>2,1,10,1,1</CBPLI>
                                      <MCN>2</MCN>
                                      <SN>1</SN>
                                      <EN>10</EN>
                                      <CN>1</CN>
                                      <CBN>1</CBN>
                                      <CBPN>1</CBPN>
                                      <PT>2</PT>
                                      <CBPRNT>8</CBPRNT>
                                      <NT>-1</NT>
                                      <SP1><![CDATA[Assess_Freq_Mthly]]></SP1>
                                      <SP2/>
                                      <FFF/>
                                      <CMT/>
                                    </RgeNmeProps>
                                  </RgeNme>
                                </RgeNmes>
                              </LuTblLbl>
                            </Ctg>
                            <Ctg>
                              <CtgProps>
                                <R>2</R>
                              </CtgProps>
                              <LuTblLbl>
                                <LuTblLblProps>
                                  <CLI>2,1,10,False,2</CLI>
                                  <L><![CDATA[Quarterly]]></L>
                                </LuTblLblProps>
                                <RgeNmes>
                                  <RgeNme>
                                    <RgeNmeProps>
                                      <CBPLI>2,1,10,1,1</CBPLI>
                                      <MCN>2</MCN>
                                      <SN>1</SN>
                                      <EN>10</EN>
                                      <CN>2</CN>
                                      <CBN>1</CBN>
                                      <CBPN>1</CBPN>
                                      <PT>2</PT>
                                      <CBPRNT>8</CBPRNT>
                                      <NT>-1</NT>
                                      <SP1><![CDATA[Assess_Freq_Qtrly]]></SP1>
                                      <SP2/>
                                      <FFF/>
                                      <CMT/>
                                    </RgeNmeProps>
                                  </RgeNme>
                                </RgeNmes>
                              </LuTblLbl>
                            </Ctg>
                            <Ctg>
                              <CtgProps>
                                <R>2</R>
                              </CtgProps>
                              <LuTblLbl>
                                <LuTblLblProps>
                                  <CLI>2,1,10,False,3</CLI>
                                  <L><![CDATA[Semi-Annual]]></L>
                                </LuTblLblProps>
                                <RgeNmes>
                                  <RgeNme>
                                    <RgeNmeProps>
                                      <CBPLI>2,1,10,1,1</CBPLI>
                                      <MCN>2</MCN>
                                      <SN>1</SN>
                                      <EN>10</EN>
                                      <CN>3</CN>
                                      <CBN>1</CBN>
                                      <CBPN>1</CBPN>
                                      <PT>2</PT>
                                      <CBPRNT>8</CBPRNT>
                                      <NT>-1</NT>
                                      <SP1><![CDATA[Assess_Freq_Semi_Ann]]></SP1>
                                      <SP2/>
                                      <FFF/>
                                      <CMT/>
                                    </RgeNmeProps>
                                  </RgeNme>
                                </RgeNmes>
                              </LuTblLbl>
                            </Ctg>
                            <Ctg>
                              <CtgProps>
                                <R>2</R>
                              </CtgProps>
                              <LuTblLbl>
                                <LuTblLblProps>
                                  <CLI>2,1,10,False,4</CLI>
                                  <L><![CDATA[Annual]]></L>
                                </LuTblLblProps>
                                <RgeNmes>
                                  <RgeNme>
                                    <RgeNmeProps>
                                      <CBPLI>2,1,10,1,1</CBPLI>
                                      <MCN>2</MCN>
                                      <SN>1</SN>
                                      <EN>10</EN>
                                      <CN>4</CN>
                                      <CBN>1</CBN>
                                      <CBPN>1</CBPN>
                                      <PT>2</PT>
                                      <CBPRNT>8</CBPRNT>
                                      <NT>-1</NT>
                                      <SP1><![CDATA[Assess_Freq_Ann]]></SP1>
                                      <SP2/>
                                      <FFF/>
                                      <CMT/>
                                    </RgeNmeProps>
                                  </RgeNme>
                                </RgeNmes>
                              </LuTblLbl>
                            </Ctg>
                          </Ctgs>
                        </SubTtl>
                      </SubTtls>
                      <TtlCtg>
                        <TtlCtgProps>
                          <R>2</R>
                        </TtlCtgProps>
                      </TtlCtg>
                    </Elmt>
                    <Elmt>
                      <ElmtProps>
                        <CPT>2</CPT>
                      </ElmtProps>
                      <TtlCtg>
                        <TtlCtgProps>
                          <R>2</R>
                        </TtlCtgProps>
                      </TtlCtg>
                    </Elmt>
                    <Elmt>
                      <ElmtProps>
                        <CPT>2</CPT>
                      </ElmtProps>
                      <ClmnBlks>
                        <ClmnBlk>
                          <ClmnBlkProps>
                            <FCPT>0</FCPT>
                            <FCN>3</FCN>
                            <LCPT>0</LCPT>
                            <LCN>5</LCN>
                          </ClmnBlkProps>
                          <ClmnBlkPts>
                            <ClmnBlkPt>
                              <ClmnBlkPtProps>
                                <CBPT>5</CBPT>
                                <ST>4</ST>
                                <MC>True</MC>
                                <VOFFF><![CDATA[Payment Bas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2</R>
                        </TtlCtgProps>
                      </TtlCtg>
                    </Elmt>
                    <Elmt>
                      <ElmtProps>
                        <CPT>2</CPT>
                      </ElmtProps>
                      <TtlCtg>
                        <TtlCtgProps>
                          <R>2</R>
                        </TtlCtgProps>
                      </TtlCtg>
                    </Elmt>
                    <Elmt>
                      <ElmtProps>
                        <CPT>0</CPT>
                        <TOT>True</TOT>
                        <EGN>11</EGN>
                      </ElmtProps>
                      <ClmnBlks>
                        <ClmnBlk>
                          <ClmnBlkProps>
                            <FCPT>0</FCPT>
                            <FCN>4</FCN>
                            <LCPT>0</LCPT>
                            <LCN>4</LCN>
                          </ClmnBlkProps>
                          <ClmnBlkPts>
                            <ClmnBlkPt>
                              <ClmnBlkPtProps>
                                <CBPT>0</CBPT>
                                <ST>25</ST>
                                <VOFFF/>
                              </ClmnBlkPtProps>
                              <RgeNmes>
                                <RgeNme>
                                  <RgeNmeProps>
                                    <CBPLI>2,1,14,1,1</CBPLI>
                                    <MCN>2</MCN>
                                    <SN>1</SN>
                                    <EN>14</EN>
                                    <CN>0</CN>
                                    <CBN>1</CBN>
                                    <CBPN>1</CBPN>
                                    <PT>1</PT>
                                    <CBPRNT>2</CBPRNT>
                                    <NT>11</NT>
                                    <SP1><![CDATA[Basi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Payment Basis]]></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VAT_Basis]]></VOFFF>
                              </ClmnBlkPtProps>
                            </ClmnBlkPt>
                          </ClmnBlkPts>
                        </ClmnBlk>
                      </ClmnBlks>
                      <SubTtls>
                        <SubTtl>
                          <SubTtlHdgRow>
                            <SubTtlHdgRowProps>
                              <STLI>2,1,14,1</STLI>
                              <R>0</R>
                            </SubTtlHdgRowProps>
                          </SubTtlHdgRow>
                          <Ctgs>
                            <Ctg>
                              <CtgProps>
                                <R>2</R>
                              </CtgProps>
                              <LuTblLbl>
                                <LuTblLblProps>
                                  <CLI>2,1,14,False,1</CLI>
                                  <L><![CDATA[Accruals]]></L>
                                </LuTblLblProps>
                                <RgeNmes>
                                  <RgeNme>
                                    <RgeNmeProps>
                                      <CBPLI>2,1,14,1,1</CBPLI>
                                      <MCN>2</MCN>
                                      <SN>1</SN>
                                      <EN>14</EN>
                                      <CN>1</CN>
                                      <CBN>1</CBN>
                                      <CBPN>1</CBPN>
                                      <PT>2</PT>
                                      <CBPRNT>8</CBPRNT>
                                      <NT>-1</NT>
                                      <SP1><![CDATA[Accruals]]></SP1>
                                      <SP2/>
                                      <FFF/>
                                      <CMT/>
                                    </RgeNmeProps>
                                  </RgeNme>
                                </RgeNmes>
                              </LuTblLbl>
                            </Ctg>
                            <Ctg>
                              <CtgProps>
                                <R>2</R>
                              </CtgProps>
                              <LuTblLbl>
                                <LuTblLblProps>
                                  <CLI>2,1,14,False,2</CLI>
                                  <L><![CDATA[Cash]]></L>
                                </LuTblLblProps>
                                <RgeNmes>
                                  <RgeNme>
                                    <RgeNmeProps>
                                      <CBPLI>2,1,14,1,1</CBPLI>
                                      <MCN>2</MCN>
                                      <SN>1</SN>
                                      <EN>14</EN>
                                      <CN>2</CN>
                                      <CBN>1</CBN>
                                      <CBPN>1</CBPN>
                                      <PT>2</PT>
                                      <CBPRNT>8</CBPRNT>
                                      <NT>-1</NT>
                                      <SP1><![CDATA[Cash]]></SP1>
                                      <SP2/>
                                      <FFF/>
                                      <CMT/>
                                    </RgeNmeProps>
                                  </RgeNme>
                                </RgeNmes>
                              </LuTblLbl>
                            </Ctg>
                          </Ctgs>
                        </SubTtl>
                      </SubTtls>
                      <TtlCtg>
                        <TtlCtgProps>
                          <R>2</R>
                        </TtlCtgProps>
                      </TtlCtg>
                    </Elmt>
                    <Elmt>
                      <ElmtProps>
                        <CPT>2</CPT>
                      </ElmtProps>
                      <TtlCtg>
                        <TtlCtgProps>
                          <R>2</R>
                        </TtlCtgProps>
                      </TtlCtg>
                    </Elmt>
                    <Elmt>
                      <ElmtProps>
                        <CPT>2</CPT>
                      </ElmtProps>
                      <ClmnBlks>
                        <ClmnBlk>
                          <ClmnBlkProps>
                            <FCPT>0</FCPT>
                            <FCN>3</FCN>
                            <LCPT>0</LCPT>
                            <LCN>5</LCN>
                          </ClmnBlkProps>
                          <ClmnBlkPts>
                            <ClmnBlkPt>
                              <ClmnBlkPtProps>
                                <CBPT>5</CBPT>
                                <ST>4</ST>
                                <MC>True</MC>
                                <VOFFF><![CDATA[Yes/No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2</R>
                        </TtlCtgProps>
                      </TtlCtg>
                    </Elmt>
                    <Elmt>
                      <ElmtProps>
                        <CPT>2</CPT>
                      </ElmtProps>
                      <TtlCtg>
                        <TtlCtgProps>
                          <R>2</R>
                        </TtlCtgProps>
                      </TtlCtg>
                    </Elmt>
                    <Elmt>
                      <ElmtProps>
                        <CPT>0</CPT>
                        <TOT>True</TOT>
                        <EGN>10</EGN>
                      </ElmtProps>
                      <ClmnBlks>
                        <ClmnBlk>
                          <ClmnBlkProps>
                            <FCPT>0</FCPT>
                            <FCN>4</FCN>
                            <LCPT>0</LCPT>
                            <LCN>4</LCN>
                          </ClmnBlkProps>
                          <ClmnBlkPts>
                            <ClmnBlkPt>
                              <ClmnBlkPtProps>
                                <CBPT>0</CBPT>
                                <ST>25</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Yes/No]]></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 ]]></VOFFF>
                              </ClmnBlkPtProps>
                            </ClmnBlkPt>
                          </ClmnBlkPts>
                        </ClmnBlk>
                      </ClmnBlks>
                      <SubTtls>
                        <SubTtl>
                          <SubTtlHdgRow>
                            <SubTtlHdgRowProps>
                              <STLI>2,1,18,1</STLI>
                              <R>0</R>
                            </SubTtlHdgRowProps>
                          </SubTtlHdgRow>
                          <Ctgs>
                            <Ctg>
                              <CtgProps>
                                <R>2</R>
                              </CtgProps>
                              <LuTblLbl>
                                <LuTblLblProps>
                                  <CLI>2,1,18,False,1</CLI>
                                  <L><![CDATA[Yes]]></L>
                                </LuTblLblProps>
                                <RgeNmes>
                                  <RgeNme>
                                    <RgeNmeProps>
                                      <CBPLI>2,1,18,1,1</CBPLI>
                                      <MCN>2</MCN>
                                      <SN>1</SN>
                                      <EN>18</EN>
                                      <CN>1</CN>
                                      <CBN>1</CBN>
                                      <CBPN>1</CBPN>
                                      <PT>2</PT>
                                      <CBPRNT>8</CBPRNT>
                                      <NT>-1</NT>
                                      <SP1><![CDATA[Yes]]></SP1>
                                      <SP2/>
                                      <FFF/>
                                      <CMT/>
                                    </RgeNmeProps>
                                  </RgeNme>
                                </RgeNmes>
                              </LuTblLbl>
                            </Ctg>
                            <Ctg>
                              <CtgProps>
                                <R>2</R>
                              </CtgProps>
                              <LuTblLbl>
                                <LuTblLblProps>
                                  <CLI>2,1,18,False,2</CLI>
                                  <L><![CDATA[No]]></L>
                                </LuTblLblProps>
                                <RgeNmes>
                                  <RgeNme>
                                    <RgeNmeProps>
                                      <CBPLI>2,1,18,1,1</CBPLI>
                                      <MCN>2</MCN>
                                      <SN>1</SN>
                                      <EN>18</EN>
                                      <CN>2</CN>
                                      <CBN>1</CBN>
                                      <CBPN>1</CBPN>
                                      <PT>2</PT>
                                      <CBPRNT>8</CBPRNT>
                                      <NT>-1</NT>
                                      <SP1><![CDATA[No]]></SP1>
                                      <SP2/>
                                      <FFF/>
                                      <CMT/>
                                    </RgeNmeProps>
                                  </RgeNme>
                                </RgeNmes>
                              </LuTblLbl>
                            </Ctg>
                          </Ctgs>
                        </SubTtl>
                      </SubTtls>
                      <TtlCtg>
                        <TtlCtgProps>
                          <R>2</R>
                        </TtlCtgProps>
                      </TtlCtg>
                    </Elmt>
                  </Elmts>
                </Sect>
              </Sects>
            </ModComp>
          </ModComps>
        </Mod>
        <Mod>
          <ModProps>
            <MVS>14.0.5.0</MVS>
            <RAV/>
            <RXV>0</RXV>
            <FV>3</FV>
            <MT>0</MT>
            <SCT>-1</SCT>
            <P><![CDATA[Corp_Tax]]></P>
            <OI>300</OI>
            <MN>0</MN>
            <MAG>8CA58486-7FBD-4E89-915A-32AB8396BA9C</MAG>
            <BN><![CDATA[Corporate Taxation]]></BN>
            <N><![CDATA[Corporate Taxation]]></N>
            <TS><![CDATA[Monthly]]></TS>
            <D><![CDATA[Calculates corporate tax payable and paid over a number of time series periods.]]></D>
            <FS><![CDATA[Calculates tax expense and tax paid based on an assumed corporate tax rate applied to net profit before tax (NPAT) allowing for adjustments and variable tax assessment periods.&#10;Provides for tax losses but does not calculate deferred tax assets or liabilities.]]></FS>
            <R><![CDATA[United Kingdom]]></R>
            <GE><![CDATA[Corporate Taxation]]></GE>
            <CA><![CDATA[Assessments]]></CA>
            <VA><![CDATA[Single Component]]></VA>
            <GST><![CDATA[None]]></GST>
            <DE><![CDATA[Modano]]></DE>
            <E><![CDATA[info@modano.com]]></E>
            <C><![CDATA[Modano]]></C>
            <W><![CDATA[www.modano.com]]></W>
            <K/>
            <CO/>
            <V>11.0.3.1.</V>
            <AX>2</AX>
            <SX/>
            <PMLO>False</PMLO>
            <IPMLO>False</IPMLO>
            <MACA>0</MACA>
            <HP>False</HP>
            <DR>False</DR>
            <RTSM>True</RTSM>
            <CC>True</CC>
            <X>False</X>
            <G>E0624B09-EAFB-47F2-9497-BB973394BBC8</G>
          </ModProps>
          <RowStgs>
            <RowStg>
              <RowStgProps>
                <RSN>1</RSN>
                <RHST>0</RHST>
                <HS>0</HS>
                <OL>3</OL>
                <RH>False</RH>
              </RowStgProps>
            </RowStg>
            <RowStg>
              <RowStgProps>
                <RSN>2</RSN>
                <RHST>1</RHST>
                <HS>50</HS>
                <OL>3</OL>
                <RH>False</RH>
              </RowStgProps>
            </RowStg>
            <RowStg>
              <RowStgProps>
                <RSN>3</RSN>
                <RHST>0</RHST>
                <HS>0</HS>
                <OL>2</OL>
                <RH>False</RH>
              </RowStgProps>
            </RowStg>
            <RowStg>
              <RowStgProps>
                <RSN>4</RSN>
                <RHST>1</RHST>
                <HS>50</HS>
                <OL>2</OL>
                <RH>False</RH>
              </RowStgProps>
            </RowStg>
            <RowStg>
              <RowStgProps>
                <RSN>5</RSN>
                <RHST>0</RHST>
                <HS>0</HS>
                <OL>3</OL>
                <RH>True</RH>
              </RowStgProps>
            </RowStg>
          </RowStgs>
          <StlOvlys>
            <StlOvly>
              <StlOvlyProps>
                <SON>1</SON>
              </StlOvlyProps>
              <FntOvly>
                <FntOvlyProps>
                  <PT>1</PT>
                  <SON>1</SON>
                  <CBPLI>0,0,0,0,0</CBPLI>
                  <FCN>0</FCN>
                  <CN>0</CN>
                  <IB>True</IB>
                  <B>True</B>
                </FntOvlyProps>
              </FntOvly>
            </StlOvly>
            <StlOvly>
              <StlOvlyProps>
                <SON>2</SON>
              </StlOvlyProps>
              <BdrOvlys>
                <BdrOvly>
                  <BdrOvlyProps>
                    <PT>1</PT>
                    <SON>2</SON>
                    <CBPLI/>
                    <FCN>0</FCN>
                    <I>True</I>
                    <BI>9</BI>
                    <LS>1</LS>
                    <W>2</W>
                  </BdrOvlyProps>
                </BdrOvly>
              </BdrOvlys>
            </StlOvly>
            <StlOvly>
              <StlOvlyProps>
                <SON>3</SON>
                <INF>True</INF>
                <NT>0</NT>
                <DP>0</DP>
                <CNF/>
              </StlOvlyProps>
            </StlOvly>
            <StlOvly>
              <StlOvlyProps>
                <SON>4</SON>
                <INF>True</INF>
                <NT>0</NT>
                <DP>0</DP>
                <CNF/>
              </StlOvlyProps>
              <BdrOvlys>
                <BdrOvly>
                  <BdrOvlyProps>
                    <PT>1</PT>
                    <SON>4</SON>
                    <CBPLI/>
                    <FCN>0</FCN>
                    <I>True</I>
                    <BI>9</BI>
                    <LS>-4115</LS>
                    <W>2</W>
                  </BdrOvlyProps>
                </BdrOvly>
              </BdrOvlys>
            </StlOvly>
            <StlOvly>
              <StlOvlyProps>
                <SON>5</SON>
                <INF>True</INF>
                <NT>0</NT>
                <DP>0</DP>
                <CNF><![CDATA[_(#,##0.0_);(#,##0.0);_-"-"_-]]></CNF>
              </StlOvlyProps>
              <FntOvly>
                <FntOvlyProps>
                  <PT>1</PT>
                  <SON>5</SON>
                  <CBPLI>0,0,0,0,0</CBPLI>
                  <FCN>0</FCN>
                  <CN>0</CN>
                  <IB>True</IB>
                  <B>True</B>
                </FntOvlyProps>
              </FntOvly>
              <BdrOvlys>
                <BdrOvly>
                  <BdrOvlyProps>
                    <PT>1</PT>
                    <SON>5</SON>
                    <CBPLI/>
                    <FCN>0</FCN>
                    <I>True</I>
                    <BI>10</BI>
                    <LS>1</LS>
                    <W>2</W>
                  </BdrOvlyProps>
                </BdrOvly>
              </BdrOvlys>
            </StlOvly>
            <StlOvly>
              <StlOvlyProps>
                <SON>6</SON>
              </StlOvlyProps>
              <BdrOvlys>
                <BdrOvly>
                  <BdrOvlyProps>
                    <PT>1</PT>
                    <SON>6</SON>
                    <CBPLI/>
                    <FCN>0</FCN>
                    <I>True</I>
                    <BI>9</BI>
                    <LS>-4115</LS>
                    <W>2</W>
                  </BdrOvlyProps>
                </BdrOvly>
              </BdrOvlys>
            </StlOvly>
            <StlOvly>
              <StlOvlyProps>
                <SON>7</SON>
              </StlOvlyProps>
              <BdrOvlys>
                <BdrOvly>
                  <BdrOvlyProps>
                    <PT>1</PT>
                    <SON>7</SON>
                    <CBPLI/>
                    <FCN>0</FCN>
                    <I>True</I>
                    <BI>8</BI>
                    <LS>-4115</LS>
                    <W>2</W>
                  </BdrOvlyProps>
                </BdrOvly>
              </BdrOvlys>
            </StlOvly>
            <StlOvly>
              <StlOvlyProps>
                <SON>8</SON>
              </StlOvlyProps>
              <FntOvly>
                <FntOvlyProps>
                  <PT>1</PT>
                  <SON>8</SON>
                  <CBPLI>0,0,0,0,0</CBPLI>
                  <FCN>0</FCN>
                  <CN>0</CN>
                  <IB>True</IB>
                  <B>True</B>
                </FntOvlyProps>
              </FntOvly>
              <BdrOvlys>
                <BdrOvly>
                  <BdrOvlyProps>
                    <PT>1</PT>
                    <SON>8</SON>
                    <CBPLI/>
                    <FCN>0</FCN>
                    <I>True</I>
                    <BI>8</BI>
                    <LS>1</LS>
                    <W>2</W>
                  </BdrOvlyProps>
                </BdrOvly>
              </BdrOvlys>
            </StlOvly>
            <StlOvly>
              <StlOvlyProps>
                <SON>9</SON>
                <INF>True</INF>
                <NT>0</NT>
                <DP>0</DP>
                <CNF><![CDATA[_(#,##0.0_);(#,##0.0);_-"-"_-]]></CNF>
              </StlOvlyProps>
            </StlOvly>
            <StlOvly>
              <StlOvlyProps>
                <SON>10</SON>
              </StlOvlyProps>
              <FntOvly>
                <FntOvlyProps>
                  <PT>1</PT>
                  <SON>10</SON>
                  <CBPLI>0,0,0,0,0</CBPLI>
                  <FCN>0</FCN>
                  <CN>0</CN>
                  <IC>True</IC>
                  <CT>-2</CT>
                  <CNU>0</CNU>
                  <CPR>0</CPR>
                  <TAS>0</TAS>
                </FntOvlyProps>
              </FntOvly>
            </StlOvly>
            <StlOvly>
              <StlOvlyProps>
                <SON>11</SON>
                <IHA>True</IHA>
                <HA>-4108</HA>
              </StlOvlyProps>
              <FntOvly>
                <FntOvlyProps>
                  <PT>1</PT>
                  <SON>11</SON>
                  <CBPLI>0,0,0,0,0</CBPLI>
                  <FCN>0</FCN>
                  <CN>0</CN>
                  <IB>True</IB>
                  <B>True</B>
                </FntOvlyProps>
              </FntOvly>
              <BdrOvlys>
                <BdrOvly>
                  <BdrOvlyProps>
                    <PT>1</PT>
                    <SON>11</SON>
                    <CBPLI/>
                    <FCN>0</FCN>
                    <I>True</I>
                    <BI>9</BI>
                    <LS>1</LS>
                    <W>2</W>
                  </BdrOvlyProps>
                </BdrOvly>
              </BdrOvlys>
            </StlOvly>
            <StlOvly>
              <StlOvlyProps>
                <SON>12</SON>
                <INF>True</INF>
                <IHA>True</IHA>
                <NT>-2</NT>
                <DP>0</DP>
                <CNF><![CDATA[_(###0_);(###0);_("-"_);@_)]]></CNF>
                <HA>-4152</HA>
              </StlOvlyProps>
            </StlOvly>
            <StlOvly>
              <StlOvlyProps>
                <SON>13</SON>
                <INF>True</INF>
                <NT>-2</NT>
                <DP>0</DP>
                <CNF><![CDATA[_)mmm-yy_);_)mmm-yy_);_)"-"_);_)@_)]]></CNF>
              </StlOvlyProps>
            </StlOvly>
            <StlOvly>
              <StlOvlyProps>
                <SON>14</SON>
                <INF>True</INF>
                <NT>-2</NT>
                <DP>0</DP>
                <CNF><![CDATA[_)mmm-yy_);_)mmm-yy_);_)"-"_);_)@_)]]></CNF>
              </StlOvlyProps>
              <BdrOvlys>
                <BdrOvly>
                  <BdrOvlyProps>
                    <PT>1</PT>
                    <SON>14</SON>
                    <CBPLI/>
                    <FCN>0</FCN>
                    <I>True</I>
                    <BI>8</BI>
                    <LS>-4115</LS>
                    <W>2</W>
                  </BdrOvlyProps>
                </BdrOvly>
              </BdrOvlys>
            </StlOvly>
            <StlOvly>
              <StlOvlyProps>
                <SON>15</SON>
                <INF>True</INF>
                <NT>-2</NT>
                <DP>0</DP>
                <CNF><![CDATA[_)mmm-yy_);_)mmm-yy_);_)"-"_);_)@_)]]></CNF>
              </StlOvlyProps>
              <BdrOvlys>
                <BdrOvly>
                  <BdrOvlyProps>
                    <PT>1</PT>
                    <SON>15</SON>
                    <CBPLI/>
                    <FCN>0</FCN>
                    <I>True</I>
                    <BI>9</BI>
                    <LS>-4115</LS>
                    <W>2</W>
                  </BdrOvlyProps>
                </BdrOvly>
              </BdrOvlys>
            </StlOvly>
            <StlOvly>
              <StlOvlyProps>
                <SON>16</SON>
                <INF>True</INF>
                <NT>1</NT>
                <DP>0</DP>
                <CNF/>
              </StlOvlyProps>
            </StlOvly>
            <StlOvly>
              <StlOvlyProps>
                <SON>17</SON>
              </StlOvlyProps>
              <BdrOvlys>
                <BdrOvly>
                  <BdrOvlyProps>
                    <PT>1</PT>
                    <SON>17</SON>
                    <CBPLI/>
                    <FCN>0</FCN>
                    <I>True</I>
                    <BI>8</BI>
                    <LS>1</LS>
                    <W>2</W>
                  </BdrOvlyProps>
                </BdrOvly>
              </BdrOvlys>
            </StlOvly>
            <StlOvly>
              <StlOvlyProps>
                <SON>18</SON>
              </StlOvlyProps>
              <FntOvly>
                <FntOvlyProps>
                  <PT>1</PT>
                  <SON>18</SON>
                  <CBPLI>0,0,0,0,0</CBPLI>
                  <FCN>0</FCN>
                  <CN>0</CN>
                  <II>True</II>
                  <I>True</I>
                </FntOvlyProps>
              </FntOvly>
            </StlOvly>
          </StlOvlys>
          <ElmtsGrps>
            <ElmtsGrp>
              <ElmtsGrpProps>
                <NU>1</NU>
                <NA><![CDATA[Other Adjustments]]></NA>
                <EGT>0</EGT>
                <DCC>6</DCC>
                <AST>False</AST>
                <ISTH>True</ISTH>
                <PTMCN>0</PTMCN>
                <PTBN>0</PTBN>
                <PTBI>0</PTBI>
                <GLN/>
                <CLOT>0</CLOT>
                <CLIT>0</CLIT>
                <PMLO>0</PMLO>
                <IPMLO>0</IPMLO>
              </ElmtsGrpProps>
            </ElmtsGrp>
            <ElmtsGrp>
              <ElmtsGrpProps>
                <NU>2</NU>
                <NA><![CDATA[Yes/No Lookup]]></NA>
                <EGT>0</EGT>
                <DCC>6</DCC>
                <AST>False</AST>
                <ISTH>True</ISTH>
                <PTMCN>0</PTMCN>
                <PTBN>0</PTBN>
                <PTBI>0</PTBI>
                <GLN/>
                <CLOT>0</CLOT>
                <CLIT>0</CLIT>
                <PMLO>0</PMLO>
                <IPMLO>0</IPMLO>
              </ElmtsGrpProps>
            </ElmtsGrp>
            <ElmtsGrp>
              <ElmtsGrpProps>
                <NU>3</NU>
                <NA><![CDATA[Interim Tax Assessment Frequencies]]></NA>
                <EGT>0</EGT>
                <DCC>4</DCC>
                <AST>False</AST>
                <ISTH>True</ISTH>
                <PTMCN>0</PTMCN>
                <PTBN>0</PTBN>
                <PTBI>0</PTBI>
                <GLN/>
                <CLOT>0</CLOT>
                <CLIT>0</CLIT>
                <PMLO>0</PMLO>
                <IPMLO>0</IPMLO>
              </ElmtsGrpProps>
            </ElmtsGrp>
            <ElmtsGrp>
              <ElmtsGrpProps>
                <NU>4</NU>
                <NA><![CDATA[Tax Year End Months]]></NA>
                <EGT>0</EGT>
                <DCC>12</DCC>
                <AST>False</AST>
                <ISTH>True</ISTH>
                <PTMCN>0</PTMCN>
                <PTBN>0</PTBN>
                <PTBI>0</PTBI>
                <GLN/>
                <CLOT>0</CLOT>
                <CLIT>0</CLIT>
                <PMLO>0</PMLO>
                <IPMLO>0</IPMLO>
              </ElmtsGrpProps>
            </ElmtsGrp>
            <ElmtsGrp>
              <ElmtsGrpProps>
                <NU>5</NU>
                <NA><![CDATA[Tax Payment Amount Methods]]></NA>
                <EGT>0</EGT>
                <DCC>2</DCC>
                <AST>False</AST>
                <ISTH>True</ISTH>
                <PTMCN>0</PTMCN>
                <PTBN>0</PTBN>
                <PTBI>0</PTBI>
                <GLN/>
                <CLOT>0</CLOT>
                <CLIT>0</CLIT>
                <PMLO>0</PMLO>
                <IPMLO>0</IPMLO>
              </ElmtsGrpProps>
            </ElmtsGrp>
          </ElmtsGrps>
          <ModComps>
            <ModComp>
              <ModCompProps>
                <MN>46</MN>
                <MCN>1</MCN>
                <MCTK>BaseCase</MCTK>
                <RT><![CDATA[<ModuleName>]]></RT>
                <ERN>MODMC44</ERN>
                <MCST>1</MCST>
                <IPMC>False</IPMC>
                <SN>14</SN>
                <LODS>False</LODS>
                <LST>False</LST>
                <RSTF>False</RSTF>
                <STRA>0</STRA>
                <HS>False</HS>
                <IBOA>0</IBOA>
                <IB>False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8</CTHN>
                                <ST>3</ST>
                                <VOFFF><![CDATA[<ModuleComponentTitl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Assessment Determinant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Year End]]></VOFFF>
                              </ClmnBlkPtProps>
                            </ClmnBlkPt>
                          </ClmnBlkPts>
                        </ClmnBlk>
                        <ClmnBlk>
                          <ClmnBlkProps>
                            <FCPT>3</FCPT>
                            <FCN>8</FCN>
                            <FCOT>0</FCOT>
                            <FCOC>5</FCOC>
                            <FCPTBMCN>4</FCPTBMCN>
                            <FCPTBN>2</FCPTBN>
                            <LCPT>3</LCPT>
                            <LCN>8</LCN>
                            <LCOT>0</LCOT>
                            <LCOC>5</LCOC>
                            <LCPTBMCN>4</LCPTBMCN>
                            <LCPTBN>2</LCPTBN>
                          </ClmnBlkProps>
                          <ClmnBlkPts>
                            <ClmnBlkPt>
                              <ClmnBlkPtProps>
                                <CBPT>5</CBPT>
                                <ST>15</ST>
                                <SON>10</SON>
                                <VOFFF><![CDATA[6]]></VOFFF>
                                <UDAV><![CDATA[6]]></UDAV>
                              </ClmnBlkPtProps>
                              <Vdtn>
                                <VdtnProps>
                                  <CBPLI>1,1,6,2,1</CBPLI>
                                  <ADVT>-1</ADVT>
                                  <VT>1</VT>
                                  <AS>1</AS>
                                  <O>1</O>
                                  <F1FFF><![CDATA[1]]></F1FFF>
                                  <F2FFF><![CDATA[=ROWS(§A¿1,1,2,1,14,0,1,1,1§Z¿)]]></F2FFF>
                                  <IB>False</IB>
                                  <ICDD>False</ICDD>
                                  <SI>False</SI>
                                  <IT/>
                                  <IM/>
                                  <SE>True</SE>
                                  <ET><![CDATA[Drop Down Box Cell Link]]></ET>
                                  <EM><![CDATA[The value in a drop down box cell link must be a whole number within the control's lookup range rows.]]></EM>
                                  <IMO>0</IMO>
                                </VdtnProps>
                              </Vdtn>
                              <RgeNmes>
                                <RgeNme>
                                  <RgeNmeProps>
                                    <CBPLI>1,1,6,2,1</CBPLI>
                                    <MCN>1</MCN>
                                    <SN>1</SN>
                                    <EN>6</EN>
                                    <CN>0</CN>
                                    <CBN>2</CBN>
                                    <CBPN>1</CBPN>
                                    <PT>1</PT>
                                    <CBPRNT>6</CBPRNT>
                                    <NT>3</NT>
                                    <SP1><![CDATA[Yr_End_Mth]]></SP1>
                                    <SP2/>
                                    <FFF/>
                                    <CMT/>
                                  </RgeNmeProps>
                                </RgeNme>
                              </RgeNmes>
                            </ClmnBlkPt>
                          </ClmnBlkPts>
                        </ClmnBlk>
                      </ClmnBlks>
                      <TtlCtg>
                        <TtlCtgProps>
                          <R>3</R>
                        </TtlCtgProps>
                      </TtlCtg>
                      <ShpNmes>
                        <ShpNme>
                          <ShpNmeProps>
                            <ELI>1,1,6</ELI>
                            <COSTN>0</COSTN>
                            <ST>1</ST>
                            <SNPT>2</SNPT>
                            <N><![CDATA[bpmDropDownCorp_Tax1]]></N>
                            <SHN>1</SHN>
                            <SHTN>1</SHTN>
                          </ShpNmeProps>
                        </ShpNme>
                      </ShpNmes>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Corporate Taxation Rate]]></VOFFF>
                              </ClmnBlkPtProps>
                            </ClmnBlkPt>
                          </ClmnBlkPts>
                        </ClmnBlk>
                        <ClmnBlk>
                          <ClmnBlkProps>
                            <FCPT>3</FCPT>
                            <FCN>9</FCN>
                            <FCOT>0</FCOT>
                            <FCOC>6</FCOC>
                            <FCPTBMCN>4</FCPTBMCN>
                            <FCPTBN>2</FCPTBN>
                            <LCPT>3</LCPT>
                            <LCN>9</LCN>
                            <LCOT>1</LCOT>
                            <LCOC>0</LCOC>
                            <LCPTBMCN>4</LCPTBMCN>
                            <LCPTBN>2</LCPTBN>
                          </ClmnBlkProps>
                          <ClmnBlkPts>
                            <ClmnBlkPt>
                              <ClmnBlkPtProps>
                                <CBPT>5</CBPT>
                                <ST>12</ST>
                                <VOFFF><![CDATA[0.21]]></VOFFF>
                                <UDAV><![CDATA[0.21]]></UDAV>
                              </ClmnBlkPtProps>
                              <Vdtn>
                                <VdtnProps>
                                  <CBPLI>1,1,7,2,1</CBPLI>
                                  <ADVT>3</ADVT>
                                  <VT>2</VT>
                                </VdtnProps>
                              </Vdtn>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Opening Tax Position]]></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ClmnBlks>
                        <ClmnBlk>
                          <ClmnBlkProps>
                            <FCPT>3</FCPT>
                            <FCN>9</FCN>
                            <FCOT>0</FCOT>
                            <FCOC>6</FCOC>
                            <FCPTBMCN>4</FCPTBMCN>
                            <FCPTBN>2</FCPTBN>
                            <LCPT>3</LCPT>
                            <LCN>9</LCN>
                            <LCOT>1</LCOT>
                            <LCOC>0</LCOC>
                            <LCPTBMCN>4</LCPTBMCN>
                            <LCPTBN>2</LCPTBN>
                          </ClmnBlkProps>
                          <ClmnBlkPts>
                            <ClmnBlkPt>
                              <ClmnBlkPtProps>
                                <CBPT>5</CBPT>
                                <ST>17</ST>
                                <SON>11</SON>
                                <VOFFF><![CDATA[=§A¿7,1,1,1,9,0,2,1,1§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Tax Losses]]></VOFFF>
                              </ClmnBlkPtProps>
                            </ClmnBlkPt>
                          </ClmnBlkPts>
                        </ClmnBlk>
                        <ClmnBlk>
                          <ClmnBlkProps>
                            <FCPT>3</FCPT>
                            <FCN>9</FCN>
                            <FCOT>0</FCOT>
                            <FCOC>6</FCOC>
                            <FCPTBMCN>4</FCPTBMCN>
                            <FCPTBN>2</FCPTBN>
                            <LCPT>3</LCPT>
                            <LCN>9</LCN>
                            <LCOT>1</LCOT>
                            <LCOC>0</LCOC>
                            <LCPTBMCN>4</LCPTBMCN>
                            <LCPTBN>2</LCPTBN>
                          </ClmnBlkProps>
                          <ClmnBlkPts>
                            <ClmnBlkPt>
                              <ClmnBlkPtProps>
                                <CBPT>5</CBPT>
                                <ST>11</ST>
                                <VOFFF><![CDATA[0]]></VOFFF>
                                <UDAV><![CDATA[0]]></UDAV>
                              </ClmnBlkPtProps>
                              <Vdtn>
                                <VdtnProps>
                                  <CBPLI>1,1,11,2,1</CBPLI>
                                  <ADVT>1</ADVT>
                                  <VT>2</VT>
                                </VdtnProps>
                              </Vdtn>
                            </ClmnBlkPt>
                          </ClmnBlkPts>
                        </ClmnBlk>
                        <ClmnBlk>
                          <ClmnBlkProps>
                            <FCPT>3</FCPT>
                            <FCN>10</FCN>
                            <FCOT>0</FCOT>
                            <FCOC>0</FCOC>
                            <FCPTBMCN>4</FCPTBMCN>
                            <FCPTBN>3</FCPTBN>
                            <LCPT>3</LCPT>
                            <LCN>10</LCN>
                            <LCOT>0</LCOT>
                            <LCOC>0</LCOC>
                            <LCPTBMCN>4</LCPTBMCN>
                            <LCPTBN>3</LCPTBN>
                          </ClmnBlkProps>
                          <ClmnBlkPts>
                            <ClmnBlkPt>
                              <ClmnBlkPtProps>
                                <CBPT>5</CBPT>
                                <ST>6</ST>
                                <VOFFF><![CDATA[ (Not tax effected)]]></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Tax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11</ST>
                                <VOFFF><![CDATA[0]]></VOFFF>
                                <UDAV><![CDATA[0]]></UDAV>
                              </ClmnBlkPtProps>
                              <Vdtn>
                                <VdtnProps>
                                  <CBPLI>1,1,12,2,1</CBPLI>
                                  <ADVT>0</ADVT>
                                  <VT>7</VT>
                                </VdtnProps>
                              </Vdtn>
                              <LnkInForms>
                                <LnkInForm>
                                  <LnkInFormProps>
                                    <CBPLI>1,1,12,2,1</CBPLI>
                                    <ELN>1</ELN>
                                    <FFF><![CDATA[=§A¿10,FALSE,0,2,0,FALSE§Z¿]]></FFF>
                                  </LnkInFormProps>
                                </LnkInForm>
                              </LnkInForms>
                            </ClmnBlkPt>
                          </ClmnBlkPts>
                        </ClmnBlk>
                      </ClmnBlks>
                      <TtlCtg>
                        <TtlCtgProps>
                          <R>3</R>
                        </TtlCtgProps>
                        <LnkIn>
                          <LnkInProps>
                            <MN>46</MN>
                            <CLI>1,1,12,True,0</CLI>
                            <ELN>1</ELN>
                            <LOOT>2</LOOT>
                            <LOMN>3</LOMN>
                            <LOMCN>1</LOMCN>
                            <LOSN>1</LOSN>
                            <LOEN>30</LOEN>
                            <LOCN>0</LOCN>
                          </LnkInProps>
                        </LnkIn>
                      </TtlCtg>
                      <ElmtLnksIn>
                        <ElmtLnk>
                          <ElmtLnkProps>
                            <ELI>1,1,12</ELI>
                            <ELN>1</ELN>
                            <ELGN>1</ELGN>
                            <MLG>4119175B-9391-46A8-A835-A0E019165643</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1,1,-1,0,0,FALSE,FALSE§Z¿&" Payment Delay (Months)"]]></VOFFF>
                              </ClmnBlkPtProps>
                            </ClmnBlkPt>
                          </ClmnBlkPts>
                        </ClmnBlk>
                        <ClmnBlk>
                          <ClmnBlkProps>
                            <FCPT>3</FCPT>
                            <FCN>9</FCN>
                            <FCOT>0</FCOT>
                            <FCOC>6</FCOC>
                            <FCPTBMCN>4</FCPTBMCN>
                            <FCPTBN>2</FCPTBN>
                            <LCPT>3</LCPT>
                            <LCN>9</LCN>
                            <LCOT>1</LCOT>
                            <LCOC>0</LCOC>
                            <LCPTBMCN>4</LCPTBMCN>
                            <LCPTBN>2</LCPTBN>
                          </ClmnBlkProps>
                          <ClmnBlkPts>
                            <ClmnBlkPt>
                              <ClmnBlkPtProps>
                                <CBPT>5</CBPT>
                                <ST>11</ST>
                                <SON>3</SON>
                                <VOFFF><![CDATA[1]]></VOFFF>
                                <UDAV><![CDATA[1]]></UDAV>
                              </ClmnBlkPtProps>
                              <Vdtn>
                                <VdtnProps>
                                  <CBPLI>1,1,13,2,1</CBPLI>
                                  <ADVT>-1</ADVT>
                                  <VT>1</VT>
                                  <AS>1</AS>
                                  <O>5</O>
                                  <F1FFF><![CDATA[0]]></F1FFF>
                                  <F2FFF/>
                                  <IB>False</IB>
                                  <ICDD>False</ICDD>
                                  <SI>False</SI>
                                  <IT/>
                                  <IM/>
                                  <SE>True</SE>
                                  <ET><![CDATA[Opening Tax Payment Delay]]></ET>
                                  <EM><![CDATA[The opening tax payment delay must be a whole number greater than zero.]]></EM>
                                  <IMO>0</IMO>
                                </VdtnProps>
                              </Vdtn>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 Paid During "&TEXT(EDATE(§A¿7,1,1,1,9,0,2,1,1§Z¿,§A¿0,1,0,1,13,2,1,-1,0,0,FALSE,FALSE§Z¿-1),"mmmm yyyy")]]></VOFFF>
                              </ClmnBlkPtProps>
                            </ClmnBlkPt>
                          </ClmnBlkPts>
                        </ClmnBlk>
                        <ClmnBlk>
                          <ClmnBlkProps>
                            <FCPT>3</FCPT>
                            <FCN>9</FCN>
                            <FCOT>0</FCOT>
                            <FCOC>6</FCOC>
                            <FCPTBMCN>4</FCPTBMCN>
                            <FCPTBN>2</FCPTBN>
                            <LCPT>3</LCPT>
                            <LCN>9</LCN>
                            <LCOT>1</LCOT>
                            <LCOC>0</LCOC>
                            <LCPTBMCN>4</LCPTBMCN>
                            <LCPTBN>2</LCPTBN>
                          </ClmnBlkProps>
                          <ClmnBlkPts>
                            <ClmnBlkPt>
                              <ClmnBlkPtProps>
                                <CBPT>5</CBPT>
                                <ST>12</ST>
                                <SON>16</SON>
                                <VOFFF><![CDATA[1]]></VOFFF>
                                <UDAV><![CDATA[1]]></UDAV>
                              </ClmnBlkPtProps>
                              <Vdtn>
                                <VdtnProps>
                                  <CBPLI>1,1,14,2,1</CBPLI>
                                  <ADVT>3</ADVT>
                                  <VT>2</VT>
                                </VdtnProps>
                              </Vdtn>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Periodic Tax Payable]]></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Net Profit Before Tax]]></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Profit Before Tax]]></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100]]></VOFFF>
                                <UDAV><![CDATA[0]]></UDAV>
                              </ClmnBlkPtProps>
                              <Vdtn>
                                <VdtnProps>
                                  <CBPLI>1,1,19,2,1</CBPLI>
                                  <ADVT>0</ADVT>
                                  <VT>7</VT>
                                </VdtnProps>
                              </Vdtn>
                              <LnkInForms>
                                <LnkInForm>
                                  <LnkInFormProps>
                                    <CBPLI>1,1,19,2,1</CBPLI>
                                    <ELN>1</ELN>
                                    <FFF><![CDATA[=§A¿10,FALSE,0,2,0,FALSE§Z¿]]></FFF>
                                  </LnkInFormProps>
                                </LnkInForm>
                              </LnkInForms>
                            </ClmnBlkPt>
                          </ClmnBlkPts>
                        </ClmnBlk>
                      </ClmnBlks>
                      <TtlCtg>
                        <TtlCtgProps>
                          <R>3</R>
                        </TtlCtgProps>
                        <LnkIn>
                          <LnkInProps>
                            <MN>46</MN>
                            <CLI>1,1,19,True,0</CLI>
                            <ELN>1</ELN>
                            <LOOT>2</LOOT>
                            <LOMN>4</LOMN>
                            <LOMCN>1</LOMCN>
                            <LOSN>1</LOSN>
                            <LOEN>36</LOEN>
                            <LOCN>0</LOCN>
                          </LnkInProps>
                        </LnkIn>
                      </TtlCtg>
                      <ElmtLnksIn>
                        <ElmtLnk>
                          <ElmtLnkProps>
                            <ELI>1,1,19</ELI>
                            <ELN>1</ELN>
                            <ELGN>1</ELGN>
                            <MLG>DEC71E85-1B1D-4AEA-BA19-C84D9918A4F3</MLG>
                            <ICBI>2</ICBI>
                            <ILBN/>
                            <LIBN>0</LIBN>
                          </ElmtLnkProps>
                        </ElmtLnk>
                      </ElmtLnksIn>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Provision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dd Back) Provision for Annual Leave]]></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1,1,22,2,1</CBPLI>
                                  <ADVT>0</ADVT>
                                  <VT>7</VT>
                                </VdtnProps>
                              </Vdtn>
                              <LnkInForms>
                                <LnkInForm>
                                  <LnkInFormProps>
                                    <CBPLI>1,1,22,2,1</CBPLI>
                                    <ELN>1</ELN>
                                    <FFF><![CDATA[=§A¿10,FALSE,0,2,0,FALSE§Z¿]]></FFF>
                                  </LnkInFormProps>
                                </LnkInForm>
                              </LnkInForms>
                            </ClmnBlkPt>
                          </ClmnBlkPts>
                        </ClmnBlk>
                      </ClmnBlks>
                      <TtlCtg>
                        <TtlCtgProps>
                          <R>3</R>
                        </TtlCtgProps>
                      </TtlCtg>
                      <ElmtLnksIn>
                        <ElmtLnk>
                          <ElmtLnkProps>
                            <ELI>1,1,22</ELI>
                            <ELN>1</ELN>
                            <ELGN>1</ELGN>
                            <MLG>C3D35920-0BA1-4622-AF52-067C8B951A25</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dd Back) Provision for Long Service Leave]]></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1,1,23,2,1</CBPLI>
                                  <ADVT>0</ADVT>
                                  <VT>7</VT>
                                </VdtnProps>
                              </Vdtn>
                              <LnkInForms>
                                <LnkInForm>
                                  <LnkInFormProps>
                                    <CBPLI>1,1,23,2,1</CBPLI>
                                    <ELN>1</ELN>
                                    <FFF><![CDATA[=§A¿10,FALSE,0,2,0,FALSE§Z¿]]></FFF>
                                  </LnkInFormProps>
                                </LnkInForm>
                              </LnkInForms>
                            </ClmnBlkPt>
                          </ClmnBlkPts>
                        </ClmnBlk>
                      </ClmnBlks>
                      <TtlCtg>
                        <TtlCtgProps>
                          <R>3</R>
                        </TtlCtgProps>
                      </TtlCtg>
                      <ElmtLnksIn>
                        <ElmtLnk>
                          <ElmtLnkProps>
                            <ELI>1,1,23</ELI>
                            <ELN>1</ELN>
                            <ELGN>1</ELGN>
                            <MLG>07BD4882-9517-46DA-8F70-38BB99F13534</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dd Back) Pension Contributions Withheld]]></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1,1,24,2,1</CBPLI>
                                  <ADVT>0</ADVT>
                                  <VT>7</VT>
                                </VdtnProps>
                              </Vdtn>
                              <LnkInForms>
                                <LnkInForm>
                                  <LnkInFormProps>
                                    <CBPLI>1,1,24,2,1</CBPLI>
                                    <ELN>1</ELN>
                                    <FFF><![CDATA[=§A¿10,FALSE,0,2,0,FALSE§Z¿]]></FFF>
                                  </LnkInFormProps>
                                </LnkInForm>
                              </LnkInForms>
                            </ClmnBlkPt>
                          </ClmnBlkPts>
                        </ClmnBlk>
                      </ClmnBlks>
                      <TtlCtg>
                        <TtlCtgProps>
                          <R>3</R>
                        </TtlCtgProps>
                      </TtlCtg>
                      <ElmtLnksIn>
                        <ElmtLnk>
                          <ElmtLnkProps>
                            <ELI>1,1,24</ELI>
                            <ELN>1</ELN>
                            <ELGN>1</ELGN>
                            <MLG>857FD70D-5DB4-46E3-B89F-00C77A222574</MLG>
                            <ICBI>2</ICBI>
                            <ILBN/>
                            <LIBN>0</LIBN>
                          </ElmtLnkProps>
                        </ElmtLnk>
                      </ElmtLnksIn>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Less) Pension Contributions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1,1,25,2,1</CBPLI>
                                  <ADVT>0</ADVT>
                                  <VT>7</VT>
                                </VdtnProps>
                              </Vdtn>
                              <LnkInForms>
                                <LnkInForm>
                                  <LnkInFormProps>
                                    <CBPLI>1,1,25,2,1</CBPLI>
                                    <ELN>1</ELN>
                                    <FFF><![CDATA[=-§A¿10,FALSE,0,2,0,FALSE§Z¿]]></FFF>
                                  </LnkInFormProps>
                                </LnkInForm>
                              </LnkInForms>
                            </ClmnBlkPt>
                          </ClmnBlkPts>
                        </ClmnBlk>
                      </ClmnBlks>
                      <TtlCtg>
                        <TtlCtgProps>
                          <R>3</R>
                        </TtlCtgProps>
                      </TtlCtg>
                      <ElmtLnksIn>
                        <ElmtLnk>
                          <ElmtLnkProps>
                            <ELI>1,1,25</ELI>
                            <ELN>1</ELN>
                            <ELGN>1</ELGN>
                            <MLG>667E6EF2-EAD4-46B9-9772-287CE3872904</MLG>
                            <ICBI>2</ICBI>
                            <ILBN/>
                            <LIBN>0</LIBN>
                          </ElmtLnkProps>
                        </ElmtLnk>
                      </ElmtLnksIn>
                    </Elmt>
                    <Elmt>
                      <ElmtProps>
                        <CPT>2</CPT>
                      </ElmtProps>
                      <TtlCtg>
                        <TtlCtgProps>
                          <R>4</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ther Adjustments]]></VOFFF>
                              </ClmnBlkPtProps>
                            </ClmnBlkPt>
                          </ClmnBlkPts>
                        </ClmnBlk>
                      </ClmnBlks>
                      <TtlCtg>
                        <TtlCtgProps>
                          <R>3</R>
                        </TtlCtgProps>
                      </TtlCtg>
                    </Elmt>
                    <Elmt>
                      <ElmtProps>
                        <CPT>0</CPT>
                        <TOT>False</TOT>
                        <EGN>1</EGN>
                      </ElmtProps>
                      <ClmnBlks>
                        <ClmnBlk>
                          <ClmnBlkProps>
                            <FCPT>3</FCPT>
                            <FCN>2</FCN>
                            <FCOT>0</FCOT>
                            <FCOC>0</FCOC>
                            <FCPTBMCN>4</FCPTBMCN>
                            <FCPTBN>1</FCPTBN>
                            <LCPT>3</LCPT>
                            <LCN>8</LCN>
                            <LCOT>0</LCOT>
                            <LCOC>5</LCOC>
                            <LCPTBMCN>4</LCPTBMCN>
                            <LCPTBN>2</LCPTBN>
                          </ClmnBlkProps>
                          <ClmnBlkPts>
                            <ClmnBlkPt>
                              <ClmnBlkPtProps>
                                <CBPT>0</CBPT>
                                <ST>8</ST>
                                <MC>True</MC>
                                <VOFFF><![CDATA[<CategoriesGroupName> Category <CategoryNumber>]]></VOFFF>
                                <UDAV><![CDATA[<CategoriesGroupName> Category <CategoryNumber>]]></UDAV>
                              </ClmnBlkPtProps>
                            </ClmnBlkPt>
                            <ClmnBlkPt>
                              <ClmnBlkPtProps>
                                <CBPT>1</CBPT>
                                <ST>6</ST>
                                <MC>True</MC>
                                <VOFFF><![CDATA[=§A¿0,1,0,1,28,1,3,0,0,0,FALSE,FALSE§Z¿]]></VOFFF>
                                <UDAV><![CDATA[<CategoriesGroupName> Sub-Total <SubTotalNumber>]]></UDAV>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1,0,1,27,1,1,-1,0,0,FALSE,FALSE§Z¿]]></VOFFF>
                                <UDAV><![CDATA[Total]]></UDAV>
                              </ClmnBlkPtProps>
                            </ClmnBlkPt>
                          </ClmnBlkPts>
                        </ClmnBlk>
                        <ClmnBlk>
                          <ClmnBlkProps>
                            <FCPT>3</FCPT>
                            <FCN>10</FCN>
                            <FCOT>0</FCOT>
                            <FCOC>0</FCOC>
                            <FCPTBMCN>4</FCPTBMCN>
                            <FCPTBN>3</FCPTBN>
                            <LCPT>3</LCPT>
                            <LCN>45</LCN>
                            <LCOT>1</LCOT>
                            <LCOC>0</LCOC>
                            <LCPTBMCN>4</LCPTBMCN>
                            <LCPTBN>3</LCPTBN>
                          </ClmnBlkProps>
                          <ClmnBlkPts>
                            <ClmnBlkPt>
                              <ClmnBlkPtProps>
                                <CBPT>0</CBPT>
                                <ST>11</ST>
                                <SON>2</SON>
                                <VOFFF><![CDATA[0]]></VOFFF>
                                <UDAV><![CDATA[0]]></UDAV>
                              </ClmnBlkPtProps>
                              <Vdtn>
                                <VdtnProps>
                                  <CBPLI>1,1,28,2,1</CBPLI>
                                  <ADVT>0</ADVT>
                                  <VT>7</VT>
                                </VdtnProps>
                              </Vdtn>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SubTtlHdgRow>
                            <SubTtlHdgRowProps>
                              <STLI>1,1,28,1</STLI>
                              <R>0</R>
                            </SubTtlHdgRowProps>
                          </SubTtlHdgRow>
                          <CatSpan>
                            <CatSpanProps>
                              <CC>3</CC>
                              <R>3</R>
                            </CatSpanProps>
                          </CatSpan>
                        </SubTtl>
                      </SubTtl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Payment Timing]]></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ssessment Period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79,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A¿0,1,0,1,79,2,1,-1,0,0,FALSE,FALSE§Z¿]]></VOFFF>
                              </ClmnBlkPtProps>
                              <FmtCnds>
                                <FmtCnd>
                                  <FmtCndProps>
                                    <CBPLI>1,1,33,2,1</CBPLI>
                                    <FCN>1</FCN>
                                    <FCT>2</FCT>
                                    <FCO>1</FCO>
                                    <F1FFF><![CDATA[=OR(§A¿9,4,1,0,1,6,3,1,-1,0,0,TRUE,FALSE§Z¿=1,§A¿0,1,0,1,34,2,1,-1,0,0,FALSE,FALSE§Z¿=1)]]></F1FFF>
                                    <F2FFF/>
                                    <SIT>False</SIT>
                                    <BSV>True</BSV>
                                    <BCT>0</BCT>
                                    <CNBCN>0</CNBCN>
                                    <BTAS>0</BTAS>
                                    <IST>1</IST>
                                    <RO>False</RO>
                                    <SIO>False</SIO>
                                    <TO>0</TO>
                                    <TS/>
                                    <DO>1</DO>
                                    <TB>1</TB>
                                    <R>10</R>
                                    <P>False</P>
                                    <AB>0</AB>
                                    <NSD>1</NSD>
                                    <DU>1</DU>
                                    <INF>False</INF>
                                    <NT>0</NT>
                                    <DP>0</DP>
                                    <CNF/>
                                  </FmtCndProps>
                                  <FntOvly>
                                    <FntOvlyProps>
                                      <PT>2</PT>
                                      <SON>0</SON>
                                      <CBPLI>1,1,33,2,1</CBPLI>
                                      <FCN>1</FCN>
                                      <CN>0</CN>
                                      <IB>True</IB>
                                      <II>True</II>
                                      <B>True</B>
                                      <I>False</I>
                                    </FntOvlyProps>
                                  </FntOvly>
                                  <BdrOvlys>
                                    <BdrOvly>
                                      <BdrOvlyProps>
                                        <PT>2</PT>
                                        <SON>0</SON>
                                        <CBPLI>1,1,33,2,1</CBPLI>
                                        <FCN>1</FCN>
                                        <I>True</I>
                                        <BI>7</BI>
                                        <LS>1</LS>
                                        <W>2</W>
                                      </BdrOvlyProps>
                                    </BdrOvly>
                                    <BdrOvly>
                                      <BdrOvlyProps>
                                        <PT>2</PT>
                                        <SON>0</SON>
                                        <CBPLI>1,1,33,2,1</CBPLI>
                                        <FCN>1</FCN>
                                        <I>True</I>
                                        <BI>10</BI>
                                        <LS>1</LS>
                                        <W>2</W>
                                      </BdrOvlyProps>
                                    </BdrOvly>
                                    <BdrOvly>
                                      <BdrOvlyProps>
                                        <PT>2</PT>
                                        <SON>0</SON>
                                        <CBPLI>1,1,33,2,1</CBPLI>
                                        <FCN>1</FCN>
                                        <I>True</I>
                                        <BI>8</BI>
                                        <LS>1</LS>
                                        <W>2</W>
                                      </BdrOvlyProps>
                                    </BdrOvly>
                                    <BdrOvly>
                                      <BdrOvlyProps>
                                        <PT>2</PT>
                                        <SON>0</SON>
                                        <CBPLI>1,1,33,2,1</CBPLI>
                                        <FCN>1</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8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A¿0,1,0,1,80,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im Assessment Frequency (Year-Specific)]]></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12</SON>
                                <VOFFF><![CDATA[Quarterly]]></VOFFF>
                                <UDAV><![CDATA[Quarterly]]></UDAV>
                              </ClmnBlkPtProps>
                              <Vdtn>
                                <VdtnProps>
                                  <CBPLI>1,1,35,2,1</CBPLI>
                                  <ADVT>-1</ADVT>
                                  <VT>3</VT>
                                  <AS>1</AS>
                                  <O>1</O>
                                  <F1FFF><![CDATA[=§A¿1,1,2,1,10,0,1,1,1§Z¿]]></F1FFF>
                                  <F2FFF/>
                                  <IB>False</IB>
                                  <ICDD>True</ICDD>
                                  <SI>False</SI>
                                  <IT/>
                                  <IM/>
                                  <SE>True</SE>
                                  <ET><![CDATA[Interim Assessment Frequency]]></ET>
                                  <EM><![CDATA[An interim assessment frequency must be selected from the list of available frequencies.]]></EM>
                                  <IMO>0</IMO>
                                </VdtnProps>
                              </Vdtn>
                              <FmtCnds>
                                <FmtCnd>
                                  <FmtCndProps>
                                    <CBPLI>1,1,35,2,1</CBPLI>
                                    <FCN>1</FCN>
                                    <FCT>2</FCT>
                                    <FCO>1</FCO>
                                    <F1FFF><![CDATA[=NOT(OR(§A¿9,4,1,0,1,6,3,1,-1,0,0,TRUE,FALSE§Z¿=1,§A¿0,1,0,1,34,2,1,-1,0,0,FALSE,FALSE§Z¿=1))]]></F1FFF>
                                    <F2FFF/>
                                    <SIT>False</SIT>
                                    <BSV>True</BSV>
                                    <BCT>0</BCT>
                                    <CNBCN>0</CNBCN>
                                    <BTAS>0</BTAS>
                                    <IST>1</IST>
                                    <RO>False</RO>
                                    <SIO>False</SIO>
                                    <TO>0</TO>
                                    <TS/>
                                    <DO>1</DO>
                                    <TB>1</TB>
                                    <R>10</R>
                                    <P>False</P>
                                    <AB>0</AB>
                                    <NSD>1</NSD>
                                    <DU>1</DU>
                                    <INF>False</INF>
                                    <NT>-2</NT>
                                    <DP>0</DP>
                                    <CNF><![CDATA["-"_)]]></CNF>
                                  </FmtCndProps>
                                  <FntOvly>
                                    <FntOvlyProps>
                                      <PT>2</PT>
                                      <SON>0</SON>
                                      <CBPLI>1,1,35,2,1</CBPLI>
                                      <FCN>1</FCN>
                                      <CN>0</CN>
                                      <IC>True</IC>
                                      <CT>3</CT>
                                      <CNU>3</CNU>
                                      <CPR>0</CPR>
                                      <TAS>0</TAS>
                                    </FntOvlyProps>
                                  </FntOvly>
                                  <IntOvly>
                                    <IntOvlyProps>
                                      <PT>2</PT>
                                      <SON>0</SON>
                                      <CBPLI>1,1,35,2,1</CBPLI>
                                      <FCN>1</FCN>
                                      <IC>True</IC>
                                    </IntOvlyProps>
                                  </IntOvly>
                                </FmtCnd>
                              </FmtCnd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terim Assessment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0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12</SON>
                                <VOFFF><![CDATA[=§A¿0,1,0,1,101,2,1,-1,0,0,FALSE,FALSE§Z¿]]></VOFFF>
                              </ClmnBlkPtProps>
                              <FmtCnds>
                                <FmtCnd>
                                  <FmtCndProps>
                                    <CBPLI>1,1,38,2,1</CBPLI>
                                    <FCN>1</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1,1,38,2,1</CBPLI>
                                      <FCN>1</FCN>
                                      <CN>0</CN>
                                      <IC>True</IC>
                                      <CT>3</CT>
                                      <CNU>3</CNU>
                                      <CPR>0</CPR>
                                      <TAS>0</TAS>
                                    </FntOvlyProps>
                                  </FntOvly>
                                </FmtCnd>
                                <FmtCnd>
                                  <FmtCndProps>
                                    <CBPLI>1,1,38,2,1</CBPLI>
                                    <FCN>2</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1,1,38,2,1</CBPLI>
                                      <FCN>2</FCN>
                                      <CN>0</CN>
                                      <IB>True</IB>
                                      <II>True</II>
                                      <B>True</B>
                                      <I>False</I>
                                    </FntOvlyProps>
                                  </FntOvly>
                                  <BdrOvlys>
                                    <BdrOvly>
                                      <BdrOvlyProps>
                                        <PT>2</PT>
                                        <SON>0</SON>
                                        <CBPLI>1,1,38,2,1</CBPLI>
                                        <FCN>2</FCN>
                                        <I>True</I>
                                        <BI>7</BI>
                                        <LS>1</LS>
                                        <W>2</W>
                                      </BdrOvlyProps>
                                    </BdrOvly>
                                    <BdrOvly>
                                      <BdrOvlyProps>
                                        <PT>2</PT>
                                        <SON>0</SON>
                                        <CBPLI>1,1,38,2,1</CBPLI>
                                        <FCN>2</FCN>
                                        <I>True</I>
                                        <BI>10</BI>
                                        <LS>1</LS>
                                        <W>2</W>
                                      </BdrOvlyProps>
                                    </BdrOvly>
                                    <BdrOvly>
                                      <BdrOvlyProps>
                                        <PT>2</PT>
                                        <SON>0</SON>
                                        <CBPLI>1,1,38,2,1</CBPLI>
                                        <FCN>2</FCN>
                                        <I>True</I>
                                        <BI>8</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0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06,2,1,-1,0,0,FALSE,FALSE§Z¿]]></VOFFF>
                              </ClmnBlkPtProps>
                              <FmtCnds>
                                <FmtCnd>
                                  <FmtCndProps>
                                    <CBPLI>1,1,39,2,1</CBPLI>
                                    <FCN>1</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1,1,39,2,1</CBPLI>
                                      <FCN>1</FCN>
                                      <CN>0</CN>
                                      <IC>True</IC>
                                      <CT>3</CT>
                                      <CNU>3</CNU>
                                      <CPR>0</CPR>
                                      <TAS>0</TAS>
                                    </FntOvlyProps>
                                  </FntOvly>
                                </FmtCnd>
                                <FmtCnd>
                                  <FmtCndProps>
                                    <CBPLI>1,1,39,2,1</CBPLI>
                                    <FCN>2</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1,1,39,2,1</CBPLI>
                                      <FCN>2</FCN>
                                      <CN>0</CN>
                                      <IB>True</IB>
                                      <II>True</II>
                                      <B>True</B>
                                      <I>False</I>
                                    </FntOvlyProps>
                                  </FntOvly>
                                  <BdrOvlys>
                                    <BdrOvly>
                                      <BdrOvlyProps>
                                        <PT>2</PT>
                                        <SON>0</SON>
                                        <CBPLI>1,1,39,2,1</CBPLI>
                                        <FCN>2</FCN>
                                        <I>True</I>
                                        <BI>7</BI>
                                        <LS>1</LS>
                                        <W>2</W>
                                      </BdrOvlyProps>
                                    </BdrOvly>
                                    <BdrOvly>
                                      <BdrOvlyProps>
                                        <PT>2</PT>
                                        <SON>0</SON>
                                        <CBPLI>1,1,39,2,1</CBPLI>
                                        <FCN>2</FCN>
                                        <I>True</I>
                                        <BI>10</BI>
                                        <LS>1</LS>
                                        <W>2</W>
                                      </BdrOvlyProps>
                                    </BdrOvly>
                                    <BdrOvly>
                                      <BdrOvlyProps>
                                        <PT>2</PT>
                                        <SON>0</SON>
                                        <CBPLI>1,1,39,2,1</CBPLI>
                                        <FCN>2</FCN>
                                        <I>True</I>
                                        <BI>8</BI>
                                        <LS>1</LS>
                                        <W>2</W>
                                      </BdrOvlyProps>
                                    </BdrOvly>
                                    <BdrOvly>
                                      <BdrOvlyProps>
                                        <PT>2</PT>
                                        <SON>0</SON>
                                        <CBPLI>1,1,39,2,1</CBPLI>
                                        <FCN>2</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Payment Amount Determination]]></VOFFF>
                              </ClmnBlkPtProps>
                            </ClmnBlkPt>
                          </ClmnBlkPts>
                        </ClmnBlk>
                        <ClmnBlk>
                          <ClmnBlkProps>
                            <FCPT>3</FCPT>
                            <FCN>10</FCN>
                            <FCOT>0</FCOT>
                            <FCOC>0</FCOC>
                            <FCPTBMCN>4</FCPTBMCN>
                            <FCPTBN>3</FCPTBN>
                            <LCPT>3</LCPT>
                            <LCN>45</LCN>
                            <LCOT>1</LCOT>
                            <LCOC>0</LCOC>
                            <LCPTBMCN>4</LCPTBMCN>
                            <LCPTBN>3</LCPTBN>
                          </ClmnBlkProps>
                          <ClmnBlkPts>
                            <ClmnBlkPt>
                              <ClmnBlkPtProps>
                                <CBPT>5</CBPT>
                                <ST>8</ST>
                                <SON>12</SON>
                                <VOFFF><![CDATA[Assessment]]></VOFFF>
                                <UDAV><![CDATA[Assessment]]></UDAV>
                              </ClmnBlkPtProps>
                              <Vdtn>
                                <VdtnProps>
                                  <CBPLI>1,1,40,2,1</CBPLI>
                                  <ADVT>-1</ADVT>
                                  <VT>3</VT>
                                  <AS>1</AS>
                                  <O>1</O>
                                  <F1FFF><![CDATA[=§A¿1,1,2,1,18,0,1,1,1§Z¿]]></F1FFF>
                                  <F2FFF/>
                                  <IB>False</IB>
                                  <ICDD>True</ICDD>
                                  <SI>True</SI>
                                  <IT/>
                                  <IM/>
                                  <SE>True</SE>
                                  <ET><![CDATA[Tax Payment Amount Determination]]></ET>
                                  <EM><![CDATA[The amount of tax paid for the assessment period must be either the interim assessment tax payable amount or an assumed amount.]]></EM>
                                  <IMO>0</IMO>
                                </VdtnProps>
                              </Vdtn>
                              <FmtCnds>
                                <FmtCnd>
                                  <FmtCndProps>
                                    <CBPLI>1,1,40,2,1</CBPLI>
                                    <FCN>1</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1,1,40,2,1</CBPLI>
                                      <FCN>1</FCN>
                                      <CN>0</CN>
                                      <IC>True</IC>
                                      <CT>3</CT>
                                      <CNU>3</CNU>
                                      <CPR>0</CPR>
                                      <TAS>0</TAS>
                                    </FntOvlyProps>
                                  </FntOvly>
                                  <IntOvly>
                                    <IntOvlyProps>
                                      <PT>2</PT>
                                      <SON>0</SON>
                                      <CBPLI>1,1,40,2,1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ssumed Tax Payment Amount (If Applicable)]]></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1,1,41,2,1</CBPLI>
                                  <ADVT>0</ADVT>
                                  <VT>7</VT>
                                </VdtnProps>
                              </Vdtn>
                              <FmtCnds>
                                <FmtCnd>
                                  <FmtCndProps>
                                    <CBPLI>1,1,41,2,1</CBPLI>
                                    <FCN>1</FCN>
                                    <FCT>2</FCT>
                                    <FCO>1</FCO>
                                    <F1FFF><![CDATA[=OR(§A¿0,1,0,1,38,2,1,-1,0,0,FALSE,FALSE§Z¿<>§A¿1,2,2,1,6,1,1,1,1§Z¿,§A¿0,1,0,1,40,2,1,-1,0,0,FALSE,FALSE§Z¿<>§A¿1,2,2,1,18,2,1,1,1§Z¿)]]></F1FFF>
                                    <F2FFF/>
                                    <SIT>False</SIT>
                                    <BSV>True</BSV>
                                    <BCT>0</BCT>
                                    <CNBCN>0</CNBCN>
                                    <BTAS>0</BTAS>
                                    <IST>1</IST>
                                    <RO>False</RO>
                                    <SIO>False</SIO>
                                    <TO>0</TO>
                                    <TS/>
                                    <DO>1</DO>
                                    <TB>1</TB>
                                    <R>10</R>
                                    <P>False</P>
                                    <AB>0</AB>
                                    <NSD>1</NSD>
                                    <DU>1</DU>
                                    <INF>False</INF>
                                    <NT>0</NT>
                                    <DP>0</DP>
                                    <CNF/>
                                  </FmtCndProps>
                                  <FntOvly>
                                    <FntOvlyProps>
                                      <PT>2</PT>
                                      <SON>0</SON>
                                      <CBPLI>1,1,41,2,1</CBPLI>
                                      <FCN>1</FCN>
                                      <CN>0</CN>
                                      <IC>True</IC>
                                      <CT>3</CT>
                                      <CNU>3</CNU>
                                      <CPR>0</CPR>
                                      <TAS>0</TAS>
                                    </FntOvlyProps>
                                  </FntOvly>
                                  <IntOvly>
                                    <IntOvlyProps>
                                      <PT>2</PT>
                                      <SON>0</SON>
                                      <CBPLI>1,1,41,2,1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Payment Delay (Month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3</SON>
                                <VOFFF><![CDATA[1]]></VOFFF>
                                <UDAV><![CDATA[1]]></UDAV>
                              </ClmnBlkPtProps>
                              <Vdtn>
                                <VdtnProps>
                                  <CBPLI>1,1,42,2,1</CBPLI>
                                  <ADVT>-1</ADVT>
                                  <VT>1</VT>
                                  <AS>1</AS>
                                  <O>7</O>
                                  <F1FFF><![CDATA[0]]></F1FFF>
                                  <F2FFF/>
                                  <IB>False</IB>
                                  <ICDD>False</ICDD>
                                  <SI>False</SI>
                                  <IT/>
                                  <IM/>
                                  <SE>True</SE>
                                  <ET><![CDATA[Tax Payment Delay]]></ET>
                                  <EM><![CDATA[The tax payment delay must be a whole number of months greater than or equal to zero.]]></EM>
                                  <IMO>0</IMO>
                                </VdtnProps>
                              </Vdtn>
                              <FmtCnds>
                                <FmtCnd>
                                  <FmtCndProps>
                                    <CBPLI>1,1,42,2,1</CBPLI>
                                    <FCN>1</FCN>
                                    <FCT>2</FCT>
                                    <FCO>1</FCO>
                                    <F1FFF><![CDATA[=§A¿0,1,0,1,38,2,1,-1,0,0,FALSE,FALSE§Z¿<>§A¿1,2,2,1,6,1,1,1,1§Z¿]]></F1FFF>
                                    <F2FFF/>
                                    <SIT>False</SIT>
                                    <BSV>True</BSV>
                                    <BCT>0</BCT>
                                    <CNBCN>0</CNBCN>
                                    <BTAS>0</BTAS>
                                    <IST>1</IST>
                                    <RO>False</RO>
                                    <SIO>False</SIO>
                                    <TO>0</TO>
                                    <TS/>
                                    <DO>1</DO>
                                    <TB>1</TB>
                                    <R>10</R>
                                    <P>False</P>
                                    <AB>0</AB>
                                    <NSD>1</NSD>
                                    <DU>1</DU>
                                    <INF>False</INF>
                                    <NT>0</NT>
                                    <DP>0</DP>
                                    <CNF/>
                                  </FmtCndProps>
                                  <FntOvly>
                                    <FntOvlyProps>
                                      <PT>2</PT>
                                      <SON>0</SON>
                                      <CBPLI>1,1,42,2,1</CBPLI>
                                      <FCN>1</FCN>
                                      <CN>0</CN>
                                      <IC>True</IC>
                                      <CT>3</CT>
                                      <CNU>3</CNU>
                                      <CPR>0</CPR>
                                      <TAS>0</TAS>
                                    </FntOvlyProps>
                                  </FntOvly>
                                  <IntOvly>
                                    <IntOvlyProps>
                                      <PT>2</PT>
                                      <SON>0</SON>
                                      <CBPLI>1,1,42,2,1</CBPLI>
                                      <FCN>1</FCN>
                                      <IC>True</IC>
                                    </IntOvlyProps>
                                  </IntOvly>
                                </FmtCnd>
                              </FmtCnd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nnual Assessments]]></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1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12</SON>
                                <VOFFF><![CDATA[=§A¿0,1,0,1,117,3,1,-1,0,0,FALSE,FALSE§Z¿]]></VOFFF>
                              </ClmnBlkPtProps>
                              <FmtCnds>
                                <FmtCnd>
                                  <FmtCndProps>
                                    <CBPLI>1,1,45,2,1</CBPLI>
                                    <FCN>1</FCN>
                                    <FCT>2</FCT>
                                    <FCO>1</FCO>
                                    <F1FFF><![CDATA[=§A¿0,1,0,1,45,2,1,-1,0,0,FALSE,FALSE§Z¿<>§A¿1,2,2,1,6,1,1,1,1§Z¿]]></F1FFF>
                                    <F2FFF/>
                                    <SIT>False</SIT>
                                    <BSV>True</BSV>
                                    <BCT>0</BCT>
                                    <CNBCN>0</CNBCN>
                                    <BTAS>0</BTAS>
                                    <IST>1</IST>
                                    <RO>False</RO>
                                    <SIO>False</SIO>
                                    <TO>0</TO>
                                    <TS/>
                                    <DO>1</DO>
                                    <TB>1</TB>
                                    <R>10</R>
                                    <P>False</P>
                                    <AB>0</AB>
                                    <NSD>1</NSD>
                                    <DU>1</DU>
                                    <INF>False</INF>
                                    <NT>0</NT>
                                    <DP>0</DP>
                                    <CNF/>
                                  </FmtCndProps>
                                  <FntOvly>
                                    <FntOvlyProps>
                                      <PT>2</PT>
                                      <SON>0</SON>
                                      <CBPLI>1,1,45,2,1</CBPLI>
                                      <FCN>1</FCN>
                                      <CN>0</CN>
                                      <IC>True</IC>
                                      <CT>3</CT>
                                      <CNU>3</CNU>
                                      <CPR>0</CPR>
                                      <TAS>0</TAS>
                                    </FntOvlyProps>
                                  </FntOvly>
                                </FmtCnd>
                                <FmtCnd>
                                  <FmtCndProps>
                                    <CBPLI>1,1,45,2,1</CBPLI>
                                    <FCN>2</FCN>
                                    <FCT>2</FCT>
                                    <FCO>1</FCO>
                                    <F1FFF><![CDATA[=§A¿0,1,0,1,45,2,1,-1,0,0,FALSE,FALSE§Z¿=§A¿1,2,2,1,6,1,1,1,1§Z¿]]></F1FFF>
                                    <F2FFF/>
                                    <SIT>False</SIT>
                                    <BSV>True</BSV>
                                    <BCT>0</BCT>
                                    <CNBCN>0</CNBCN>
                                    <BTAS>0</BTAS>
                                    <IST>1</IST>
                                    <RO>False</RO>
                                    <SIO>False</SIO>
                                    <TO>0</TO>
                                    <TS/>
                                    <DO>1</DO>
                                    <TB>1</TB>
                                    <R>10</R>
                                    <P>False</P>
                                    <AB>0</AB>
                                    <NSD>1</NSD>
                                    <DU>1</DU>
                                    <INF>False</INF>
                                    <NT>0</NT>
                                    <DP>0</DP>
                                    <CNF/>
                                  </FmtCndProps>
                                  <FntOvly>
                                    <FntOvlyProps>
                                      <PT>2</PT>
                                      <SON>0</SON>
                                      <CBPLI>1,1,45,2,1</CBPLI>
                                      <FCN>2</FCN>
                                      <CN>0</CN>
                                      <IB>True</IB>
                                      <II>True</II>
                                      <B>True</B>
                                      <I>False</I>
                                    </FntOvlyProps>
                                  </FntOvly>
                                  <BdrOvlys>
                                    <BdrOvly>
                                      <BdrOvlyProps>
                                        <PT>2</PT>
                                        <SON>0</SON>
                                        <CBPLI>1,1,45,2,1</CBPLI>
                                        <FCN>2</FCN>
                                        <I>True</I>
                                        <BI>7</BI>
                                        <LS>1</LS>
                                        <W>2</W>
                                      </BdrOvlyProps>
                                    </BdrOvly>
                                    <BdrOvly>
                                      <BdrOvlyProps>
                                        <PT>2</PT>
                                        <SON>0</SON>
                                        <CBPLI>1,1,45,2,1</CBPLI>
                                        <FCN>2</FCN>
                                        <I>True</I>
                                        <BI>10</BI>
                                        <LS>1</LS>
                                        <W>2</W>
                                      </BdrOvlyProps>
                                    </BdrOvly>
                                    <BdrOvly>
                                      <BdrOvlyProps>
                                        <PT>2</PT>
                                        <SON>0</SON>
                                        <CBPLI>1,1,45,2,1</CBPLI>
                                        <FCN>2</FCN>
                                        <I>True</I>
                                        <BI>8</BI>
                                        <LS>1</LS>
                                        <W>2</W>
                                      </BdrOvlyProps>
                                    </BdrOvly>
                                    <BdrOvly>
                                      <BdrOvlyProps>
                                        <PT>2</PT>
                                        <SON>0</SON>
                                        <CBPLI>1,1,45,2,1</CBPLI>
                                        <FCN>2</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2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20,2,1,-1,0,0,FALSE,FALSE§Z¿]]></VOFFF>
                              </ClmnBlkPtProps>
                              <FmtCnds>
                                <FmtCnd>
                                  <FmtCndProps>
                                    <CBPLI>1,1,46,2,1</CBPLI>
                                    <FCN>1</FCN>
                                    <FCT>2</FCT>
                                    <FCO>1</FCO>
                                    <F1FFF><![CDATA[=§A¿0,1,0,1,45,2,1,-1,0,0,FALSE,FALSE§Z¿<>§A¿1,2,2,1,6,1,1,1,1§Z¿]]></F1FFF>
                                    <F2FFF/>
                                    <SIT>False</SIT>
                                    <BSV>True</BSV>
                                    <BCT>0</BCT>
                                    <CNBCN>0</CNBCN>
                                    <BTAS>0</BTAS>
                                    <IST>1</IST>
                                    <RO>False</RO>
                                    <SIO>False</SIO>
                                    <TO>0</TO>
                                    <TS/>
                                    <DO>1</DO>
                                    <TB>1</TB>
                                    <R>10</R>
                                    <P>False</P>
                                    <AB>0</AB>
                                    <NSD>1</NSD>
                                    <DU>1</DU>
                                    <INF>False</INF>
                                    <NT>0</NT>
                                    <DP>0</DP>
                                    <CNF/>
                                  </FmtCndProps>
                                  <FntOvly>
                                    <FntOvlyProps>
                                      <PT>2</PT>
                                      <SON>0</SON>
                                      <CBPLI>1,1,46,2,1</CBPLI>
                                      <FCN>1</FCN>
                                      <CN>0</CN>
                                      <IC>True</IC>
                                      <CT>3</CT>
                                      <CNU>3</CNU>
                                      <CPR>0</CPR>
                                      <TAS>0</TAS>
                                    </FntOvlyProps>
                                  </FntOvly>
                                </FmtCnd>
                                <FmtCnd>
                                  <FmtCndProps>
                                    <CBPLI>1,1,46,2,1</CBPLI>
                                    <FCN>2</FCN>
                                    <FCT>2</FCT>
                                    <FCO>1</FCO>
                                    <F1FFF><![CDATA[=§A¿0,1,0,1,45,2,1,-1,0,0,FALSE,FALSE§Z¿=§A¿1,2,2,1,6,1,1,1,1§Z¿]]></F1FFF>
                                    <F2FFF/>
                                    <SIT>False</SIT>
                                    <BSV>True</BSV>
                                    <BCT>0</BCT>
                                    <CNBCN>0</CNBCN>
                                    <BTAS>0</BTAS>
                                    <IST>1</IST>
                                    <RO>False</RO>
                                    <SIO>False</SIO>
                                    <TO>0</TO>
                                    <TS/>
                                    <DO>1</DO>
                                    <TB>1</TB>
                                    <R>10</R>
                                    <P>False</P>
                                    <AB>0</AB>
                                    <NSD>1</NSD>
                                    <DU>1</DU>
                                    <INF>False</INF>
                                    <NT>0</NT>
                                    <DP>0</DP>
                                    <CNF/>
                                  </FmtCndProps>
                                  <FntOvly>
                                    <FntOvlyProps>
                                      <PT>2</PT>
                                      <SON>0</SON>
                                      <CBPLI>1,1,46,2,1</CBPLI>
                                      <FCN>2</FCN>
                                      <CN>0</CN>
                                      <IB>True</IB>
                                      <II>True</II>
                                      <B>True</B>
                                      <I>False</I>
                                    </FntOvlyProps>
                                  </FntOvly>
                                  <BdrOvlys>
                                    <BdrOvly>
                                      <BdrOvlyProps>
                                        <PT>2</PT>
                                        <SON>0</SON>
                                        <CBPLI>1,1,46,2,1</CBPLI>
                                        <FCN>2</FCN>
                                        <I>True</I>
                                        <BI>7</BI>
                                        <LS>1</LS>
                                        <W>2</W>
                                      </BdrOvlyProps>
                                    </BdrOvly>
                                    <BdrOvly>
                                      <BdrOvlyProps>
                                        <PT>2</PT>
                                        <SON>0</SON>
                                        <CBPLI>1,1,46,2,1</CBPLI>
                                        <FCN>2</FCN>
                                        <I>True</I>
                                        <BI>10</BI>
                                        <LS>1</LS>
                                        <W>2</W>
                                      </BdrOvlyProps>
                                    </BdrOvly>
                                    <BdrOvly>
                                      <BdrOvlyProps>
                                        <PT>2</PT>
                                        <SON>0</SON>
                                        <CBPLI>1,1,46,2,1</CBPLI>
                                        <FCN>2</FCN>
                                        <I>True</I>
                                        <BI>8</BI>
                                        <LS>1</LS>
                                        <W>2</W>
                                      </BdrOvlyProps>
                                    </BdrOvly>
                                    <BdrOvly>
                                      <BdrOvlyProps>
                                        <PT>2</PT>
                                        <SON>0</SON>
                                        <CBPLI>1,1,46,2,1</CBPLI>
                                        <FCN>2</FCN>
                                        <I>True</I>
                                        <BI>9</BI>
                                        <LS>1</LS>
                                        <W>2</W>
                                      </BdrOvlyProps>
                                    </BdrOvly>
                                  </BdrOvlys>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4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3</SON>
                                <VOFFF><![CDATA[1]]></VOFFF>
                                <UDAV><![CDATA[1]]></UDAV>
                              </ClmnBlkPtProps>
                              <Vdtn>
                                <VdtnProps>
                                  <CBPLI>1,1,47,2,1</CBPLI>
                                  <ADVT>-1</ADVT>
                                  <VT>1</VT>
                                  <AS>1</AS>
                                  <O>7</O>
                                  <F1FFF><![CDATA[0]]></F1FFF>
                                  <F2FFF/>
                                  <IB>False</IB>
                                  <ICDD>False</ICDD>
                                  <SI>False</SI>
                                  <IT/>
                                  <IM/>
                                  <SE>True</SE>
                                  <ET><![CDATA[Tax Payment Delay]]></ET>
                                  <EM><![CDATA[The tax payment delay must be a whole number of months greater than or equal to zero.]]></EM>
                                  <IMO>0</IMO>
                                </VdtnProps>
                              </Vdtn>
                              <FmtCnds>
                                <FmtCnd>
                                  <FmtCndProps>
                                    <CBPLI>1,1,47,2,1</CBPLI>
                                    <FCN>1</FCN>
                                    <FCT>2</FCT>
                                    <FCO>1</FCO>
                                    <F1FFF><![CDATA[=OR(§A¿0,1,0,1,45,2,1,-1,0,0,FALSE,FALSE§Z¿<>§A¿1,2,2,1,6,1,1,1,1§Z¿,§A¿0,1,0,1,46,2,1,-1,0,0,FALSE,FALSE§Z¿<0)]]></F1FFF>
                                    <F2FFF/>
                                    <SIT>False</SIT>
                                    <BSV>True</BSV>
                                    <BCT>0</BCT>
                                    <CNBCN>0</CNBCN>
                                    <BTAS>0</BTAS>
                                    <IST>1</IST>
                                    <RO>False</RO>
                                    <SIO>False</SIO>
                                    <TO>0</TO>
                                    <TS/>
                                    <DO>1</DO>
                                    <TB>1</TB>
                                    <R>10</R>
                                    <P>False</P>
                                    <AB>0</AB>
                                    <NSD>1</NSD>
                                    <DU>1</DU>
                                    <INF>False</INF>
                                    <NT>0</NT>
                                    <DP>0</DP>
                                    <CNF/>
                                  </FmtCndProps>
                                  <FntOvly>
                                    <FntOvlyProps>
                                      <PT>2</PT>
                                      <SON>0</SON>
                                      <CBPLI>1,1,47,2,1</CBPLI>
                                      <FCN>1</FCN>
                                      <CN>0</CN>
                                      <IC>True</IC>
                                      <CT>3</CT>
                                      <CNU>3</CNU>
                                      <CPR>0</CPR>
                                      <TAS>0</TAS>
                                    </FntOvlyProps>
                                  </FntOvly>
                                  <IntOvly>
                                    <IntOvlyProps>
                                      <PT>2</PT>
                                      <SON>0</SON>
                                      <CBPLI>1,1,47,2,1</CBPLI>
                                      <FCN>1</FCN>
                                      <IC>True</IC>
                                    </IntOvlyProps>
                                  </IntOvly>
                                </FmtCnd>
                              </FmtCnd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Refund Delay (Months)]]></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3</SON>
                                <VOFFF><![CDATA[1]]></VOFFF>
                                <UDAV><![CDATA[1]]></UDAV>
                              </ClmnBlkPtProps>
                              <Vdtn>
                                <VdtnProps>
                                  <CBPLI>1,1,48,2,1</CBPLI>
                                  <ADVT>-1</ADVT>
                                  <VT>1</VT>
                                  <AS>1</AS>
                                  <O>7</O>
                                  <F1FFF><![CDATA[0]]></F1FFF>
                                  <F2FFF/>
                                  <IB>False</IB>
                                  <ICDD>False</ICDD>
                                  <SI>False</SI>
                                  <IT/>
                                  <IM/>
                                  <SE>True</SE>
                                  <ET><![CDATA[Tax Payment Delay]]></ET>
                                  <EM><![CDATA[The tax payment delay must be a whole number of months greater than or equal to zero.]]></EM>
                                  <IMO>0</IMO>
                                </VdtnProps>
                              </Vdtn>
                              <FmtCnds>
                                <FmtCnd>
                                  <FmtCndProps>
                                    <CBPLI>1,1,48,2,1</CBPLI>
                                    <FCN>1</FCN>
                                    <FCT>2</FCT>
                                    <FCO>1</FCO>
                                    <F1FFF><![CDATA[=OR(§A¿0,1,0,1,45,2,1,-1,0,0,FALSE,FALSE§Z¿<>§A¿1,2,2,1,6,1,1,1,1§Z¿,§A¿0,1,0,1,46,2,1,-1,0,0,FALSE,FALSE§Z¿>=0)]]></F1FFF>
                                    <F2FFF/>
                                    <SIT>False</SIT>
                                    <BSV>True</BSV>
                                    <BCT>0</BCT>
                                    <CNBCN>0</CNBCN>
                                    <BTAS>0</BTAS>
                                    <IST>1</IST>
                                    <RO>False</RO>
                                    <SIO>False</SIO>
                                    <TO>0</TO>
                                    <TS/>
                                    <DO>1</DO>
                                    <TB>1</TB>
                                    <R>10</R>
                                    <P>False</P>
                                    <AB>0</AB>
                                    <NSD>1</NSD>
                                    <DU>1</DU>
                                    <INF>False</INF>
                                    <NT>0</NT>
                                    <DP>0</DP>
                                    <CNF/>
                                  </FmtCndProps>
                                  <FntOvly>
                                    <FntOvlyProps>
                                      <PT>2</PT>
                                      <SON>0</SON>
                                      <CBPLI>1,1,48,2,1</CBPLI>
                                      <FCN>1</FCN>
                                      <CN>0</CN>
                                      <IC>True</IC>
                                      <CT>3</CT>
                                      <CNU>3</CNU>
                                      <CPR>0</CPR>
                                      <TAS>0</TAS>
                                    </FntOvlyProps>
                                  </FntOvly>
                                  <IntOvly>
                                    <IntOvlyProps>
                                      <PT>2</PT>
                                      <SON>0</SON>
                                      <CBPLI>1,1,48,2,1</CBPLI>
                                      <FCN>1</FCN>
                                      <IC>True</IC>
                                    </IntOvlyProps>
                                  </IntOvly>
                                </FmtCnd>
                              </FmtCnd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Expense]]></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Expense/(Benefit)]]></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1,2,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able Profit/(Los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Net Profit Before Tax]]></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9,2,1,-1,0,0,FALSE,FALSE§Z¿]]></VOFFF>
                              </ClmnBlkPtProps>
                            </ClmnBlkPt>
                          </ClmnBlkPts>
                        </ClmnBlk>
                      </ClmnBlks>
                      <TtlCtg>
                        <TtlCtgProps>
                          <R>3</R>
                        </TtlCtgProps>
                      </TtlCtg>
                    </Elmt>
                    <Elmt>
                      <ElmtProps>
                        <CPT>2</CPT>
                      </ElmtProps>
                      <TtlCtg>
                        <TtlCtgProps>
                          <R>2</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2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2,2,1,-1,0,0,FALSE,FALSE§Z¿]]></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23,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3,2,1,-1,0,0,FALSE,FALSE§Z¿]]></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2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4,2,1,-1,0,0,FALSE,FALSE§Z¿]]></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25,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25,2,1,-1,0,0,FALSE,FALSE§Z¿]]></VOFFF>
                              </ClmnBlkPtProps>
                            </ClmnBlkPt>
                          </ClmnBlkPts>
                        </ClmnBlk>
                      </ClmnBlks>
                      <TtlCtg>
                        <TtlCtgProps>
                          <R>1</R>
                        </TtlCtgProps>
                      </TtlCtg>
                    </Elmt>
                    <Elmt>
                      <ElmtProps>
                        <CPT>2</CPT>
                      </ElmtProps>
                      <TtlCtg>
                        <TtlCtgProps>
                          <R>2</R>
                        </TtlCtgProps>
                      </TtlCtg>
                    </Elmt>
                    <Elmt>
                      <ElmtProps>
                        <CPT>0</CPT>
                        <TOT>False</TOT>
                        <EGN>1</EGN>
                      </ElmtProps>
                      <ClmnBlks>
                        <ClmnBlk>
                          <ClmnBlkProps>
                            <FCPT>3</FCPT>
                            <FCN>3</FCN>
                            <FCOT>0</FCOT>
                            <FCOC>0</FCOC>
                            <FCPTBMCN>4</FCPTBMCN>
                            <FCPTBN>2</FCPTBN>
                            <LCPT>3</LCPT>
                            <LCN>3</LCN>
                            <LCOT>0</LCOT>
                            <LCOC>0</LCOC>
                            <LCPTBMCN>4</LCPTBMCN>
                            <LCPTBN>2</LCPTBN>
                          </ClmnBlkProps>
                          <ClmnBlkPts>
                            <ClmnBlkPt>
                              <ClmnBlkPtProps>
                                <CBPT>0</CBPT>
                                <ST>6</ST>
                                <VOFFF><![CDATA[=§A¿0,1,0,1,28,1,1,0,0,0,FALSE,FALSE§Z¿]]></VOFFF>
                              </ClmnBlkPtProps>
                            </ClmnBlkPt>
                            <ClmnBlkPt>
                              <ClmnBlkPtProps>
                                <CBPT>1</CBPT>
                                <ST>6</ST>
                                <VOFFF><![CDATA[=§A¿0,1,0,1,63,1,3,0,0,0,FALSE,FALSE§Z¿]]></VOFFF>
                                <UDAV><![CDATA[<CategoriesGroupName> Sub-Total <SubTotalNumber>]]></UDAV>
                              </ClmnBlkPtProps>
                            </ClmnBlkPt>
                            <ClmnBlkPt>
                              <ClmnBlkPtProps>
                                <CBPT>2</CBPT>
                                <ST>5</ST>
                                <VOFFF><![CDATA[=§A¿0,1,0,1,28,1,3,0,0,0,FALSE,FALSE§Z¿]]></VOFFF>
                                <UDAV><![CDATA[Sub-Total <SubTotalNumber>]]></UDAV>
                              </ClmnBlkPtProps>
                            </ClmnBlkPt>
                            <ClmnBlkPt>
                              <ClmnBlkPtProps>
                                <CBPT>3</CBPT>
                                <ST>-1</ST>
                                <VOFFF/>
                              </ClmnBlkPtProps>
                            </ClmnBlkPt>
                            <ClmnBlkPt>
                              <ClmnBlkPtProps>
                                <CBPT>4</CBPT>
                                <ST>-1</ST>
                                <VOFFF/>
                              </ClmnBlkPtProps>
                            </ClmnBlkPt>
                            <ClmnBlkPt>
                              <ClmnBlkPtProps>
                                <CBPT>5</CBPT>
                                <ST>6</ST>
                                <VOFFF><![CDATA[=§A¿0,1,0,1,28,1,6,-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1,0,1,28,2,1,0,0,0,FALSE,FALSE§Z¿]]></VOFFF>
                              </ClmnBlkPtProp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SubTtlHdgRow>
                            <SubTtlHdgRowProps>
                              <STLI>1,1,63,1</STLI>
                              <R>0</R>
                            </SubTtlHdgRowProps>
                          </SubTtlHdgRow>
                          <CatSpan>
                            <CatSpanProps>
                              <CC>3</CC>
                              <R>5</R>
                            </CatSpanProps>
                          </CatSpan>
                        </SubTtl>
                      </SubTtl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Adjust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58,2,1,-1,0,0,FALSE,FALSE,1,61,2,1,-1,0,0,FALSE,FALSE§Z¿)+§A¿0,1,0,1,63,2,6,-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axable Profit/(Loss) - Before Loss Utiliz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A¿0,1,0,1,56,2,1,-1,0,0,FALSE,FALSE§Z¿+§A¿0,1,0,1,65,2,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Losse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1,§A¿0,1,0,1,11,2,1,-1,0,0,TRUE,TRUE§Z¿,§A¿0,1,0,1,73,2,1,-1,0,0,FALSE,FALSE§Z¿)]]></VOFFF>
                              </ClmnBlkPtProps>
                            </ClmnBlkPt>
                          </ClmnBlkPts>
                        </ClmnBlk>
                      </ClmnBlks>
                      <TtlCtg>
                        <TtlCtgProps>
                          <R>3</R>
                        </TtlCtgProps>
                      </TtlCtg>
                      <ElmtLnksOut>
                        <ElmtLnk>
                          <ElmtLnkProps>
                            <ELI>1,1,70</ELI>
                            <ELN>1</ELN>
                            <ELGN>1</ELGN>
                            <MLG>ECF5702B-5A76-4373-99C3-48C3F075FB17</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Losses - Creat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MAX(0,IF(OR(§A¿9,4,0,0,1,6,3,1,-1,0,0,TRUE,FALSE§Z¿=1,§A¿0,1,0,1,80,2,1,-1,0,0,FALSE,FALSE§Z¿=1),§A¿0,1,0,1,90,3,1,-1,0,0,FALSE,FALSE§Z¿-§A¿0,1,0,1,87,3,1,-1,0,0,FALSE,FALSE§Z¿,§A¿0,1,0,1,90,3,1,-1,0,0,FALSE,FALSE§Z¿-§A¿0,1,0,1,90,2,1,-1,0,0,FALSE,FALSE§Z¿))]]></VOFFF>
                              </ClmnBlkPtProps>
                            </ClmnBlkPt>
                          </ClmnBlkPts>
                        </ClmnBlk>
                      </ClmnBlks>
                      <TtlCtg>
                        <TtlCtgProps>
                          <R>3</R>
                        </TtlCtgProps>
                      </TtlCtg>
                      <ElmtLnksOut>
                        <ElmtLnk>
                          <ElmtLnkProps>
                            <ELI>1,1,71</ELI>
                            <ELN>1</ELN>
                            <ELGN>1</ELGN>
                            <MLG>972873A2-67F0-4BFC-8344-10F2411C9327</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Losses - Us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MIN(0,IF(OR(§A¿9,4,0,0,1,6,3,1,-1,0,0,TRUE,FALSE§Z¿=1,§A¿0,1,0,1,80,2,1,-1,0,0,FALSE,FALSE§Z¿=1),§A¿0,1,0,1,90,3,1,-1,0,0,FALSE,FALSE§Z¿-§A¿0,1,0,1,87,3,1,-1,0,0,FALSE,FALSE§Z¿,§A¿0,1,0,1,90,3,1,-1,0,0,FALSE,FALSE§Z¿-§A¿0,1,0,1,90,2,1,-1,0,0,FALSE,FALSE§Z¿))]]></VOFFF>
                              </ClmnBlkPtProps>
                            </ClmnBlkPt>
                          </ClmnBlkPts>
                        </ClmnBlk>
                      </ClmnBlks>
                      <TtlCtg>
                        <TtlCtgProps>
                          <R>3</R>
                        </TtlCtgProps>
                      </TtlCtg>
                      <ElmtLnksOut>
                        <ElmtLnk>
                          <ElmtLnkProps>
                            <ELI>1,1,72</ELI>
                            <ELN>1</ELN>
                            <ELGN>1</ELGN>
                            <MLG>2E3E1A56-F206-4E39-B887-7FAC51D88F5B</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Tax Losses]]></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SUM(§A¿0,1,1,1,70,2,1,-1,0,0,FALSE,FALSE,1,72,2,1,-1,0,0,FALSE,FALSE§Z¿)]]></VOFFF>
                              </ClmnBlkPtProps>
                            </ClmnBlkPt>
                          </ClmnBlkPts>
                        </ClmnBlk>
                      </ClmnBlks>
                      <TtlCtg>
                        <TtlCtgProps>
                          <R>3</R>
                        </TtlCtgProps>
                      </TtlCtg>
                      <ElmtLnksOut>
                        <ElmtLnk>
                          <ElmtLnkProps>
                            <ELI>1,1,73</ELI>
                            <ELN>1</ELN>
                            <ELGN>1</ELGN>
                            <MLG>BEE428EC-C5E0-49E4-ACA8-95ABFF9D4D9B</MLG>
                            <ICBI>1,3</ICBI>
                            <ILBN>1,2</ILBN>
                            <LIBN>0</LIBN>
                          </ElmtLnkProps>
                        </ElmtLnk>
                      </ElmtLnksOut>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Assessments]]></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ax Assessment Timing]]></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ssessment Year]]></VOFFF>
                              </ClmnBlkPtProps>
                            </ClmnBlkPt>
                          </ClmnBlkPts>
                        </ClmnBlk>
                        <ClmnBlk>
                          <ClmnBlkProps>
                            <FCPT>3</FCPT>
                            <FCN>10</FCN>
                            <FCOT>0</FCOT>
                            <FCOC>0</FCOC>
                            <FCPTBMCN>4</FCPTBMCN>
                            <FCPTBN>3</FCPTBN>
                            <LCPT>3</LCPT>
                            <LCN>45</LCN>
                            <LCOT>1</LCOT>
                            <LCOC>0</LCOC>
                            <LCPTBMCN>4</LCPTBMCN>
                            <LCPTBN>3</LCPTBN>
                          </ClmnBlkProps>
                          <ClmnBlkPts>
                            <ClmnBlkPt>
                              <ClmnBlkPtProps>
                                <CBPT>5</CBPT>
                                <ST>16</ST>
                                <VOFFF><![CDATA[=YEAR(§A¿9,4,0,0,1,5,3,1,-1,0,0,TRUE,FALSE§Z¿)+IF(MONTH(§A¿9,4,0,0,1,5,3,1,-1,0,0,TRUE,FALSE§Z¿)>§A¿1,1,1,1,6,0,2,1,1§Z¿,1,0)]]></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ssessment Year Month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MOD(MONTH(§A¿9,4,0,0,1,5,3,1,-1,0,0,TRUE,FALSE§Z¿)-§A¿1,1,1,1,6,0,2,1,1§Z¿-1,§A¿7,2,2,1,14,7,1,1,1§Z¿)+1]]></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35,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12</SON>
                                <VOFFF><![CDATA[=INDEX(§A¿0,1,1,1,35,2,1,-1,0,0,FALSE,TRUE,1,35,2,1,-1,0,0,FALSE,FALSE§Z¿,1,MATCH(§A¿0,1,0,1,79,2,1,-1,0,0,FALSE,FALSE§Z¿,§A¿0,1,1,1,79,2,1,-1,0,0,FALSE,TRUE,1,79,2,1,-1,0,0,FALSE,FALSE§Z¿,0))]]></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Year-To-Date Tax Payable]]></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Taxable Profit/(Loss) - Before Loss Utiliz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IF(§A¿0,1,1,1,79,2,1,-1,0,0,FALSE,TRUE,1,79,2,1,-1,0,0,FALSE,FALSE§Z¿,§A¿0,1,0,1,79,2,1,-1,0,0,FALSE,FALSE§Z¿,§A¿0,1,1,1,66,2,1,-1,0,0,FALSE,TRUE,1,66,2,1,-1,0,0,FALSE,FALSE§Z¿)]]></VOFFF>
                              </ClmnBlkPtProps>
                            </ClmnBlkPt>
                          </ClmnBlkPts>
                        </ClmnBlk>
                      </ClmnBlks>
                      <TtlCtg>
                        <TtlCtgProps>
                          <R>3</R>
                        </TtlCtgProps>
                      </TtlCtg>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Tax Losses - Open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1,§A¿0,1,0,1,11,2,1,-1,0,0,TRUE,TRUE§Z¿,IF(§A¿0,1,0,1,117,2,1,-1,0,0,FALSE,FALSE§Z¿=§A¿1,2,2,1,6,1,1,1,1§Z¿,§A¿0,1,0,1,90,2,1,-1,0,0,FALSE,FALSE§Z¿,§A¿0,1,0,1,87,2,1,-1,0,0,FALSE,FALSE§Z¿))]]></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Tax Losses - Creat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85,2,1,-1,0,0,FALSE,FALSE§Z¿<0,-§A¿0,1,0,1,85,2,1,-1,0,0,FALSE,FALSE§Z¿,0)]]></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Tax Losses - Us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85,2,1,-1,0,0,FALSE,FALSE§Z¿>0,-MIN(§A¿0,1,0,1,85,2,1,-1,0,0,FALSE,FALSE§Z¿,§A¿0,1,0,1,87,3,1,-1,0,0,FALSE,FALSE§Z¿),0)]]></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Tax Losses - Closing Balanc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17</SON>
                                <VOFFF><![CDATA[=SUM(§A¿0,1,1,1,87,3,1,-1,0,0,FALSE,FALSE,1,89,2,1,-1,0,0,FALSE,FALSE§Z¿)]]></VOFFF>
                              </ClmnBlkPtProps>
                            </ClmnBlkPt>
                          </ClmnBlkPts>
                        </ClmnBlk>
                      </ClmnBlks>
                      <TtlCtg>
                        <TtlCtgProps>
                          <R>3</R>
                        </TtlCtgProps>
                      </TtlCtg>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TD Rolling Taxable Profit/(Loss) - After Loss Utiliz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85,2,1,-1,0,0,FALSE,FALSE§Z¿+§A¿0,1,0,1,89,2,1,-1,0,0,FALSE,FALSE§Z¿]]></VOFFF>
                              </ClmnBlkPtProps>
                            </ClmnBlkPt>
                          </ClmnBlkPts>
                        </ClmnBlk>
                      </ClmnBlks>
                      <TtlCtg>
                        <TtlCtgProps>
                          <R>3</R>
                        </TtlCtgProps>
                      </TtlCtg>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19</ST>
                                <VOFFF><![CDATA[=§A¿0,1,0,1,7,2,1,-1,0,0,FALSE,TRUE§Z¿]]></VOFFF>
                              </ClmnBlkPtProps>
                            </ClmnBlkPt>
                          </ClmnBlkPts>
                        </ClmnBlk>
                      </ClmnBlks>
                      <TtlCtg>
                        <TtlCtgProps>
                          <R>3</R>
                        </TtlCtgProps>
                      </TtlCtg>
                      <ElmtLnksOut>
                        <ElmtLnk>
                          <ElmtLnkProps>
                            <ELI>1,1,94</ELI>
                            <ELN>1</ELN>
                            <ELGN>1</ELGN>
                            <MLG>D31F2AE5-299D-45A2-8C5F-E399D06378AB</MLG>
                            <ICBI>1,2</ICBI>
                            <ILBN>1,2</ILBN>
                            <LIBN>0</LIBN>
                          </ElmtLnkProps>
                        </ElmtLnk>
                      </ElmtLnksOut>
                    </Elmt>
                    <Elmt>
                      <ElmtProps>
                        <CPT>2</CPT>
                      </ElmtProp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Year-To-Date Tax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MAX(0,§A¿0,1,0,1,92,2,1,-1,0,0,FALSE,FALSE§Z¿*§A¿0,1,0,1,94,2,1,-1,0,0,FALSE,FALSE§Z¿)]]></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SON>18</SON>
                                <VOFFF><![CDATA[="Change in "&§A¿0,1,0,1,9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18</SON>
                                <VOFFF><![CDATA[=§A¿0,1,0,1,96,3,1,-1,0,0,FALSE,FALSE§Z¿-IF(OR(§A¿9,4,0,0,1,6,3,1,-1,0,0,TRUE,FALSE§Z¿=1,§A¿0,1,0,1,80,2,1,-1,0,0,FALSE,FALSE§Z¿=1),0,§A¿0,1,0,1,96,2,1,-1,0,0,FALSE,FALSE§Z¿)]]></VOFFF>
                              </ClmnBlkPtProps>
                            </ClmnBlkPt>
                          </ClmnBlkPts>
                        </ClmnBlk>
                      </ClmnBlks>
                      <TtlCtg>
                        <TtlCtgProps>
                          <R>1</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Interim Tax Assessments]]></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im Assessment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12</SON>
                                <VOFFF><![CDATA[=IF(§A¿0,1,0,1,81,2,1,-1,0,0,FALSE,FALSE§Z¿=§A¿1,2,2,1,10,2,1,1,1§Z¿,§A¿1,2,2,1,6,1,1,1,1§Z¿,IF(§A¿0,1,0,1,81,2,1,-1,0,0,FALSE,FALSE§Z¿=§A¿1,2,2,1,10,3,1,1,1§Z¿,IF(MOD(§A¿0,1,0,1,80,2,1,-1,0,0,FALSE,FALSE§Z¿,§A¿7,2,2,1,14,5,1,1,1§Z¿)=0,§A¿1,2,2,1,6,1,1,1,1§Z¿,§A¿1,2,2,1,6,2,1,1,1§Z¿),IF(§A¿0,1,0,1,81,2,1,-1,0,0,FALSE,FALSE§Z¿=§A¿1,2,2,1,10,4,1,1,1§Z¿,IF(MOD(§A¿0,1,0,1,80,2,1,-1,0,0,FALSE,FALSE§Z¿,§A¿7,2,2,1,14,6,1,1,1§Z¿)=0,§A¿1,2,2,1,6,1,1,1,1§Z¿,§A¿1,2,2,1,6,2,1,1,1§Z¿),§A¿1,2,2,1,6,2,1,1,1§Z¿)))]]></VOFFF>
                              </ClmnBlkPtProps>
                              <FmtCnds>
                                <FmtCnd>
                                  <FmtCndProps>
                                    <CBPLI>1,1,101,2,1</CBPLI>
                                    <FCN>1</FCN>
                                    <FCT>2</FCT>
                                    <FCO>1</FCO>
                                    <F1FFF><![CDATA[=§A¿0,1,0,1,101,2,1,-1,0,0,FALSE,FALSE§Z¿=§A¿1,2,2,1,6,1,1,1,1§Z¿]]></F1FFF>
                                    <F2FFF/>
                                    <SIT>False</SIT>
                                    <BSV>True</BSV>
                                    <BCT>0</BCT>
                                    <CNBCN>0</CNBCN>
                                    <BTAS>0</BTAS>
                                    <IST>1</IST>
                                    <RO>False</RO>
                                    <SIO>False</SIO>
                                    <TO>0</TO>
                                    <TS/>
                                    <DO>1</DO>
                                    <TB>1</TB>
                                    <R>10</R>
                                    <P>False</P>
                                    <AB>0</AB>
                                    <NSD>1</NSD>
                                    <DU>1</DU>
                                    <INF>False</INF>
                                    <NT>0</NT>
                                    <DP>0</DP>
                                    <CNF/>
                                  </FmtCndProps>
                                  <FntOvly>
                                    <FntOvlyProps>
                                      <PT>2</PT>
                                      <SON>0</SON>
                                      <CBPLI>1,1,101,2,1</CBPLI>
                                      <FCN>1</FCN>
                                      <CN>0</CN>
                                      <IB>True</IB>
                                      <II>True</II>
                                      <B>True</B>
                                      <I>False</I>
                                    </FntOvlyProps>
                                  </FntOvly>
                                  <BdrOvlys>
                                    <BdrOvly>
                                      <BdrOvlyProps>
                                        <PT>2</PT>
                                        <SON>0</SON>
                                        <CBPLI>1,1,101,2,1</CBPLI>
                                        <FCN>1</FCN>
                                        <I>True</I>
                                        <BI>7</BI>
                                        <LS>1</LS>
                                        <W>2</W>
                                      </BdrOvlyProps>
                                    </BdrOvly>
                                    <BdrOvly>
                                      <BdrOvlyProps>
                                        <PT>2</PT>
                                        <SON>0</SON>
                                        <CBPLI>1,1,101,2,1</CBPLI>
                                        <FCN>1</FCN>
                                        <I>True</I>
                                        <BI>10</BI>
                                        <LS>1</LS>
                                        <W>2</W>
                                      </BdrOvlyProps>
                                    </BdrOvly>
                                    <BdrOvly>
                                      <BdrOvlyProps>
                                        <PT>2</PT>
                                        <SON>0</SON>
                                        <CBPLI>1,1,101,2,1</CBPLI>
                                        <FCN>1</FCN>
                                        <I>True</I>
                                        <BI>8</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im Assessment Period Number]]></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81,2,1,-1,0,0,FALSE,FALSE§Z¿=§A¿1,2,2,1,10,2,1,1,1§Z¿,§A¿0,1,0,1,80,2,1,-1,0,0,FALSE,FALSE§Z¿,IF(§A¿0,1,0,1,81,2,1,-1,0,0,FALSE,FALSE§Z¿=§A¿1,2,2,1,10,3,1,1,1§Z¿,INT((§A¿0,1,0,1,80,2,1,-1,0,0,FALSE,FALSE§Z¿-1)/§A¿7,2,2,1,14,5,1,1,1§Z¿)+1,IF(§A¿0,1,0,1,81,2,1,-1,0,0,FALSE,FALSE§Z¿=§A¿1,2,2,1,10,4,1,1,1§Z¿,INT((§A¿0,1,0,1,80,2,1,-1,0,0,FALSE,FALSE§Z¿-1)/§A¿7,2,2,1,14,6,1,1,1§Z¿)+1,0)))]]></VOFFF>
                              </ClmnBlkPtProps>
                              <FmtCnds>
                                <FmtCnd>
                                  <FmtCndProps>
                                    <CBPLI>1,1,102,2,1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1,1,102,2,1</CBPLI>
                                        <FCN>1</FCN>
                                        <I>True</I>
                                        <BI>7</BI>
                                        <LS>1</LS>
                                        <W>2</W>
                                      </BdrOvlyProps>
                                    </BdrOvly>
                                    <BdrOvly>
                                      <BdrOvlyProps>
                                        <PT>2</PT>
                                        <SON>0</SON>
                                        <CBPLI>1,1,102,2,1</CBPLI>
                                        <FCN>1</FCN>
                                        <I>True</I>
                                        <BI>10</BI>
                                        <LS>1</LS>
                                        <W>2</W>
                                      </BdrOvlyProps>
                                    </BdrOvly>
                                  </BdrOvlys>
                                </FmtCnd>
                              </FmtCnds>
                            </ClmnBlkPt>
                          </ClmnBlkPts>
                        </ClmnBlk>
                      </ClmnBlks>
                      <TtlCtg>
                        <TtlCtgProps>
                          <R>3</R>
                        </TtlCtgProps>
                      </TtlCtg>
                    </Elmt>
                    <Elmt>
                      <ElmtProps>
                        <CPT>2</CPT>
                      </ElmtProps>
                      <ClmnBlks>
                        <ClmnBlk>
                          <ClmnBlkProps>
                            <FCPT>3</FCPT>
                            <FCN>10</FCN>
                            <FCOT>0</FCOT>
                            <FCOC>0</FCOC>
                            <FCPTBMCN>4</FCPTBMCN>
                            <FCPTBN>3</FCPTBN>
                            <LCPT>3</LCPT>
                            <LCN>45</LCN>
                            <LCOT>1</LCOT>
                            <LCOC>0</LCOC>
                            <LCPTBMCN>4</LCPTBMCN>
                            <LCPTBN>3</LCPTBN>
                          </ClmnBlkProps>
                          <ClmnBlkPts>
                            <ClmnBlkPt>
                              <ClmnBlkPtProps>
                                <CBPT>5</CBPT>
                                <ST>18</ST>
                                <VOFFF/>
                              </ClmnBlkPtProps>
                              <FmtCnds>
                                <FmtCnd>
                                  <FmtCndProps>
                                    <CBPLI>1,1,103,1,1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1,1,103,1,1</CBPLI>
                                        <FCN>1</FCN>
                                        <I>True</I>
                                        <BI>7</BI>
                                        <LS>1</LS>
                                        <W>2</W>
                                      </BdrOvlyProps>
                                    </BdrOvly>
                                    <BdrOvly>
                                      <BdrOvlyProps>
                                        <PT>2</PT>
                                        <SON>0</SON>
                                        <CBPLI>1,1,103,1,1</CBPLI>
                                        <FCN>1</FCN>
                                        <I>True</I>
                                        <BI>10</BI>
                                        <LS>1</LS>
                                        <W>2</W>
                                      </BdrOvlyProps>
                                    </BdrOvly>
                                  </BdrOvlys>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96,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101,2,1,-1,0,0,FALSE,FALSE§Z¿<>§A¿1,2,2,1,6,1,1,1,1§Z¿,0,§A¿0,1,0,1,96,3,1,-1,0,0,FALSE,FALSE§Z¿)]]></VOFFF>
                              </ClmnBlkPtProps>
                              <FmtCnds>
                                <FmtCnd>
                                  <FmtCndProps>
                                    <CBPLI>1,1,104,2,1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1,1,104,2,1</CBPLI>
                                        <FCN>1</FCN>
                                        <I>True</I>
                                        <BI>7</BI>
                                        <LS>1</LS>
                                        <W>2</W>
                                      </BdrOvlyProps>
                                    </BdrOvly>
                                    <BdrOvly>
                                      <BdrOvlyProps>
                                        <PT>2</PT>
                                        <SON>0</SON>
                                        <CBPLI>1,1,104,2,1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Less) Prior Interim Assessments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101,2,1,-1,0,0,FALSE,FALSE§Z¿<>§A¿1,2,2,1,6,1,1,1,1§Z¿,0,IF(OR(§A¿9,4,0,0,1,6,3,1,-1,0,0,TRUE,FALSE§Z¿=1,§A¿0,1,0,1,102,2,1,-1,0,0,FALSE,FALSE§Z¿=1),0,-SUM(OFFSET(§A¿0,1,0,1,110,2,1,-1,0,0,FALSE,FALSE§Z¿,0,1-MIN(§A¿9,4,0,0,1,6,3,1,-1,0,0,TRUE,FALSE§Z¿,§A¿0,1,0,1,80,2,1,-1,0,0,FALSE,FALSE§Z¿),1,MIN(§A¿9,4,0,0,1,6,3,1,-1,0,0,TRUE,FALSE§Z¿,§A¿0,1,0,1,80,2,1,-1,0,0,FALSE,FALSE§Z¿)-1))))]]></VOFFF>
                              </ClmnBlkPtProps>
                              <FmtCnds>
                                <FmtCnd>
                                  <FmtCndProps>
                                    <CBPLI>1,1,105,2,1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1,1,105,2,1</CBPLI>
                                        <FCN>1</FCN>
                                        <I>True</I>
                                        <BI>7</BI>
                                        <LS>1</LS>
                                        <W>2</W>
                                      </BdrOvlyProps>
                                    </BdrOvly>
                                    <BdrOvly>
                                      <BdrOvlyProps>
                                        <PT>2</PT>
                                        <SON>0</SON>
                                        <CBPLI>1,1,105,2,1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5</ST>
                                <VOFFF><![CDATA[Interim Tax Assessment -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IF(§A¿0,1,0,1,101,2,1,-1,0,0,FALSE,FALSE§Z¿<>§A¿1,2,2,1,6,1,1,1,1§Z¿,0,MAX(0,§A¿0,1,0,1,104,2,1,-1,0,0,FALSE,FALSE§Z¿+§A¿0,1,0,1,105,2,1,-1,0,0,FALSE,FALSE§Z¿))]]></VOFFF>
                              </ClmnBlkPtProps>
                              <FmtCnds>
                                <FmtCnd>
                                  <FmtCndProps>
                                    <CBPLI>1,1,106,2,1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1,1,106,2,1</CBPLI>
                                        <FCN>1</FCN>
                                        <I>True</I>
                                        <BI>7</BI>
                                        <LS>1</LS>
                                        <W>2</W>
                                      </BdrOvlyProps>
                                    </BdrOvly>
                                    <BdrOvly>
                                      <BdrOvlyProps>
                                        <PT>2</PT>
                                        <SON>0</SON>
                                        <CBPLI>1,1,106,2,1</CBPLI>
                                        <FCN>1</FCN>
                                        <I>True</I>
                                        <BI>10</BI>
                                        <LS>1</LS>
                                        <W>2</W>
                                      </BdrOvlyProps>
                                    </BdrOvly>
                                  </BdrOvlys>
                                </FmtCnd>
                              </FmtCnds>
                            </ClmnBlkPt>
                          </ClmnBlkPts>
                        </ClmnBlk>
                      </ClmnBlks>
                      <TtlCtg>
                        <TtlCtgProps>
                          <R>3</R>
                        </TtlCtgProps>
                      </TtlCtg>
                    </Elmt>
                    <Elmt>
                      <ElmtProps>
                        <CPT>2</CPT>
                      </ElmtProps>
                      <ClmnBlks>
                        <ClmnBlk>
                          <ClmnBlkProps>
                            <FCPT>3</FCPT>
                            <FCN>10</FCN>
                            <FCOT>0</FCOT>
                            <FCOC>0</FCOC>
                            <FCPTBMCN>4</FCPTBMCN>
                            <FCPTBN>3</FCPTBN>
                            <LCPT>3</LCPT>
                            <LCN>45</LCN>
                            <LCOT>1</LCOT>
                            <LCOC>0</LCOC>
                            <LCPTBMCN>4</LCPTBMCN>
                            <LCPTBN>3</LCPTBN>
                          </ClmnBlkProps>
                          <ClmnBlkPts>
                            <ClmnBlkPt>
                              <ClmnBlkPtProps>
                                <CBPT>5</CBPT>
                                <ST>18</ST>
                                <VOFFF/>
                              </ClmnBlkPtProps>
                              <FmtCnds>
                                <FmtCnd>
                                  <FmtCndProps>
                                    <CBPLI>1,1,107,1,1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1,1,107,1,1</CBPLI>
                                        <FCN>1</FCN>
                                        <I>True</I>
                                        <BI>7</BI>
                                        <LS>1</LS>
                                        <W>2</W>
                                      </BdrOvlyProps>
                                    </BdrOvly>
                                    <BdrOvly>
                                      <BdrOvlyProps>
                                        <PT>2</PT>
                                        <SON>0</SON>
                                        <CBPLI>1,1,107,1,1</CBPLI>
                                        <FCN>1</FCN>
                                        <I>True</I>
                                        <BI>10</BI>
                                        <LS>1</LS>
                                        <W>2</W>
                                      </BdrOvlyProps>
                                    </BdrOvly>
                                  </BdrOvlys>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4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12</SON>
                                <VOFFF><![CDATA[=IF(§A¿0,1,0,1,101,2,1,-1,0,0,FALSE,FALSE§Z¿<>§A¿1,2,2,1,6,1,1,1,1§Z¿,0,§A¿0,1,0,1,40,2,1,-1,0,0,FALSE,FALSE§Z¿)]]></VOFFF>
                              </ClmnBlkPtProps>
                              <FmtCnds>
                                <FmtCnd>
                                  <FmtCndProps>
                                    <CBPLI>1,1,108,2,1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1,1,108,2,1</CBPLI>
                                        <FCN>1</FCN>
                                        <I>True</I>
                                        <BI>7</BI>
                                        <LS>1</LS>
                                        <W>2</W>
                                      </BdrOvlyProps>
                                    </BdrOvly>
                                    <BdrOvly>
                                      <BdrOvlyProps>
                                        <PT>2</PT>
                                        <SON>0</SON>
                                        <CBPLI>1,1,108,2,1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0,1,0,1,4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OR(§A¿0,1,0,1,101,2,1,-1,0,0,FALSE,FALSE§Z¿<>§A¿1,2,2,1,6,1,1,1,1§Z¿,§A¿0,1,0,1,108,2,1,-1,0,0,FALSE,FALSE§Z¿<>§A¿1,2,2,1,18,2,1,1,1§Z¿),0,§A¿0,1,0,1,41,2,1,-1,0,0,FALSE,FALSE§Z¿)]]></VOFFF>
                              </ClmnBlkPtProps>
                              <FmtCnds>
                                <FmtCnd>
                                  <FmtCndProps>
                                    <CBPLI>1,1,109,2,1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1,1,109,2,1</CBPLI>
                                        <FCN>1</FCN>
                                        <I>True</I>
                                        <BI>7</BI>
                                        <LS>1</LS>
                                        <W>2</W>
                                      </BdrOvlyProps>
                                    </BdrOvly>
                                    <BdrOvly>
                                      <BdrOvlyProps>
                                        <PT>2</PT>
                                        <SON>0</SON>
                                        <CBPLI>1,1,109,2,1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5</ST>
                                <VOFFF><![CDATA[=§A¿0,1,0,1,99,1,1,-1,0,0,FALSE,FALSE§Z¿&" -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IF(§A¿0,1,0,1,101,2,1,-1,0,0,FALSE,FALSE§Z¿<>§A¿1,2,2,1,6,1,1,1,1§Z¿,0,IF(§A¿0,1,0,1,108,2,1,-1,0,0,FALSE,FALSE§Z¿=§A¿1,2,2,1,18,2,1,1,1§Z¿,§A¿0,1,0,1,109,2,1,-1,0,0,FALSE,FALSE§Z¿,§A¿0,1,0,1,106,2,1,-1,0,0,FALSE,FALSE§Z¿))]]></VOFFF>
                              </ClmnBlkPtProps>
                              <FmtCnds>
                                <FmtCnd>
                                  <FmtCndProps>
                                    <CBPLI>1,1,110,2,1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1,1,110,2,1</CBPLI>
                                        <FCN>1</FCN>
                                        <I>True</I>
                                        <BI>7</BI>
                                        <LS>1</LS>
                                        <W>2</W>
                                      </BdrOvlyProps>
                                    </BdrOvly>
                                    <BdrOvly>
                                      <BdrOvlyProps>
                                        <PT>2</PT>
                                        <SON>0</SON>
                                        <CBPLI>1,1,110,2,1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im Assessment - "&§A¿0,1,0,1,4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101,2,1,-1,0,0,FALSE,FALSE§Z¿<>§A¿1,2,2,1,6,1,1,1,1§Z¿,0,§A¿0,1,0,1,42,2,1,-1,0,0,FALSE,FALSE§Z¿)]]></VOFFF>
                              </ClmnBlkPtProps>
                              <FmtCnds>
                                <FmtCnd>
                                  <FmtCndProps>
                                    <CBPLI>1,1,111,2,1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1,1,111,2,1</CBPLI>
                                        <FCN>1</FCN>
                                        <I>True</I>
                                        <BI>7</BI>
                                        <LS>1</LS>
                                        <W>2</W>
                                      </BdrOvlyProps>
                                    </BdrOvly>
                                    <BdrOvly>
                                      <BdrOvlyProps>
                                        <PT>2</PT>
                                        <SON>0</SON>
                                        <CBPLI>1,1,111,2,1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Interim Assessment - Tax Payment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13</SON>
                                <VOFFF><![CDATA[=IF(§A¿0,1,0,1,101,2,1,-1,0,0,FALSE,FALSE§Z¿<>§A¿1,2,2,1,6,1,1,1,1§Z¿,0,EDATE(§A¿9,4,0,0,1,4,3,1,-1,0,0,TRUE,FALSE§Z¿,1+§A¿0,1,0,1,111,2,1,-1,0,0,FALSE,FALSE§Z¿)-1)]]></VOFFF>
                              </ClmnBlkPtProps>
                              <FmtCnds>
                                <FmtCnd>
                                  <FmtCndProps>
                                    <CBPLI>1,1,112,2,1</CBPLI>
                                    <FCN>1</FCN>
                                    <FCT>2</FCT>
                                    <FCO>1</FCO>
                                    <F1FFF><![CDATA[=§A¿0,1,0,1,101,2,1,-1,0,0,FALSE,FALSE§Z¿=§A¿1,2,2,1,6,1,1,1,1§Z¿]]></F1FFF>
                                    <F2FFF/>
                                    <SIT>False</SIT>
                                    <BSV>True</BSV>
                                    <BCT>0</BCT>
                                    <CNBCN>0</CNBCN>
                                    <BTAS>0</BTAS>
                                    <IST>1</IST>
                                    <RO>False</RO>
                                    <SIO>False</SIO>
                                    <TO>0</TO>
                                    <TS/>
                                    <DO>1</DO>
                                    <TB>1</TB>
                                    <R>10</R>
                                    <P>False</P>
                                    <AB>0</AB>
                                    <NSD>1</NSD>
                                    <DU>1</DU>
                                    <INF>False</INF>
                                    <NT>0</NT>
                                    <DP>0</DP>
                                    <CNF/>
                                  </FmtCndProps>
                                  <BdrOvlys>
                                    <BdrOvly>
                                      <BdrOvlyProps>
                                        <PT>2</PT>
                                        <SON>0</SON>
                                        <CBPLI>1,1,112,2,1</CBPLI>
                                        <FCN>1</FCN>
                                        <I>True</I>
                                        <BI>7</BI>
                                        <LS>1</LS>
                                        <W>2</W>
                                      </BdrOvlyProps>
                                    </BdrOvly>
                                    <BdrOvly>
                                      <BdrOvlyProps>
                                        <PT>2</PT>
                                        <SON>0</SON>
                                        <CBPLI>1,1,112,2,1</CBPLI>
                                        <FCN>1</FCN>
                                        <I>True</I>
                                        <BI>10</BI>
                                        <LS>1</LS>
                                        <W>2</W>
                                      </BdrOvlyProps>
                                    </BdrOvly>
                                    <BdrOvly>
                                      <BdrOvlyProps>
                                        <PT>2</PT>
                                        <SON>0</SON>
                                        <CBPLI>1,1,112,2,1</CBPLI>
                                        <FCN>1</FCN>
                                        <I>True</I>
                                        <BI>9</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5</ST>
                                <VOFFF><![CDATA[=§A¿0,1,0,1,99,1,1,-1,0,0,FALSE,FALSE§Z¿&" - Tax Pai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SUMIF(§A¿0,1,1,1,112,2,1,-1,0,0,FALSE,TRUE,1,112,2,1,-1,0,0,FALSE,FALSE§Z¿,§A¿9,4,0,0,1,5,3,1,-1,0,0,TRUE,FALSE§Z¿,§A¿0,1,1,1,110,2,1,-1,0,0,FALSE,TRUE,1,110,2,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nnual Tax Assessments]]></VOFFF>
                              </ClmnBlkPtProps>
                            </ClmnBlkPt>
                          </ClmnBlkPts>
                        </ClmnBlk>
                      </ClmnBlks>
                      <TtlCtg>
                        <TtlCtgProps>
                          <R>3</R>
                        </TtlCtgProps>
                      </TtlCtg>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Period]]></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6</ST>
                                <SON>12</SON>
                                <VOFFF><![CDATA[=IF(MONTH(§A¿9,4,0,0,1,5,3,1,-1,0,0,TRUE,FALSE§Z¿)=§A¿1,1,1,1,6,0,2,1,1§Z¿,§A¿1,2,2,1,6,1,1,1,1§Z¿,§A¿1,2,2,1,6,2,1,1,1§Z¿)]]></VOFFF>
                              </ClmnBlkPtProps>
                              <FmtCnds>
                                <FmtCnd>
                                  <FmtCndProps>
                                    <CBPLI>1,1,117,3,1</CBPLI>
                                    <FCN>1</FCN>
                                    <FCT>2</FCT>
                                    <FCO>1</FCO>
                                    <F1FFF><![CDATA[=§A¿0,1,0,1,117,3,1,-1,0,0,FALSE,FALSE§Z¿=§A¿1,2,2,1,6,1,1,1,1§Z¿]]></F1FFF>
                                    <F2FFF/>
                                    <SIT>False</SIT>
                                    <BSV>True</BSV>
                                    <BCT>0</BCT>
                                    <CNBCN>0</CNBCN>
                                    <BTAS>0</BTAS>
                                    <IST>1</IST>
                                    <RO>False</RO>
                                    <SIO>False</SIO>
                                    <TO>0</TO>
                                    <TS/>
                                    <DO>1</DO>
                                    <TB>1</TB>
                                    <R>10</R>
                                    <P>False</P>
                                    <AB>0</AB>
                                    <NSD>1</NSD>
                                    <DU>1</DU>
                                    <INF>False</INF>
                                    <NT>0</NT>
                                    <DP>0</DP>
                                    <CNF/>
                                  </FmtCndProps>
                                  <FntOvly>
                                    <FntOvlyProps>
                                      <PT>2</PT>
                                      <SON>0</SON>
                                      <CBPLI>1,1,117,3,1</CBPLI>
                                      <FCN>1</FCN>
                                      <CN>0</CN>
                                      <IB>True</IB>
                                      <II>True</II>
                                      <B>True</B>
                                      <I>False</I>
                                    </FntOvlyProps>
                                  </FntOvly>
                                  <BdrOvlys>
                                    <BdrOvly>
                                      <BdrOvlyProps>
                                        <PT>2</PT>
                                        <SON>0</SON>
                                        <CBPLI>1,1,117,3,1</CBPLI>
                                        <FCN>1</FCN>
                                        <I>True</I>
                                        <BI>7</BI>
                                        <LS>1</LS>
                                        <W>2</W>
                                      </BdrOvlyProps>
                                    </BdrOvly>
                                    <BdrOvly>
                                      <BdrOvlyProps>
                                        <PT>2</PT>
                                        <SON>0</SON>
                                        <CBPLI>1,1,117,3,1</CBPLI>
                                        <FCN>1</FCN>
                                        <I>True</I>
                                        <BI>10</BI>
                                        <LS>1</LS>
                                        <W>2</W>
                                      </BdrOvlyProps>
                                    </BdrOvly>
                                    <BdrOvly>
                                      <BdrOvlyProps>
                                        <PT>2</PT>
                                        <SON>0</SON>
                                        <CBPLI>1,1,117,3,1</CBPLI>
                                        <FCN>1</FCN>
                                        <I>True</I>
                                        <BI>8</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117,3,1,-1,0,0,FALSE,FALSE§Z¿<>§A¿1,2,2,1,6,1,1,1,1§Z¿,0,§A¿0,1,0,1,96,3,1,-1,0,0,FALSE,FALSE§Z¿)]]></VOFFF>
                              </ClmnBlkPtProps>
                              <FmtCnds>
                                <FmtCnd>
                                  <FmtCndProps>
                                    <CBPLI>1,1,118,2,1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1,1,118,2,1</CBPLI>
                                        <FCN>1</FCN>
                                        <I>True</I>
                                        <BI>7</BI>
                                        <LS>1</LS>
                                        <W>2</W>
                                      </BdrOvlyProps>
                                    </BdrOvly>
                                    <BdrOvly>
                                      <BdrOvlyProps>
                                        <PT>2</PT>
                                        <SON>0</SON>
                                        <CBPLI>1,1,118,2,1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Less) Total Interim Assessments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0,1,0,1,117,3,1,-1,0,0,FALSE,FALSE§Z¿<>§A¿1,2,2,1,6,1,1,1,1§Z¿,0,-SUMIF(§A¿0,1,1,1,79,2,1,-1,0,0,FALSE,TRUE,1,79,2,1,-1,0,0,FALSE,FALSE§Z¿,§A¿0,1,0,1,79,2,1,-1,0,0,FALSE,FALSE§Z¿,§A¿0,1,1,1,110,2,1,-1,0,0,FALSE,TRUE,1,110,2,1,-1,0,0,FALSE,FALSE§Z¿))]]></VOFFF>
                              </ClmnBlkPtProps>
                              <FmtCnds>
                                <FmtCnd>
                                  <FmtCndProps>
                                    <CBPLI>1,1,119,2,1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1,1,119,2,1</CBPLI>
                                        <FCN>1</FCN>
                                        <I>True</I>
                                        <BI>7</BI>
                                        <LS>1</LS>
                                        <W>2</W>
                                      </BdrOvlyProps>
                                    </BdrOvly>
                                    <BdrOvly>
                                      <BdrOvlyProps>
                                        <PT>2</PT>
                                        <SON>0</SON>
                                        <CBPLI>1,1,119,2,1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5</ST>
                                <VOFFF><![CDATA[=§A¿0,1,0,1,115,1,1,-1,0,0,FALSE,FALSE§Z¿&" - Tax Payable/(Refun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IF(§A¿0,1,0,1,117,3,1,-1,0,0,FALSE,FALSE§Z¿<>§A¿1,2,2,1,6,1,1,1,1§Z¿,0,§A¿0,1,0,1,118,2,1,-1,0,0,FALSE,FALSE§Z¿+§A¿0,1,0,1,119,2,1,-1,0,0,FALSE,FALSE§Z¿)]]></VOFFF>
                              </ClmnBlkPtProps>
                              <FmtCnds>
                                <FmtCnd>
                                  <FmtCndProps>
                                    <CBPLI>1,1,120,2,1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1,1,120,2,1</CBPLI>
                                        <FCN>1</FCN>
                                        <I>True</I>
                                        <BI>7</BI>
                                        <LS>1</LS>
                                        <W>2</W>
                                      </BdrOvlyProps>
                                    </BdrOvly>
                                    <BdrOvly>
                                      <BdrOvlyProps>
                                        <PT>2</PT>
                                        <SON>0</SON>
                                        <CBPLI>1,1,120,2,1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 "&§A¿0,1,0,1,47,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117,3,1,-1,0,0,FALSE,FALSE§Z¿<>§A¿1,2,2,1,6,1,1,1,1§Z¿,0,IF(§A¿0,1,0,1,120,2,1,-1,0,0,FALSE,FALSE§Z¿<0,0,§A¿0,1,0,1,47,2,1,-1,0,0,FALSE,FALSE§Z¿))]]></VOFFF>
                              </ClmnBlkPtProps>
                              <FmtCnds>
                                <FmtCnd>
                                  <FmtCndProps>
                                    <CBPLI>1,1,121,2,1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1,1,121,2,1</CBPLI>
                                        <FCN>1</FCN>
                                        <I>True</I>
                                        <BI>7</BI>
                                        <LS>1</LS>
                                        <W>2</W>
                                      </BdrOvlyProps>
                                    </BdrOvly>
                                    <BdrOvly>
                                      <BdrOvlyProps>
                                        <PT>2</PT>
                                        <SON>0</SON>
                                        <CBPLI>1,1,121,2,1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 "&§A¿0,1,0,1,48,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A¿0,1,0,1,117,3,1,-1,0,0,FALSE,FALSE§Z¿<>§A¿1,2,2,1,6,1,1,1,1§Z¿,0,IF(§A¿0,1,0,1,120,2,1,-1,0,0,FALSE,FALSE§Z¿>=0,0,§A¿0,1,0,1,48,2,1,-1,0,0,FALSE,FALSE§Z¿))]]></VOFFF>
                              </ClmnBlkPtProps>
                              <FmtCnds>
                                <FmtCnd>
                                  <FmtCndProps>
                                    <CBPLI>1,1,122,2,1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1,1,122,2,1</CBPLI>
                                        <FCN>1</FCN>
                                        <I>True</I>
                                        <BI>7</BI>
                                        <LS>1</LS>
                                        <W>2</W>
                                      </BdrOvlyProps>
                                    </BdrOvly>
                                    <BdrOvly>
                                      <BdrOvlyProps>
                                        <PT>2</PT>
                                        <SON>0</SON>
                                        <CBPLI>1,1,122,2,1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 Tax Payment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14</SON>
                                <VOFFF><![CDATA[=IF(§A¿0,1,0,1,117,3,1,-1,0,0,FALSE,FALSE§Z¿<>§A¿1,2,2,1,6,1,1,1,1§Z¿,0,IF(§A¿0,1,0,1,120,2,1,-1,0,0,FALSE,FALSE§Z¿<0,0,EDATE(§A¿9,4,0,0,1,4,3,1,-1,0,0,TRUE,FALSE§Z¿,1+§A¿0,1,0,1,121,2,1,-1,0,0,FALSE,FALSE§Z¿)-1))]]></VOFFF>
                              </ClmnBlkPtProps>
                              <FmtCnds>
                                <FmtCnd>
                                  <FmtCndProps>
                                    <CBPLI>1,1,123,2,1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1,1,123,2,1</CBPLI>
                                        <FCN>1</FCN>
                                        <I>True</I>
                                        <BI>7</BI>
                                        <LS>1</LS>
                                        <W>2</W>
                                      </BdrOvlyProps>
                                    </BdrOvly>
                                    <BdrOvly>
                                      <BdrOvlyProps>
                                        <PT>2</PT>
                                        <SON>0</SON>
                                        <CBPLI>1,1,123,2,1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 Tax Refund Receipt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15</SON>
                                <VOFFF><![CDATA[=IF(§A¿0,1,0,1,117,3,1,-1,0,0,FALSE,FALSE§Z¿<>§A¿1,2,2,1,6,1,1,1,1§Z¿,0,IF(§A¿0,1,0,1,120,2,1,-1,0,0,FALSE,FALSE§Z¿>=0,0,EDATE(§A¿9,4,0,0,1,4,3,1,-1,0,0,TRUE,FALSE§Z¿,1+§A¿0,1,0,1,122,2,1,-1,0,0,FALSE,FALSE§Z¿)-1))]]></VOFFF>
                              </ClmnBlkPtProps>
                              <FmtCnds>
                                <FmtCnd>
                                  <FmtCndProps>
                                    <CBPLI>1,1,124,2,1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1,1,124,2,1</CBPLI>
                                        <FCN>1</FCN>
                                        <I>True</I>
                                        <BI>7</BI>
                                        <LS>1</LS>
                                        <W>2</W>
                                      </BdrOvlyProps>
                                    </BdrOvly>
                                    <BdrOvly>
                                      <BdrOvlyProps>
                                        <PT>2</PT>
                                        <SON>0</SON>
                                        <CBPLI>1,1,124,2,1</CBPLI>
                                        <FCN>1</FCN>
                                        <I>True</I>
                                        <BI>10</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Annual Assessment - Tax Payment/Refund Month]]></VOFFF>
                              </ClmnBlkPtProps>
                            </ClmnBlkPt>
                          </ClmnBlkPts>
                        </ClmnBlk>
                        <ClmnBlk>
                          <ClmnBlkProps>
                            <FCPT>3</FCPT>
                            <FCN>10</FCN>
                            <FCOT>0</FCOT>
                            <FCOC>0</FCOC>
                            <FCPTBMCN>4</FCPTBMCN>
                            <FCPTBN>3</FCPTBN>
                            <LCPT>3</LCPT>
                            <LCN>45</LCN>
                            <LCOT>1</LCOT>
                            <LCOC>0</LCOC>
                            <LCPTBMCN>4</LCPTBMCN>
                            <LCPTBN>3</LCPTBN>
                          </ClmnBlkProps>
                          <ClmnBlkPts>
                            <ClmnBlkPt>
                              <ClmnBlkPtProps>
                                <CBPT>5</CBPT>
                                <ST>17</ST>
                                <SON>13</SON>
                                <VOFFF><![CDATA[=IF(§A¿0,1,0,1,117,3,1,-1,0,0,FALSE,FALSE§Z¿<>§A¿1,2,2,1,6,1,1,1,1§Z¿,0,IF(§A¿0,1,0,1,120,2,1,-1,0,0,FALSE,FALSE§Z¿<0,§A¿0,1,0,1,124,2,1,-1,0,0,FALSE,FALSE§Z¿,§A¿0,1,0,1,123,2,1,-1,0,0,FALSE,FALSE§Z¿))]]></VOFFF>
                              </ClmnBlkPtProps>
                              <FmtCnds>
                                <FmtCnd>
                                  <FmtCndProps>
                                    <CBPLI>1,1,125,2,1</CBPLI>
                                    <FCN>1</FCN>
                                    <FCT>2</FCT>
                                    <FCO>1</FCO>
                                    <F1FFF><![CDATA[=§A¿0,1,0,1,117,3,1,-1,0,0,FALSE,FALSE§Z¿=§A¿1,2,2,1,6,1,1,1,1§Z¿]]></F1FFF>
                                    <F2FFF/>
                                    <SIT>False</SIT>
                                    <BSV>True</BSV>
                                    <BCT>0</BCT>
                                    <CNBCN>0</CNBCN>
                                    <BTAS>0</BTAS>
                                    <IST>1</IST>
                                    <RO>False</RO>
                                    <SIO>False</SIO>
                                    <TO>0</TO>
                                    <TS/>
                                    <DO>1</DO>
                                    <TB>1</TB>
                                    <R>10</R>
                                    <P>False</P>
                                    <AB>0</AB>
                                    <NSD>1</NSD>
                                    <DU>1</DU>
                                    <INF>False</INF>
                                    <NT>0</NT>
                                    <DP>0</DP>
                                    <CNF/>
                                  </FmtCndProps>
                                  <BdrOvlys>
                                    <BdrOvly>
                                      <BdrOvlyProps>
                                        <PT>2</PT>
                                        <SON>0</SON>
                                        <CBPLI>1,1,125,2,1</CBPLI>
                                        <FCN>1</FCN>
                                        <I>True</I>
                                        <BI>7</BI>
                                        <LS>1</LS>
                                        <W>2</W>
                                      </BdrOvlyProps>
                                    </BdrOvly>
                                    <BdrOvly>
                                      <BdrOvlyProps>
                                        <PT>2</PT>
                                        <SON>0</SON>
                                        <CBPLI>1,1,125,2,1</CBPLI>
                                        <FCN>1</FCN>
                                        <I>True</I>
                                        <BI>10</BI>
                                        <LS>1</LS>
                                        <W>2</W>
                                      </BdrOvlyProps>
                                    </BdrOvly>
                                    <BdrOvly>
                                      <BdrOvlyProps>
                                        <PT>2</PT>
                                        <SON>0</SON>
                                        <CBPLI>1,1,125,2,1</CBPLI>
                                        <FCN>1</FCN>
                                        <I>True</I>
                                        <BI>9</BI>
                                        <LS>1</LS>
                                        <W>2</W>
                                      </BdrOvlyProps>
                                    </BdrOvly>
                                  </BdrOvlys>
                                </FmtCnd>
                              </FmtCnd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5</ST>
                                <VOFFF><![CDATA[=§A¿0,1,0,1,115,1,1,-1,0,0,FALSE,FALSE§Z¿&" - Tax Paid/(Receive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SUMIF(§A¿0,1,1,1,125,2,1,-1,0,0,FALSE,TRUE,1,125,2,1,-1,0,0,FALSE,FALSE§Z¿,§A¿9,4,0,0,1,5,3,1,-1,0,0,TRUE,FALSE§Z¿,§A¿0,1,1,1,120,2,1,-1,0,0,FALSE,TRUE,1,120,2,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Tax Payable & Paid]]></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Balanc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1,§A¿0,1,0,1,12,2,1,-1,0,0,TRUE,TRUE§Z¿,§A¿0,1,0,1,135,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Payable - Create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97,2,1,-1,0,0,FALSE,FALSE§Z¿]]></VOFFF>
                              </ClmnBlkPtProps>
                            </ClmnBlkPt>
                          </ClmnBlkPts>
                        </ClmnBlk>
                      </ClmnBlk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Opening Tax Payable - Payments]]></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IF(§A¿9,4,0,0,1,6,3,1,-1,0,0,TRUE,FALSE§Z¿=§A¿0,1,0,1,13,2,1,-1,0,0,TRUE,TRUE§Z¿,-§A¿0,1,0,1,130,2,1,-1,0,0,FALSE,TRUE§Z¿*§A¿0,1,0,1,14,2,1,-1,0,0,TRUE,TRUE§Z¿,IF(AND(§A¿9,4,0,0,1,6,3,1,-1,0,0,TRUE,FALSE§Z¿>§A¿0,1,0,1,13,2,1,-1,0,0,TRUE,TRUE§Z¿,NOT(ISERROR(MATCH(§A¿9,4,0,0,1,5,3,1,-1,0,0,TRUE,FALSE§Z¿,§A¿0,1,1,1,112,2,1,-1,0,0,FALSE,TRUE,1,112,2,1,-1,0,0,FALSE,FALSE§Z¿,0)))),-(§A¿0,1,0,1,130,2,1,-1,0,0,FALSE,TRUE§Z¿+SUM(§A¿0,1,1,1,132,2,1,-1,0,0,FALSE,TRUE,1,132,2,1,-1,0,0,FALSE,FALSE§Z¿)),0))]]></VOFFF>
                              </ClmnBlkPtProp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Periodic Tax Payable -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6</SON>
                                <VOFFF><![CDATA[=-§A¿0,1,0,1,113,2,1,-1,0,0,FALSE,FALSE§Z¿-§A¿0,1,0,1,126,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ax Payable - Paid During Period]]></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SUM(§A¿0,1,1,1,132,3,1,-1,0,0,FALSE,FALSE,1,133,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Closing Tax Payable]]></VOFFF>
                              </ClmnBlkPtProps>
                            </ClmnBlkPt>
                          </ClmnBlkPts>
                        </ClmnBlk>
                        <ClmnBlk>
                          <ClmnBlkProps>
                            <FCPT>3</FCPT>
                            <FCN>9</FCN>
                            <FCOT>0</FCOT>
                            <FCOC>6</FCOC>
                            <FCPTBMCN>4</FCPTBMCN>
                            <FCPTBN>2</FCPTBN>
                            <LCPT>3</LCPT>
                            <LCN>9</LCN>
                            <LCOT>1</LCOT>
                            <LCOC>0</LCOC>
                            <LCPTBMCN>4</LCPTBMCN>
                            <LCPTBN>2</LCPTBN>
                          </ClmnBlkProps>
                          <ClmnBlkPts>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SUM(§A¿0,1,1,1,130,2,1,-1,0,0,FALSE,FALSE,1,131,2,1,-1,0,0,FALSE,FALSE§Z¿,§A¿0,1,0,1,134,2,1,-1,0,0,FALSE,FALSE§Z¿)]]></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4</ST>
                                <VOFFF><![CDATA[Summary]]></VOFFF>
                              </ClmnBlkPtProps>
                            </ClmnBlkPt>
                          </ClmnBlkPts>
                        </ClmnBlk>
                        <ClmnBlk>
                          <ClmnBlkProps>
                            <FCPT>3</FCPT>
                            <FCN>3</FCN>
                            <FCOT>0</FCOT>
                            <FCOC>0</FCOC>
                            <FCPTBMCN>4</FCPTBMCN>
                            <FCPTBN>2</FCPTBN>
                            <LCPT>3</LCPT>
                            <LCN>45</LCN>
                            <LCOT>1</LCOT>
                            <LCOC>0</LCOC>
                            <LCPTBMCN>4</LCPTBMCN>
                            <LCPTBN>3</LCPTBN>
                          </ClmnBlkProps>
                          <ClmnBlkPts>
                            <ClmnBlkPt>
                              <ClmnBlkPtProps>
                                <CBPT>5</CBPT>
                                <ST>4</ST>
                                <VOFFF/>
                              </ClmnBlkPtProps>
                            </ClmnBlkPt>
                          </ClmnBlkPts>
                        </ClmnBlk>
                      </ClmnBlks>
                      <TtlCtg>
                        <TtlCtgProps>
                          <R>3</R>
                        </TtlCtgProps>
                      </TtlCtg>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52,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52,2,1,-1,0,0,FALSE,FALSE§Z¿]]></VOFFF>
                              </ClmnBlkPtProps>
                            </ClmnBlkPt>
                          </ClmnBlkPts>
                        </ClmnBlk>
                      </ClmnBlks>
                      <TtlCtg>
                        <TtlCtgProps>
                          <R>3</R>
                        </TtlCtgProps>
                      </TtlCtg>
                      <ElmtLnksOut>
                        <ElmtLnk>
                          <ElmtLnkProps>
                            <ELI>1,1,139</ELI>
                            <ELN>1</ELN>
                            <ELGN>1</ELGN>
                            <MLG>77A6ED45-36AA-4638-A7B6-EB0762A68C7E</MLG>
                            <ICBI>1,2</ICBI>
                            <ILBN>1,2</ILBN>
                            <LIBN>0</LIBN>
                          </ElmtLnkProps>
                        </ElmtLnk>
                      </ElmtLnksOut>
                    </Elmt>
                    <Elmt>
                      <ElmtProps>
                        <CPT>2</CPT>
                      </ElmtProp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28,1,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30,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0,2,1,-1,0,0,FALSE,FALSE§Z¿]]></VOFFF>
                              </ClmnBlkPtProps>
                            </ClmnBlkPt>
                          </ClmnBlkPts>
                        </ClmnBlk>
                      </ClmnBlks>
                      <TtlCtg>
                        <TtlCtgProps>
                          <R>3</R>
                        </TtlCtgProps>
                      </TtlCtg>
                      <ElmtLnksOut>
                        <ElmtLnk>
                          <ElmtLnkProps>
                            <ELI>1,1,142</ELI>
                            <ELN>1</ELN>
                            <ELGN>1</ELGN>
                            <MLG>AD4FA653-2705-40E7-B408-2B9492CD0D2B</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31,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1,2,1,-1,0,0,FALSE,FALSE§Z¿]]></VOFFF>
                              </ClmnBlkPtProps>
                            </ClmnBlkPt>
                          </ClmnBlkPts>
                        </ClmnBlk>
                      </ClmnBlks>
                      <TtlCtg>
                        <TtlCtgProps>
                          <R>3</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1,0,1,134,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134,2,1,-1,0,0,FALSE,FALSE§Z¿]]></VOFFF>
                              </ClmnBlkPtProps>
                            </ClmnBlkPt>
                          </ClmnBlkPts>
                        </ClmnBlk>
                      </ClmnBlks>
                      <TtlCtg>
                        <TtlCtgProps>
                          <R>3</R>
                        </TtlCtgProps>
                      </TtlCtg>
                      <ElmtLnksOut>
                        <ElmtLnk>
                          <ElmtLnkProps>
                            <ELI>1,1,144</ELI>
                            <ELN>1</ELN>
                            <ELGN>1</ELGN>
                            <MLG>9E6CB774-CC83-4C69-929B-6EB6EB1972B4</MLG>
                            <ICBI>1,2</ICBI>
                            <ILBN>1,2</ILBN>
                            <LIBN>0</LIBN>
                          </ElmtLnkProps>
                        </ElmtLnk>
                      </ElmtLnksOut>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135,1,1,-1,0,0,FALSE,FALSE§Z¿]]></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8</SON>
                                <VOFFF><![CDATA[=§A¿0,1,0,1,135,3,1,-1,0,0,FALSE,FALSE§Z¿]]></VOFFF>
                              </ClmnBlkPtProps>
                            </ClmnBlkPt>
                          </ClmnBlkPts>
                        </ClmnBlk>
                      </ClmnBlks>
                      <TtlCtg>
                        <TtlCtgProps>
                          <R>3</R>
                        </TtlCtgProps>
                      </TtlCtg>
                      <ElmtLnksOut>
                        <ElmtLnk>
                          <ElmtLnkProps>
                            <ELI>1,1,145</ELI>
                            <ELN>1</ELN>
                            <ELGN>1</ELGN>
                            <MLG>0B22A752-C4C7-40A7-AC6D-6908AE373C53</MLG>
                            <ICBI>1,2</ICBI>
                            <ILBN>1,2</ILBN>
                            <LIBN>0</LIBN>
                          </ElmtLnkProps>
                        </ElmtLnk>
                      </ElmtLnksOut>
                    </Elmt>
                    <Elmt>
                      <ElmtProps>
                        <CPT>2</CPT>
                      </ElmtProps>
                      <TtlCtg>
                        <TtlCtgProps>
                          <R>3</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1,0,1,139,2,1,-1,0,0,FALSE,FALSE§Z¿+§A¿0,1,0,1,145,2,1,-1,0,0,FALSE,FALSE§Z¿),1,0)]]></VOFFF>
                              </ClmnBlkPtProps>
                              <FmtCnds>
                                <FmtCnd>
                                  <FmtCndProps>
                                    <CBPLI>1,1,147,2,1</CBPLI>
                                    <FCN>1</FCN>
                                    <FCT>1</FCT>
                                    <FCO>4</FCO>
                                    <F1FFF><![CDATA[=0]]></F1FFF>
                                    <F2FFF/>
                                    <SIT>False</SIT>
                                    <BSV>True</BSV>
                                    <BCT>0</BCT>
                                    <CNBCN>0</CNBCN>
                                    <BTAS>0</BTAS>
                                    <IST>1</IST>
                                    <RO>False</RO>
                                    <SIO>False</SIO>
                                    <TO>0</TO>
                                    <TS/>
                                    <DO>1</DO>
                                    <TB>1</TB>
                                    <R>10</R>
                                    <P>False</P>
                                    <AB>0</AB>
                                    <NSD>1</NSD>
                                    <DU>1</DU>
                                    <INF>False</INF>
                                    <NT>0</NT>
                                    <DP>0</DP>
                                    <CNF/>
                                  </FmtCndProps>
                                  <FntOvly>
                                    <FntOvlyProps>
                                      <PT>2</PT>
                                      <SON>0</SON>
                                      <CBPLI>1,1,147,2,1</CBPLI>
                                      <FCN>1</FCN>
                                      <CN>0</CN>
                                      <IB>True</IB>
                                      <IC>True</IC>
                                      <B>True</B>
                                      <CT>2</CT>
                                      <CNU>3</CNU>
                                      <CPR>0</CPR>
                                      <TAS>0</TAS>
                                    </FntOvlyProps>
                                  </FntOvly>
                                </FmtCnd>
                              </FmtCnds>
                            </ClmnBlkPt>
                          </ClmnBlkPts>
                        </ClmnBlk>
                      </ClmnBlks>
                      <TtlCtg>
                        <TtlCtgProps>
                          <R>1</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in Balancing of Tax Payable]]></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A¿0,1,0,1,147,2,1,-1,0,0,FALSE,FALSE§Z¿<>0,0,IF(ROUND(§A¿0,1,0,1,145,2,1,-1,0,0,FALSE,FALSE§Z¿-SUM(§A¿0,1,1,1,142,2,1,-1,0,0,FALSE,FALSE,1,144,2,1,-1,0,0,FALSE,FALSE§Z¿),5)<>0,1,0))]]></VOFFF>
                              </ClmnBlkPtProps>
                              <FmtCnds>
                                <FmtCnd>
                                  <FmtCndProps>
                                    <CBPLI>1,1,148,2,1</CBPLI>
                                    <FCN>1</FCN>
                                    <FCT>1</FCT>
                                    <FCO>4</FCO>
                                    <F1FFF><![CDATA[=0]]></F1FFF>
                                    <F2FFF/>
                                    <SIT>False</SIT>
                                    <BSV>True</BSV>
                                    <BCT>0</BCT>
                                    <CNBCN>0</CNBCN>
                                    <BTAS>0</BTAS>
                                    <IST>1</IST>
                                    <RO>False</RO>
                                    <SIO>False</SIO>
                                    <TO>0</TO>
                                    <TS/>
                                    <DO>1</DO>
                                    <TB>1</TB>
                                    <R>10</R>
                                    <P>False</P>
                                    <AB>0</AB>
                                    <NSD>1</NSD>
                                    <DU>1</DU>
                                    <INF>False</INF>
                                    <NT>0</NT>
                                    <DP>0</DP>
                                    <CNF/>
                                  </FmtCndProps>
                                  <FntOvly>
                                    <FntOvlyProps>
                                      <PT>2</PT>
                                      <SON>0</SON>
                                      <CBPLI>1,1,148,2,1</CBPLI>
                                      <FCN>1</FCN>
                                      <CN>0</CN>
                                      <IB>True</IB>
                                      <IC>True</IC>
                                      <B>True</B>
                                      <CT>2</CT>
                                      <CNU>3</CNU>
                                      <CPR>0</CPR>
                                      <TAS>0</TAS>
                                    </FntOvlyProps>
                                  </FntOvly>
                                </FmtCnd>
                              </FmtCnd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Total Error Checks Result]]></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5</SON>
                                <VOFFF><![CDATA[=IF(ISERROR(SUM(§A¿0,1,1,1,149,3,1,0,0,0,FALSE,FALSE,1,149,3,1,0,1,0,FALSE,FALSE§Z¿)),1,MIN(SUM(§A¿0,1,1,1,149,3,1,0,0,0,FALSE,FALSE,1,149,3,1,0,1,0,FALSE,FALSE§Z¿),1))]]></VOFFF>
                              </ClmnBlkPtProps>
                              <Chk>
                                <ChkProps>
                                  <CBPLI>1,1,149,2,1</CBPLI>
                                  <CT>0</CT>
                                  <CN>4</CN>
                                  <HST>1</HST>
                                  <CHT/>
                                  <HCBPLI>1,1,2,1,1</HCBPLI>
                                </ChkProps>
                              </Chk>
                              <Cmts>
                                <Cmt>
                                  <CmtProps>
                                    <CBPLI>1,1,149,2,1</CBPLI>
                                    <WRN>1</WRN>
                                    <ERT>5</ERT>
                                    <COSTN>0</COSTN>
                                    <OC>0</OC>
                                    <HT><![CDATA[Error Check]]></HT>
                                    <HFS>0</HFS>
                                    <BT><![CDATA[Flags the existence of errors.]]></BT>
                                    <BFS>0</BFS>
                                    <H>57</H>
                                    <W>128</W>
                                  </CmtProps>
                                </Cmt>
                              </Cmts>
                              <FmtCnds>
                                <FmtCnd>
                                  <FmtCndProps>
                                    <CBPLI>1,1,149,2,1</CBPLI>
                                    <FCN>1</FCN>
                                    <FCT>1</FCT>
                                    <FCO>4</FCO>
                                    <F1FFF><![CDATA[=0]]></F1FFF>
                                    <F2FFF/>
                                    <SIT>False</SIT>
                                    <BSV>True</BSV>
                                    <BCT>0</BCT>
                                    <CNBCN>0</CNBCN>
                                    <BTAS>0</BTAS>
                                    <IST>1</IST>
                                    <RO>False</RO>
                                    <SIO>False</SIO>
                                    <TO>0</TO>
                                    <TS/>
                                    <DO>1</DO>
                                    <TB>1</TB>
                                    <R>10</R>
                                    <P>False</P>
                                    <AB>0</AB>
                                    <NSD>1</NSD>
                                    <DU>1</DU>
                                    <INF>False</INF>
                                    <NT>0</NT>
                                    <DP>0</DP>
                                    <CNF/>
                                  </FmtCndProps>
                                  <FntOvly>
                                    <FntOvlyProps>
                                      <PT>2</PT>
                                      <SON>0</SON>
                                      <CBPLI>1,1,149,2,1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9</SON>
                                <VOFFF><![CDATA[=IF(ISERROR(SUM(§A¿0,1,1,1,147,2,1,-1,0,0,FALSE,FALSE,1,148,2,1,-1,0,0,FALSE,FALSE§Z¿)),1,MIN(1,SUM(§A¿0,1,1,1,147,2,1,-1,0,0,FALSE,FALSE,1,148,2,1,-1,0,0,FALSE,FALSE§Z¿)))]]></VOFFF>
                              </ClmnBlkPtProps>
                              <FmtCnds>
                                <FmtCnd>
                                  <FmtCndProps>
                                    <CBPLI>1,1,149,3,1</CBPLI>
                                    <FCN>1</FCN>
                                    <FCT>1</FCT>
                                    <FCO>4</FCO>
                                    <F1FFF><![CDATA[=0]]></F1FFF>
                                    <F2FFF/>
                                    <SIT>False</SIT>
                                    <BSV>True</BSV>
                                    <BCT>0</BCT>
                                    <CNBCN>0</CNBCN>
                                    <BTAS>0</BTAS>
                                    <IST>1</IST>
                                    <RO>False</RO>
                                    <SIO>False</SIO>
                                    <TO>0</TO>
                                    <TS/>
                                    <DO>1</DO>
                                    <TB>1</TB>
                                    <R>10</R>
                                    <P>False</P>
                                    <AB>0</AB>
                                    <NSD>1</NSD>
                                    <DU>1</DU>
                                    <INF>False</INF>
                                    <NT>0</NT>
                                    <DP>0</DP>
                                    <CNF/>
                                  </FmtCndProps>
                                  <FntOvly>
                                    <FntOvlyProps>
                                      <PT>2</PT>
                                      <SON>0</SON>
                                      <CBPLI>1,1,149,3,1</CBPLI>
                                      <FCN>1</FCN>
                                      <CN>0</CN>
                                      <IB>True</IB>
                                      <IC>True</IC>
                                      <B>True</B>
                                      <CT>2</CT>
                                      <CNU>3</CNU>
                                      <CPR>0</CPR>
                                      <TAS>0</TAS>
                                    </FntOvlyProps>
                                  </FntOvly>
                                </FmtCnd>
                              </FmtCnds>
                            </ClmnBlkPt>
                          </ClmnBlkPts>
                        </ClmnBlk>
                      </ClmnBlks>
                      <TtlCtg>
                        <TtlCtgProps>
                          <R>3</R>
                        </TtlCtgProps>
                      </TtlCtg>
                    </Elmt>
                  </Elmts>
                </Sect>
              </Sects>
              <Ctrls>
                <Ctrl>
                  <CtrlProps>
                    <MN>46</MN>
                    <MCN>1</MCN>
                    <SIT>0</SIT>
                    <TLCRSN>1</TLCRSN>
                    <TLCREN>6</TLCREN>
                    <TLCRSRT>5</TLCRSRT>
                    <TLCCPT>3</TLCCPT>
                    <TLCCN>8</TLCCN>
                    <TLCCOT>0</TLCCOT>
                    <TLCCOC>5</TLCCOC>
                    <TLCCPTBMCN>0</TLCCPTBMCN>
                    <TLCCPTBN>0</TLCCPTBN>
                    <BRCRSN>1</BRCRSN>
                    <BRCREN>6</BRCREN>
                    <BRCRSRT>5</BRCRSRT>
                    <BRCCPT>3</BRCCPT>
                    <BRCCN>9</BRCCN>
                    <BRCCOT>1</BRCCOT>
                    <BRCCOC>0</BRCCOC>
                    <BRCCPTBMCN>4</BRCCPTBMCN>
                    <BRCCPTBN>2</BRCCPTBN>
                    <P>1</P>
                    <HAL>-4131</HAL>
                    <WA>1</WA>
                    <VA>-4108</VA>
                    <HAD>1</HAD>
                    <TI>0</TI>
                    <CT>0</CT>
                    <N/>
                    <D3DS>False</D3DS>
                    <PO>True</PO>
                    <L>True</L>
                    <OA/>
                    <T/>
                    <THA>-4108</THA>
                    <TVA>-4108</TVA>
                    <LT>True</LT>
                    <LCFFA><![CDATA[§A¿1,1,1,1,6,0,2,1,1§Z¿]]></LCFFA>
                    <LCCA/>
                    <CV>1</CV>
                    <MIV>0</MIV>
                    <MAV>100</MAV>
                    <SC>1</SC>
                    <LC>10</LC>
                    <LFRFFA><![CDATA[§A¿1,1,2,1,14,0,1,1,1§Z¿]]></LFRFFA>
                    <LFRCA/>
                    <DDL>0</DDL>
                  </CtrlProps>
                </Ctrl>
              </Ctrls>
            </ModComp>
            <ModComp>
              <ModCompProps>
                <MN>46</MN>
                <MCN>2</MCN>
                <MCTK>LU</MCTK>
                <RT><![CDATA[<ModuleName> - Lookups]]></RT>
                <ERN>MODMC45</ERN>
                <MCST>3</MCST>
                <IPMC>False</IPMC>
                <SN>19</SN>
                <LODS>False</LODS>
                <LST>False</LST>
                <RSTF>False</RSTF>
                <STRA>0</STRA>
                <HS>False</HS>
                <IBOA>0</IBOA>
                <IB>False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9</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3</R>
                        </TtlCtgProps>
                      </TtlCtg>
                    </Elmt>
                    <Elmt>
                      <ElmtProps>
                        <CPT>2</CPT>
                      </ElmtProps>
                      <ClmnBlks>
                        <ClmnBlk>
                          <ClmnBlkProps>
                            <FCPT>0</FCPT>
                            <FCN>3</FCN>
                            <LCPT>0</LCPT>
                            <LCN>5</LCN>
                          </ClmnBlkProps>
                          <ClmnBlkPts>
                            <ClmnBlkPt>
                              <ClmnBlkPtProps>
                                <CBPT>5</CBPT>
                                <ST>4</ST>
                                <MC>True</MC>
                                <VOFFF><![CDATA[Yes/No Lookup]]></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2</EGN>
                      </ElmtProps>
                      <ClmnBlks>
                        <ClmnBlk>
                          <ClmnBlkProps>
                            <FCPT>0</FCPT>
                            <FCN>4</FCN>
                            <LCPT>0</LCPT>
                            <LCN>4</LCN>
                          </ClmnBlkProps>
                          <ClmnBlkPts>
                            <ClmnBlkPt>
                              <ClmnBlkPtProps>
                                <CBPT>0</CBPT>
                                <ST>25</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Yes/No]]></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 ]]></VOFFF>
                              </ClmnBlkPtProps>
                            </ClmnBlkPt>
                          </ClmnBlkPts>
                        </ClmnBlk>
                      </ClmnBlks>
                      <SubTtls>
                        <SubTtl>
                          <SubTtlHdgRow>
                            <SubTtlHdgRowProps>
                              <STLI>2,1,6,1</STLI>
                              <R>0</R>
                            </SubTtlHdgRowProps>
                          </SubTtlHdgRow>
                          <Ctgs>
                            <Ctg>
                              <CtgProps>
                                <R>3</R>
                              </CtgProps>
                              <LuTblLbl>
                                <LuTblLblProps>
                                  <CLI>2,1,6,False,1</CLI>
                                  <L><![CDATA[Yes]]></L>
                                </LuTblLblProps>
                                <RgeNmes>
                                  <RgeNme>
                                    <RgeNmeProps>
                                      <CBPLI>2,1,6,1,1</CBPLI>
                                      <MCN>2</MCN>
                                      <SN>1</SN>
                                      <EN>6</EN>
                                      <CN>1</CN>
                                      <CBN>1</CBN>
                                      <CBPN>1</CBPN>
                                      <PT>2</PT>
                                      <CBPRNT>8</CBPRNT>
                                      <NT>-1</NT>
                                      <SP1><![CDATA[Yes]]></SP1>
                                      <SP2/>
                                      <FFF/>
                                      <CMT/>
                                    </RgeNmeProps>
                                  </RgeNme>
                                </RgeNmes>
                              </LuTblLbl>
                            </Ctg>
                            <Ctg>
                              <CtgProps>
                                <R>3</R>
                              </CtgProps>
                              <LuTblLbl>
                                <LuTblLblProps>
                                  <CLI>2,1,6,False,2</CLI>
                                  <L><![CDATA[No]]></L>
                                </LuTblLblProps>
                                <RgeNmes>
                                  <RgeNme>
                                    <RgeNmeProps>
                                      <CBPLI>2,1,6,1,1</CBPLI>
                                      <MCN>2</MCN>
                                      <SN>1</SN>
                                      <EN>6</EN>
                                      <CN>2</CN>
                                      <CBN>1</CBN>
                                      <CBPN>1</CBPN>
                                      <PT>2</PT>
                                      <CBPRNT>8</CBPRNT>
                                      <NT>-1</NT>
                                      <SP1><![CDATA[No]]></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Interim Tax Assessment Frequenci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3</EGN>
                      </ElmtProps>
                      <ClmnBlks>
                        <ClmnBlk>
                          <ClmnBlkProps>
                            <FCPT>0</FCPT>
                            <FCN>4</FCN>
                            <LCPT>0</LCPT>
                            <LCN>4</LCN>
                          </ClmnBlkProps>
                          <ClmnBlkPts>
                            <ClmnBlkPt>
                              <ClmnBlkPtProps>
                                <CBPT>0</CBPT>
                                <ST>25</ST>
                                <VOFFF/>
                              </ClmnBlkPtProps>
                              <RgeNmes>
                                <RgeNme>
                                  <RgeNmeProps>
                                    <CBPLI>2,1,10,1,1</CBPLI>
                                    <MCN>2</MCN>
                                    <SN>1</SN>
                                    <EN>10</EN>
                                    <CN>0</CN>
                                    <CBN>1</CBN>
                                    <CBPN>1</CBPN>
                                    <PT>1</PT>
                                    <CBPRNT>2</CBPRNT>
                                    <NT>11</NT>
                                    <SP1><![CDATA[Assess_Freq]]></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Interim Tax Assessment Frequency]]></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Corp_Tax_Assess_Freq]]></VOFFF>
                              </ClmnBlkPtProps>
                            </ClmnBlkPt>
                          </ClmnBlkPts>
                        </ClmnBlk>
                      </ClmnBlks>
                      <SubTtls>
                        <SubTtl>
                          <SubTtlHdgRow>
                            <SubTtlHdgRowProps>
                              <STLI>2,1,10,1</STLI>
                              <R>0</R>
                            </SubTtlHdgRowProps>
                          </SubTtlHdgRow>
                          <Ctgs>
                            <Ctg>
                              <CtgProps>
                                <R>3</R>
                              </CtgProps>
                              <LuTblLbl>
                                <LuTblLblProps>
                                  <CLI>2,1,10,False,1</CLI>
                                  <L><![CDATA[None]]></L>
                                </LuTblLblProps>
                                <RgeNmes>
                                  <RgeNme>
                                    <RgeNmeProps>
                                      <CBPLI>2,1,10,1,1</CBPLI>
                                      <MCN>2</MCN>
                                      <SN>1</SN>
                                      <EN>10</EN>
                                      <CN>1</CN>
                                      <CBN>1</CBN>
                                      <CBPN>1</CBPN>
                                      <PT>2</PT>
                                      <CBPRNT>8</CBPRNT>
                                      <NT>-1</NT>
                                      <SP1><![CDATA[Assess_Freq_None]]></SP1>
                                      <SP2/>
                                      <FFF/>
                                      <CMT/>
                                    </RgeNmeProps>
                                  </RgeNme>
                                </RgeNmes>
                              </LuTblLbl>
                            </Ctg>
                            <Ctg>
                              <CtgProps>
                                <R>3</R>
                              </CtgProps>
                              <LuTblLbl>
                                <LuTblLblProps>
                                  <CLI>2,1,10,False,2</CLI>
                                  <L><![CDATA[Monthly]]></L>
                                </LuTblLblProps>
                                <RgeNmes>
                                  <RgeNme>
                                    <RgeNmeProps>
                                      <CBPLI>2,1,10,1,1</CBPLI>
                                      <MCN>2</MCN>
                                      <SN>1</SN>
                                      <EN>10</EN>
                                      <CN>2</CN>
                                      <CBN>1</CBN>
                                      <CBPN>1</CBPN>
                                      <PT>2</PT>
                                      <CBPRNT>8</CBPRNT>
                                      <NT>-1</NT>
                                      <SP1><![CDATA[Assess_Freq_Mthly]]></SP1>
                                      <SP2/>
                                      <FFF/>
                                      <CMT/>
                                    </RgeNmeProps>
                                  </RgeNme>
                                </RgeNmes>
                              </LuTblLbl>
                            </Ctg>
                            <Ctg>
                              <CtgProps>
                                <R>3</R>
                              </CtgProps>
                              <LuTblLbl>
                                <LuTblLblProps>
                                  <CLI>2,1,10,False,3</CLI>
                                  <L><![CDATA[Quarterly]]></L>
                                </LuTblLblProps>
                                <RgeNmes>
                                  <RgeNme>
                                    <RgeNmeProps>
                                      <CBPLI>2,1,10,1,1</CBPLI>
                                      <MCN>2</MCN>
                                      <SN>1</SN>
                                      <EN>10</EN>
                                      <CN>3</CN>
                                      <CBN>1</CBN>
                                      <CBPN>1</CBPN>
                                      <PT>2</PT>
                                      <CBPRNT>8</CBPRNT>
                                      <NT>-1</NT>
                                      <SP1><![CDATA[Assess_Freq_Qtrly]]></SP1>
                                      <SP2/>
                                      <FFF/>
                                      <CMT/>
                                    </RgeNmeProps>
                                  </RgeNme>
                                </RgeNmes>
                              </LuTblLbl>
                            </Ctg>
                            <Ctg>
                              <CtgProps>
                                <R>3</R>
                              </CtgProps>
                              <LuTblLbl>
                                <LuTblLblProps>
                                  <CLI>2,1,10,False,4</CLI>
                                  <L><![CDATA[Semi-Annual]]></L>
                                </LuTblLblProps>
                                <RgeNmes>
                                  <RgeNme>
                                    <RgeNmeProps>
                                      <CBPLI>2,1,10,1,1</CBPLI>
                                      <MCN>2</MCN>
                                      <SN>1</SN>
                                      <EN>10</EN>
                                      <CN>4</CN>
                                      <CBN>1</CBN>
                                      <CBPN>1</CBPN>
                                      <PT>2</PT>
                                      <CBPRNT>8</CBPRNT>
                                      <NT>-1</NT>
                                      <SP1><![CDATA[Assess_Freq_Semi_Ann]]></SP1>
                                      <SP2/>
                                      <FFF/>
                                      <CMT/>
                                    </RgeNmeProps>
                                  </RgeNme>
                                </RgeNme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Tax Year End Month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4</EGN>
                      </ElmtProps>
                      <ClmnBlks>
                        <ClmnBlk>
                          <ClmnBlkProps>
                            <FCPT>0</FCPT>
                            <FCN>4</FCN>
                            <LCPT>0</LCPT>
                            <LCN>4</LCN>
                          </ClmnBlkProps>
                          <ClmnBlkPts>
                            <ClmnBlkPt>
                              <ClmnBlkPtProps>
                                <CBPT>0</CBPT>
                                <ST>25</ST>
                                <VOFFF><![CDATA[=TEXT(DATE(1,ROWS(§A¿0,2,1,1,14,1,1,1,0,0,TRUE,FALSE,1,14,1,1,0,0,0,FALSE,FALSE§Z¿),1),"mmmm")]]></VOFFF>
                              </ClmnBlkPtProps>
                              <RgeNmes>
                                <RgeNme>
                                  <RgeNmeProps>
                                    <CBPLI>2,1,14,1,1</CBPLI>
                                    <MCN>2</MCN>
                                    <SN>1</SN>
                                    <EN>14</EN>
                                    <CN>0</CN>
                                    <CBN>1</CBN>
                                    <CBPN>1</CBPN>
                                    <PT>1</PT>
                                    <CBPRNT>2</CBPRNT>
                                    <NT>11</NT>
                                    <SP1><![CDATA[Yr_End_Mth]]></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Tax Year End Month]]></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Corp_Tax_Yr_End_Mth]]></VOFFF>
                              </ClmnBlkPtProps>
                            </ClmnBlkPt>
                          </ClmnBlkPts>
                        </ClmnBlk>
                      </ClmnBlks>
                      <SubTtls>
                        <SubTtl>
                          <SubTtlHdgRow>
                            <SubTtlHdgRowProps>
                              <STLI>2,1,14,1</STLI>
                              <R>0</R>
                            </SubTtlHdgRowProps>
                          </SubTtlHdgRow>
                          <Ctgs>
                            <Ctg>
                              <CtgProps>
                                <R>3</R>
                              </CtgProps>
                              <LuTblLbl>
                                <LuTblLblProps>
                                  <CLI>2,1,14,False,1</CLI>
                                  <L><![CDATA[Lookup Label <CategoryNumber>.]]></L>
                                </LuTblLblProps>
                              </LuTblLbl>
                            </Ctg>
                            <Ctg>
                              <CtgProps>
                                <R>3</R>
                              </CtgProps>
                              <LuTblLbl>
                                <LuTblLblProps>
                                  <CLI>2,1,14,False,2</CLI>
                                  <L><![CDATA[Lookup Label <CategoryNumber>.]]></L>
                                </LuTblLblProps>
                              </LuTblLbl>
                            </Ctg>
                            <Ctg>
                              <CtgProps>
                                <R>3</R>
                              </CtgProps>
                              <LuTblLbl>
                                <LuTblLblProps>
                                  <CLI>2,1,14,False,3</CLI>
                                  <L><![CDATA[Lookup Label <CategoryNumber>.]]></L>
                                </LuTblLblProps>
                              </LuTblLbl>
                            </Ctg>
                            <Ctg>
                              <CtgProps>
                                <R>3</R>
                              </CtgProps>
                              <LuTblLbl>
                                <LuTblLblProps>
                                  <CLI>2,1,14,False,4</CLI>
                                  <L><![CDATA[Lookup Label <CategoryNumber>.]]></L>
                                </LuTblLblProps>
                              </LuTblLbl>
                            </Ctg>
                            <Ctg>
                              <CtgProps>
                                <R>3</R>
                              </CtgProps>
                              <LuTblLbl>
                                <LuTblLblProps>
                                  <CLI>2,1,14,False,5</CLI>
                                  <L><![CDATA[Lookup Label <CategoryNumber>.]]></L>
                                </LuTblLblProps>
                              </LuTblLbl>
                            </Ctg>
                            <Ctg>
                              <CtgProps>
                                <R>3</R>
                              </CtgProps>
                              <LuTblLbl>
                                <LuTblLblProps>
                                  <CLI>2,1,14,False,6</CLI>
                                  <L><![CDATA[Lookup Label <CategoryNumber>.]]></L>
                                </LuTblLblProps>
                              </LuTblLbl>
                            </Ctg>
                            <Ctg>
                              <CtgProps>
                                <R>3</R>
                              </CtgProps>
                              <LuTblLbl>
                                <LuTblLblProps>
                                  <CLI>2,1,14,False,7</CLI>
                                  <L><![CDATA[Lookup Label <CategoryNumber>.]]></L>
                                </LuTblLblProps>
                              </LuTblLbl>
                            </Ctg>
                            <Ctg>
                              <CtgProps>
                                <R>3</R>
                              </CtgProps>
                              <LuTblLbl>
                                <LuTblLblProps>
                                  <CLI>2,1,14,False,8</CLI>
                                  <L><![CDATA[Lookup Label <CategoryNumber>.]]></L>
                                </LuTblLblProps>
                              </LuTblLbl>
                            </Ctg>
                            <Ctg>
                              <CtgProps>
                                <R>3</R>
                              </CtgProps>
                              <LuTblLbl>
                                <LuTblLblProps>
                                  <CLI>2,1,14,False,9</CLI>
                                  <L><![CDATA[Lookup Label <CategoryNumber>.]]></L>
                                </LuTblLblProps>
                              </LuTblLbl>
                            </Ctg>
                            <Ctg>
                              <CtgProps>
                                <R>3</R>
                              </CtgProps>
                              <LuTblLbl>
                                <LuTblLblProps>
                                  <CLI>2,1,14,False,10</CLI>
                                  <L><![CDATA[Lookup Label <CategoryNumber>.]]></L>
                                </LuTblLblProps>
                              </LuTblLbl>
                            </Ctg>
                            <Ctg>
                              <CtgProps>
                                <R>3</R>
                              </CtgProps>
                              <LuTblLbl>
                                <LuTblLblProps>
                                  <CLI>2,1,14,False,11</CLI>
                                  <L><![CDATA[Lookup Label <CategoryNumber>.]]></L>
                                </LuTblLblProps>
                              </LuTblLbl>
                            </Ctg>
                            <Ctg>
                              <CtgProps>
                                <R>3</R>
                              </CtgProps>
                              <LuTblLbl>
                                <LuTblLblProps>
                                  <CLI>2,1,14,False,12</CLI>
                                  <L><![CDATA[Lookup Label <CategoryNumber>.]]></L>
                                </LuTblLblProps>
                              </LuTblLbl>
                            </Ctg>
                          </Ctgs>
                        </SubTtl>
                      </SubTtls>
                      <TtlCtg>
                        <TtlCtgProps>
                          <R>3</R>
                        </TtlCtgProps>
                      </TtlCtg>
                    </Elmt>
                    <Elmt>
                      <ElmtProps>
                        <CPT>2</CPT>
                      </ElmtProps>
                      <TtlCtg>
                        <TtlCtgProps>
                          <R>3</R>
                        </TtlCtgProps>
                      </TtlCtg>
                    </Elmt>
                    <Elmt>
                      <ElmtProps>
                        <CPT>2</CPT>
                      </ElmtProps>
                      <ClmnBlks>
                        <ClmnBlk>
                          <ClmnBlkProps>
                            <FCPT>0</FCPT>
                            <FCN>3</FCN>
                            <LCPT>0</LCPT>
                            <LCN>5</LCN>
                          </ClmnBlkProps>
                          <ClmnBlkPts>
                            <ClmnBlkPt>
                              <ClmnBlkPtProps>
                                <CBPT>5</CBPT>
                                <ST>4</ST>
                                <MC>True</MC>
                                <VOFFF><![CDATA[Tax Payment Amount Method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3</R>
                        </TtlCtgProps>
                      </TtlCtg>
                    </Elmt>
                    <Elmt>
                      <ElmtProps>
                        <CPT>2</CPT>
                      </ElmtProps>
                      <TtlCtg>
                        <TtlCtgProps>
                          <R>3</R>
                        </TtlCtgProps>
                      </TtlCtg>
                    </Elmt>
                    <Elmt>
                      <ElmtProps>
                        <CPT>0</CPT>
                        <TOT>True</TOT>
                        <EGN>5</EGN>
                      </ElmtProps>
                      <ClmnBlks>
                        <ClmnBlk>
                          <ClmnBlkProps>
                            <FCPT>0</FCPT>
                            <FCN>4</FCN>
                            <LCPT>0</LCPT>
                            <LCN>4</LCN>
                          </ClmnBlkProps>
                          <ClmnBlkPts>
                            <ClmnBlkPt>
                              <ClmnBlkPtProps>
                                <CBPT>0</CBPT>
                                <ST>25</ST>
                                <VOFFF/>
                              </ClmnBlkPtProps>
                              <RgeNmes>
                                <RgeNme>
                                  <RgeNmeProps>
                                    <CBPLI>2,1,18,1,1</CBPLI>
                                    <MCN>2</MCN>
                                    <SN>1</SN>
                                    <EN>18</EN>
                                    <CN>0</CN>
                                    <CBN>1</CBN>
                                    <CBPN>1</CBPN>
                                    <PT>1</PT>
                                    <CBPRNT>2</CBPRNT>
                                    <NT>11</NT>
                                    <SP1><![CDATA[Pmt_Amt_Meth]]></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Tax Payment Amount Meth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Corp_Tax_Pmt_Amt_Meth]]></VOFFF>
                              </ClmnBlkPtProps>
                            </ClmnBlkPt>
                          </ClmnBlkPts>
                        </ClmnBlk>
                      </ClmnBlks>
                      <SubTtls>
                        <SubTtl>
                          <SubTtlHdgRow>
                            <SubTtlHdgRowProps>
                              <STLI>2,1,18,1</STLI>
                              <R>0</R>
                            </SubTtlHdgRowProps>
                          </SubTtlHdgRow>
                          <Ctgs>
                            <Ctg>
                              <CtgProps>
                                <R>3</R>
                              </CtgProps>
                              <LuTblLbl>
                                <LuTblLblProps>
                                  <CLI>2,1,18,False,1</CLI>
                                  <L><![CDATA[Assessment]]></L>
                                </LuTblLblProps>
                                <RgeNmes>
                                  <RgeNme>
                                    <RgeNmeProps>
                                      <CBPLI>2,1,18,1,1</CBPLI>
                                      <MCN>2</MCN>
                                      <SN>1</SN>
                                      <EN>18</EN>
                                      <CN>1</CN>
                                      <CBN>1</CBN>
                                      <CBPN>1</CBPN>
                                      <PT>2</PT>
                                      <CBPRNT>8</CBPRNT>
                                      <NT>-1</NT>
                                      <SP1><![CDATA[Pmt_Amt_Mth_Assess]]></SP1>
                                      <SP2/>
                                      <FFF/>
                                      <CMT/>
                                    </RgeNmeProps>
                                  </RgeNme>
                                </RgeNmes>
                              </LuTblLbl>
                            </Ctg>
                            <Ctg>
                              <CtgProps>
                                <R>3</R>
                              </CtgProps>
                              <LuTblLbl>
                                <LuTblLblProps>
                                  <CLI>2,1,18,False,2</CLI>
                                  <L><![CDATA[Amount]]></L>
                                </LuTblLblProps>
                                <RgeNmes>
                                  <RgeNme>
                                    <RgeNmeProps>
                                      <CBPLI>2,1,18,1,1</CBPLI>
                                      <MCN>2</MCN>
                                      <SN>1</SN>
                                      <EN>18</EN>
                                      <CN>2</CN>
                                      <CBN>1</CBN>
                                      <CBPN>1</CBPN>
                                      <PT>2</PT>
                                      <CBPRNT>8</CBPRNT>
                                      <NT>-1</NT>
                                      <SP1><![CDATA[Pmt_Amt_Mth_Amt]]></SP1>
                                      <SP2/>
                                      <FFF/>
                                      <CMT/>
                                    </RgeNmeProps>
                                  </RgeNme>
                                </RgeNmes>
                              </LuTblLbl>
                            </Ctg>
                          </Ctgs>
                        </SubTtl>
                      </SubTtls>
                      <TtlCtg>
                        <TtlCtgProps>
                          <R>3</R>
                        </TtlCtgProps>
                      </TtlCtg>
                    </Elmt>
                  </Elmts>
                </Sect>
              </Sects>
            </ModComp>
          </ModComps>
        </Mod>
        <Mod>
          <ModProps>
            <MVS>14.0.5.0</MVS>
            <RAV/>
            <RXV>0</RXV>
            <FV>3</FV>
            <MT>0</MT>
            <SCT>-1</SCT>
            <P><![CDATA[Cash_Int]]></P>
            <OI>100</OI>
            <MN>0</MN>
            <MAG>0A3D1B54-7B18-4AE2-B3C2-0691D0B948A4</MAG>
            <BN><![CDATA[Interest on Cash]]></BN>
            <N><![CDATA[Interest on Cash]]></N>
            <TS><![CDATA[Monthly]]></TS>
            <D><![CDATA[Calculates interest on cash at bank over a number of time series periods.]]></D>
            <FS><![CDATA[Collects base interest rate, deposit margin and overdraft margin assumptions as annual rates in each time series period.]]></FS>
            <R><![CDATA[Any]]></R>
            <GE><![CDATA[Interest on Cash]]></GE>
            <CA><![CDATA[Base Interest Rates & Margins, Deposits & Overdraft]]></CA>
            <VA><![CDATA[Single Component]]></VA>
            <GST><![CDATA[None]]></GST>
            <DE><![CDATA[Modano]]></DE>
            <E><![CDATA[info@modano.com]]></E>
            <C><![CDATA[Modano]]></C>
            <W><![CDATA[www.modano.com]]></W>
            <K/>
            <CO/>
            <V>11.0.1.1.</V>
            <AX>2</AX>
            <SX/>
            <PMLO>False</PMLO>
            <IPMLO>False</IPMLO>
            <MACA>0</MACA>
            <HP>False</HP>
            <DR>False</DR>
            <RTSM>True</RTSM>
            <CC>False</CC>
            <X>False</X>
            <G>7336F01C-A613-427D-9C2C-99FED5035C9A</G>
          </ModProps>
          <RowStgs>
            <RowStg>
              <RowStgProps>
                <RSN>1</RSN>
                <RHST>0</RHST>
                <HS>0</HS>
                <OL>2</OL>
                <RH>False</RH>
              </RowStgProps>
            </RowStg>
            <RowStg>
              <RowStgProps>
                <RSN>2</RSN>
                <RHST>1</RHST>
                <HS>50</HS>
                <OL>2</OL>
                <RH>False</RH>
              </RowStgProps>
            </RowStg>
          </RowStgs>
          <StlOvlys>
            <StlOvly>
              <StlOvlyProps>
                <SON>1</SON>
                <INF>True</INF>
                <NT>1</NT>
                <DP>2</DP>
                <CNF/>
              </StlOvlyProps>
            </StlOvly>
            <StlOvly>
              <StlOvlyProps>
                <SON>2</SON>
                <INF>True</INF>
                <NT>1</NT>
                <DP>2</DP>
                <CNF/>
              </StlOvlyProps>
              <BdrOvlys>
                <BdrOvly>
                  <BdrOvlyProps>
                    <PT>1</PT>
                    <SON>2</SON>
                    <CBPLI/>
                    <FCN>0</FCN>
                    <I>True</I>
                    <BI>8</BI>
                    <LS>-4115</LS>
                    <W>2</W>
                  </BdrOvlyProps>
                </BdrOvly>
              </BdrOvlys>
            </StlOvly>
            <StlOvly>
              <StlOvlyProps>
                <SON>3</SON>
                <INF>True</INF>
                <NT>0</NT>
                <DP>0</DP>
                <CNF><![CDATA[_(#,##0.0_);(#,##0.0);_-"-"_-]]></CNF>
              </StlOvlyProps>
              <FntOvly>
                <FntOvlyProps>
                  <PT>1</PT>
                  <SON>3</SON>
                  <CBPLI>0,0,0,0,0</CBPLI>
                  <FCN>0</FCN>
                  <CN>0</CN>
                  <IB>True</IB>
                  <B>True</B>
                </FntOvlyProps>
              </FntOvly>
              <BdrOvlys>
                <BdrOvly>
                  <BdrOvlyProps>
                    <PT>1</PT>
                    <SON>3</SON>
                    <CBPLI/>
                    <FCN>0</FCN>
                    <I>True</I>
                    <BI>10</BI>
                    <LS>1</LS>
                    <W>2</W>
                  </BdrOvlyProps>
                </BdrOvly>
              </BdrOvlys>
            </StlOvly>
            <StlOvly>
              <StlOvlyProps>
                <SON>4</SON>
                <INF>True</INF>
                <NT>0</NT>
                <DP>0</DP>
                <CNF/>
              </StlOvlyProps>
            </StlOvly>
          </StlOvlys>
          <ModComps>
            <ModComp>
              <ModCompProps>
                <MN>47</MN>
                <MCN>1</MCN>
                <MCTK>BaseCase</MCTK>
                <RT><![CDATA[<ModuleName>]]></RT>
                <ERN>MODMC129</ERN>
                <MCST>1</MCST>
                <IPMC>False</IPMC>
                <SN>15</SN>
                <LODS>False</LODS>
                <LST>False</LST>
                <RSTF>False</RSTF>
                <STRA>0</STRA>
                <HS>False</HS>
                <IBOA>0</IBOA>
                <IB>True</IB>
                <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HCTHR>True</HCTHR>
                                <CTHN>17</CTHN>
                                <ST>3</ST>
                                <VOFFF><![CDATA[<ModuleComponentTitle>]]></VOFFF>
                              </ClmnBlkPtProp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pening Cash at Bank]]></VOFFF>
                              </ClmnBlkPtProps>
                            </ClmnBlkPt>
                          </ClmnBlkPts>
                        </ClmnBlk>
                        <ClmnBlk>
                          <ClmnBlkProps>
                            <FCPT>3</FCPT>
                            <FCN>10</FCN>
                            <FCOT>0</FCOT>
                            <FCOC>0</FCOC>
                            <FCPTBMCN>4</FCPTBMCN>
                            <FCPTBN>3</FCPTBN>
                            <LCPT>3</LCPT>
                            <LCN>45</LCN>
                            <LCOT>1</LCOT>
                            <LCOC>0</LCOC>
                            <LCPTBMCN>4</LCPTBMCN>
                            <LCPTBN>3</LCPTBN>
                          </ClmnBlkProps>
                          <ClmnBlkPts>
                            <ClmnBlkPt>
                              <ClmnBlkPtProps>
                                <CBPT>5</CBPT>
                                <ST>11</ST>
                                <VOFFF><![CDATA[0]]></VOFFF>
                                <UDAV><![CDATA[0]]></UDAV>
                              </ClmnBlkPtProps>
                              <Vdtn>
                                <VdtnProps>
                                  <CBPLI>1,1,4,2,1</CBPLI>
                                  <ADVT>0</ADVT>
                                  <VT>7</VT>
                                </VdtnProps>
                              </Vdtn>
                              <LnkInForms>
                                <LnkInForm>
                                  <LnkInFormProps>
                                    <CBPLI>1,1,4,2,1</CBPLI>
                                    <ELN>1</ELN>
                                    <FFF><![CDATA[=§A¿10,FALSE,0,2,0,FALSE§Z¿]]></FFF>
                                  </LnkInFormProps>
                                </LnkInForm>
                              </LnkInForms>
                            </ClmnBlkPt>
                          </ClmnBlkPts>
                        </ClmnBlk>
                      </ClmnBlks>
                      <TtlCtg>
                        <TtlCtgProps>
                          <R>1</R>
                        </TtlCtgProps>
                        <LnkIn>
                          <LnkInProps>
                            <MN>47</MN>
                            <CLI>1,1,4,True,0</CLI>
                            <ELN>1</ELN>
                            <LOOT>2</LOOT>
                            <LOMN>5</LOMN>
                            <LOMCN>1</LOMCN>
                            <LOSN>1</LOSN>
                            <LOEN>4</LOEN>
                            <LOCN>0</LOCN>
                          </LnkInProps>
                        </LnkIn>
                      </TtlCtg>
                      <ElmtLnksIn>
                        <ElmtLnk>
                          <ElmtLnkProps>
                            <ELI>1,1,4</ELI>
                            <ELN>1</ELN>
                            <ELGN>1</ELGN>
                            <MLG>4EE07D0D-2C38-4396-B6D0-8C0884450090</MLG>
                            <ICBI>2</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Base Interest Rate (% p.a.)]]></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1</SON>
                                <VOFFF><![CDATA[0]]></VOFFF>
                                <UDAV><![CDATA[0]]></UDAV>
                              </ClmnBlkPtProps>
                              <Vdtn>
                                <VdtnProps>
                                  <CBPLI>1,1,6,2,1</CBPLI>
                                  <ADVT>0</ADVT>
                                  <VT>7</VT>
                                </VdtnProps>
                              </Vdtn>
                              <LnkInForms>
                                <LnkInForm>
                                  <LnkInFormProps>
                                    <CBPLI>1,1,6,2,1</CBPLI>
                                    <ELN>1</ELN>
                                    <FFF><![CDATA[=§A¿10,FALSE,0,2,0,FALSE§Z¿]]></FFF>
                                  </LnkInFormProps>
                                </LnkInForm>
                              </LnkInForms>
                            </ClmnBlkPt>
                          </ClmnBlkPts>
                        </ClmnBlk>
                      </ClmnBlks>
                      <TtlCtg>
                        <TtlCtgProps>
                          <R>1</R>
                        </TtlCtgProps>
                      </TtlCtg>
                      <ElmtLnksIn>
                        <ElmtLnk>
                          <ElmtLnkProps>
                            <ELI>1,1,6</ELI>
                            <ELN>1</ELN>
                            <ELGN>1</ELGN>
                            <MLG>85C0FF68-64B1-4E49-A5D2-4CD0177D7656</MLG>
                            <ICBI>2</ICBI>
                            <ILBN/>
                            <LIBN>0</LIBN>
                          </ElmtLnkProps>
                        </ElmtLnk>
                      </ElmtLnksIn>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eposits - Margin (% p.a.)]]></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1</SON>
                                <VOFFF><![CDATA[0]]></VOFFF>
                                <UDAV><![CDATA[0]]></UDAV>
                              </ClmnBlkPtProps>
                              <Vdtn>
                                <VdtnProps>
                                  <CBPLI>1,1,8,2,1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eposits - All-In Interest Rate (% p.a.)]]></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1</SON>
                                <VOFFF><![CDATA[=§A¿0,1,0,1,6,2,1,-1,0,0,FALSE,FALSE§Z¿+§A¿0,1,0,1,8,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Deposits - All-In Interest Rate (% p.m.)]]></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2</SON>
                                <VOFFF><![CDATA[=§A¿0,1,0,1,9,2,1,-1,0,0,FALSE,FALSE§Z¿/§A¿7,2,2,1,14,7,1,1,1§Z¿]]></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verdraft - Margin (% p.a.)]]></VOFFF>
                              </ClmnBlkPtProps>
                            </ClmnBlkPt>
                          </ClmnBlkPts>
                        </ClmnBlk>
                        <ClmnBlk>
                          <ClmnBlkProps>
                            <FCPT>3</FCPT>
                            <FCN>10</FCN>
                            <FCOT>0</FCOT>
                            <FCOC>0</FCOC>
                            <FCPTBMCN>4</FCPTBMCN>
                            <FCPTBN>3</FCPTBN>
                            <LCPT>3</LCPT>
                            <LCN>45</LCN>
                            <LCOT>1</LCOT>
                            <LCOC>0</LCOC>
                            <LCPTBMCN>4</LCPTBMCN>
                            <LCPTBN>3</LCPTBN>
                          </ClmnBlkProps>
                          <ClmnBlkPts>
                            <ClmnBlkPt>
                              <ClmnBlkPtProps>
                                <CBPT>5</CBPT>
                                <ST>12</ST>
                                <SON>1</SON>
                                <VOFFF><![CDATA[0]]></VOFFF>
                                <UDAV><![CDATA[0]]></UDAV>
                              </ClmnBlkPtProps>
                              <Vdtn>
                                <VdtnProps>
                                  <CBPLI>1,1,12,2,1</CBPLI>
                                  <ADVT>0</ADVT>
                                  <VT>7</VT>
                                </VdtnProps>
                              </Vdtn>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verdraft - All-In Interest Rate (% p.a.)]]></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1</SON>
                                <VOFFF><![CDATA[=§A¿0,1,0,1,6,2,1,-1,0,0,FALSE,FALSE§Z¿+§A¿0,1,0,1,12,2,1,-1,0,0,FALSE,FALSE§Z¿]]></VOFFF>
                              </ClmnBlkPtProps>
                            </ClmnBlkPt>
                          </ClmnBlkPts>
                        </ClmnBlk>
                      </ClmnBlk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verdraft - All-In Interest Rate (% p.m.)]]></VOFFF>
                              </ClmnBlkPtProps>
                            </ClmnBlkPt>
                          </ClmnBlkPts>
                        </ClmnBlk>
                        <ClmnBlk>
                          <ClmnBlkProps>
                            <FCPT>3</FCPT>
                            <FCN>10</FCN>
                            <FCOT>0</FCOT>
                            <FCOC>0</FCOC>
                            <FCPTBMCN>4</FCPTBMCN>
                            <FCPTBN>3</FCPTBN>
                            <LCPT>3</LCPT>
                            <LCN>45</LCN>
                            <LCOT>1</LCOT>
                            <LCOC>0</LCOC>
                            <LCPTBMCN>4</LCPTBMCN>
                            <LCPTBN>3</LCPTBN>
                          </ClmnBlkProps>
                          <ClmnBlkPts>
                            <ClmnBlkPt>
                              <ClmnBlkPtProps>
                                <CBPT>5</CBPT>
                                <ST>19</ST>
                                <SON>2</SON>
                                <VOFFF><![CDATA[=§A¿0,1,0,1,13,2,1,-1,0,0,FALSE,FALSE§Z¿/§A¿7,2,2,1,14,7,1,1,1§Z¿]]></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Interest on Cash]]></VOFFF>
                              </ClmnBlkPtProps>
                            </ClmnBlkPt>
                          </ClmnBlkPts>
                        </ClmnBlk>
                        <ClmnBlk>
                          <ClmnBlkProps>
                            <FCPT>3</FCPT>
                            <FCN>10</FCN>
                            <FCOT>0</FCOT>
                            <FCOC>0</FCOC>
                            <FCPTBMCN>4</FCPTBMCN>
                            <FCPTBN>3</FCPTBN>
                            <LCPT>3</LCPT>
                            <LCN>45</LCN>
                            <LCOT>1</LCOT>
                            <LCOC>0</LCOC>
                            <LCPTBMCN>4</LCPTBMCN>
                            <LCPTBN>3</LCPTBN>
                          </ClmnBlkProps>
                          <ClmnBlkPts>
                            <ClmnBlkPt>
                              <ClmnBlkPtProps>
                                <CBPT>5</CBPT>
                                <ST>18</ST>
                                <VOFFF><![CDATA[=§A¿0,1,0,1,4,2,1,-1,0,0,FALSE,FALSE§Z¿*IF(§A¿0,1,0,1,4,2,1,-1,0,0,FALSE,FALSE§Z¿>=0,§A¿0,1,0,1,10,2,1,-1,0,0,FALSE,FALSE§Z¿,§A¿0,1,0,1,14,2,1,-1,0,0,FALSE,FALSE§Z¿)]]></VOFFF>
                              </ClmnBlkPtProps>
                            </ClmnBlkPt>
                          </ClmnBlkPts>
                        </ClmnBlk>
                      </ClmnBlks>
                      <TtlCtg>
                        <TtlCtgProps>
                          <R>1</R>
                        </TtlCtgProps>
                      </TtlCtg>
                      <ElmtLnksOut>
                        <ElmtLnk>
                          <ElmtLnkProps>
                            <ELI>1,1,16</ELI>
                            <ELN>1</ELN>
                            <ELGN>1</ELGN>
                            <MLG>EDC5F79F-3412-403A-A703-B2BAA74D91AB</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Error Check]]></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3</SON>
                                <VOFFF><![CDATA[=IF(ISERROR(SUM(§A¿0,1,1,1,18,3,1,-1,0,0,FALSE,FALSE,1,18,3,1,-1,1,0,FALSE,FALSE§Z¿)),1,MIN(SUM(§A¿0,1,1,1,18,3,1,-1,0,0,FALSE,FALSE,1,18,3,1,-1,1,0,FALSE,FALSE§Z¿),1))]]></VOFFF>
                              </ClmnBlkPtProps>
                              <Chk>
                                <ChkProps>
                                  <CBPLI>1,1,18,2,1</CBPLI>
                                  <CT>0</CT>
                                  <CN>11</CN>
                                  <HST>1</HST>
                                  <CHT/>
                                  <HCBPLI>1,1,2,1,1</HCBPLI>
                                </ChkProps>
                              </Chk>
                              <Cmts>
                                <Cmt>
                                  <CmtProps>
                                    <CBPLI>1,1,18,2,1</CBPLI>
                                    <WRN>1</WRN>
                                    <ERT>5</ERT>
                                    <COSTN>0</COSTN>
                                    <OC>0</OC>
                                    <HT><![CDATA[Error Check]]></HT>
                                    <HFS>0</HFS>
                                    <BT><![CDATA[Flags the existence of errors.]]></BT>
                                    <BFS>0</BFS>
                                    <H>74</H>
                                    <W>128</W>
                                  </CmtProps>
                                </Cmt>
                                <Cmt>
                                  <CmtProps>
                                    <CBPLI>1,1,18,2,1</CBPLI>
                                    <WRN>2</WRN>
                                    <ERT>5</ERT>
                                    <COSTN>0</COSTN>
                                    <OC>0</OC>
                                    <HT><![CDATA[Error Check]]></HT>
                                    <BT><![CDATA[Flags the existence of errors.]]></BT>
                                  </CmtProps>
                                </Cmt>
                              </Cmts>
                              <FmtCnds>
                                <FmtCnd>
                                  <FmtCndProps>
                                    <CBPLI>1,1,18,2,1</CBPLI>
                                    <FCN>1</FCN>
                                    <FCT>1</FCT>
                                    <FCO>4</FCO>
                                    <F1FFF><![CDATA[=0]]></F1FFF>
                                    <F2FFF/>
                                    <SIT>False</SIT>
                                    <BSV>True</BSV>
                                    <BCT>0</BCT>
                                    <CNBCN>0</CNBCN>
                                    <BTAS>0</BTAS>
                                    <IST>1</IST>
                                    <RO>False</RO>
                                    <SIO>False</SIO>
                                    <TO>0</TO>
                                    <TS/>
                                    <DO>1</DO>
                                    <TB>1</TB>
                                    <R>10</R>
                                    <P>False</P>
                                    <AB>0</AB>
                                    <NSD>1</NSD>
                                    <DU>1</DU>
                                    <INF>False</INF>
                                    <NT>0</NT>
                                    <DP>0</DP>
                                    <CNF/>
                                  </FmtCndProps>
                                  <FntOvly>
                                    <FntOvlyProps>
                                      <PT>2</PT>
                                      <SON>0</SON>
                                      <CBPLI>1,1,18,2,1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4</SON>
                                <VOFFF><![CDATA[=IF(ISERROR(§A¿0,1,0,1,16,2,1,-1,0,0,FALSE,FALSE§Z¿),1,0)]]></VOFFF>
                              </ClmnBlkPtProps>
                              <FmtCnds>
                                <FmtCnd>
                                  <FmtCndProps>
                                    <CBPLI>1,1,18,3,1</CBPLI>
                                    <FCN>1</FCN>
                                    <FCT>1</FCT>
                                    <FCO>4</FCO>
                                    <F1FFF><![CDATA[=0]]></F1FFF>
                                    <F2FFF/>
                                    <SIT>False</SIT>
                                    <BSV>True</BSV>
                                    <BCT>0</BCT>
                                    <CNBCN>0</CNBCN>
                                    <BTAS>0</BTAS>
                                    <IST>1</IST>
                                    <RO>False</RO>
                                    <SIO>False</SIO>
                                    <TO>0</TO>
                                    <TS/>
                                    <DO>1</DO>
                                    <TB>1</TB>
                                    <R>10</R>
                                    <P>False</P>
                                    <AB>0</AB>
                                    <NSD>1</NSD>
                                    <DU>1</DU>
                                    <INF>False</INF>
                                    <NT>0</NT>
                                    <DP>0</DP>
                                    <CNF/>
                                  </FmtCndProps>
                                  <FntOvly>
                                    <FntOvlyProps>
                                      <PT>2</PT>
                                      <SON>0</SON>
                                      <CBPLI>1,1,18,3,1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ca]]></P>
            <OI>310</OI>
            <MN>0</MN>
            <MAG>0A3D1B54-7B18-4AE2-B3C2-0691D0B948A4</MAG>
            <BN><![CDATA[Other Current Assets]]></BN>
            <N><![CDATA[Other Current Assets]]></N>
            <TS><![CDATA[Monthly]]></TS>
            <D><![CDATA[Calculates other current assets for a number of other current assets categories over a number of time series periods.]]></D>
            <FS><![CDATA[Allows for a separate module for each other current assets category to facilitate variable drivers functionalities.]]></FS>
            <R><![CDATA[Any]]></R>
            <GE><![CDATA[Other Current Assets]]></GE>
            <CA><![CDATA[Variable Drivers]]></CA>
            <VA><![CDATA[Single Component]]></VA>
            <GST><![CDATA[None]]></GST>
            <DE><![CDATA[Modano]]></DE>
            <E><![CDATA[info@modano.com]]></E>
            <C><![CDATA[Modano]]></C>
            <W><![CDATA[www.modano.com]]></W>
            <K/>
            <CO/>
            <V>11.0.1.0.</V>
            <AX>2</AX>
            <SX/>
            <PMLO>False</PMLO>
            <IPMLO>False</IPMLO>
            <MACA>0</MACA>
            <HP>False</HP>
            <DR>False</DR>
            <RTSM>True</RTSM>
            <CC>True</CC>
            <X>False</X>
            <G>0494182C-9772-4438-B5D6-DACF274A08AB</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StlOvly>
            <StlOvly>
              <StlOvlyProps>
                <SON>4</SON>
                <IHA>True</IHA>
                <HA>-4108</HA>
              </StlOvlyProps>
              <FntOvly>
                <FntOvlyProps>
                  <PT>1</PT>
                  <SON>4</SON>
                  <CBPLI>0,0,0,0,0</CBPLI>
                  <FCN>0</FCN>
                  <CN>0</CN>
                  <IC>True</IC>
                  <CT>-3</CT>
                  <CNU>2</CNU>
                  <CPR>8421504</CPR>
                  <TAS>0.4999847</TAS>
                </FntOvlyProps>
              </FntOvly>
            </StlOvly>
            <StlOvly>
              <StlOvlyProps>
                <SON>5</SON>
                <INF>True</INF>
                <NT>0</NT>
                <DP>0</DP>
                <CNF/>
              </StlOvlyProps>
              <BdrOvlys>
                <BdrOvly>
                  <BdrOvlyProps>
                    <PT>1</PT>
                    <SON>5</SON>
                    <CBPLI/>
                    <FCN>0</FCN>
                    <I>True</I>
                    <BI>9</BI>
                    <LS>-4115</LS>
                    <W>2</W>
                  </BdrOvlyProps>
                </BdrOvly>
              </BdrOvlys>
            </StlOvly>
            <StlOvly>
              <StlOvlyProps>
                <SON>6</SON>
                <IHA>True</IHA>
                <HA>-4152</HA>
              </StlOvlyProps>
              <BdrOvlys>
                <BdrOvly>
                  <BdrOvlyProps>
                    <PT>1</PT>
                    <SON>6</SON>
                    <CBPLI/>
                    <FCN>0</FCN>
                    <I>True</I>
                    <BI>9</BI>
                    <LS>-4115</LS>
                    <W>2</W>
                  </BdrOvlyProps>
                </BdrOvly>
              </BdrOvlys>
            </StlOvly>
            <StlOvly>
              <StlOvlyProps>
                <SON>7</SON>
                <IHA>True</IHA>
                <HA>-4152</HA>
              </StlOvlyProps>
            </StlOvly>
            <StlOvly>
              <StlOvlyProps>
                <SON>8</SON>
              </StlOvlyProps>
              <FntOvly>
                <FntOvlyProps>
                  <PT>1</PT>
                  <SON>8</SON>
                  <CBPLI>0,0,0,0,0</CBPLI>
                  <FCN>0</FCN>
                  <CN>0</CN>
                  <IB>True</IB>
                  <B>True</B>
                </FntOvlyProps>
              </FntOvly>
              <BdrOvlys>
                <BdrOvly>
                  <BdrOvlyProps>
                    <PT>1</PT>
                    <SON>8</SON>
                    <CBPLI/>
                    <FCN>0</FCN>
                    <I>True</I>
                    <BI>10</BI>
                    <LS>1</LS>
                    <W>2</W>
                  </BdrOvlyProps>
                </BdrOvly>
                <BdrOvly>
                  <BdrOvlyProps>
                    <PT>1</PT>
                    <SON>8</SON>
                    <CBPLI/>
                    <FCN>0</FCN>
                    <I>True</I>
                    <BI>8</BI>
                    <LS>1</LS>
                    <W>2</W>
                  </BdrOvlyProps>
                </BdrOvly>
              </BdrOvlys>
            </StlOvly>
            <StlOvly>
              <StlOvlyProps>
                <SON>9</SON>
                <IHA>True</IHA>
                <HA>-4152</HA>
              </StlOvlyProps>
              <FntOvly>
                <FntOvlyProps>
                  <PT>1</PT>
                  <SON>9</SON>
                  <CBPLI>0,0,0,0,0</CBPLI>
                  <FCN>0</FCN>
                  <CN>0</CN>
                  <IB>True</IB>
                  <B>True</B>
                </FntOvlyProps>
              </FntOvly>
              <BdrOvlys>
                <BdrOvly>
                  <BdrOvlyProps>
                    <PT>1</PT>
                    <SON>9</SON>
                    <CBPLI/>
                    <FCN>0</FCN>
                    <I>True</I>
                    <BI>10</BI>
                    <LS>1</LS>
                    <W>2</W>
                  </BdrOvlyProps>
                </BdrOvly>
                <BdrOvly>
                  <BdrOvlyProps>
                    <PT>1</PT>
                    <SON>9</SON>
                    <CBPLI/>
                    <FCN>0</FCN>
                    <I>True</I>
                    <BI>9</BI>
                    <LS>1</LS>
                    <W>2</W>
                  </BdrOvlyProps>
                </BdrOvly>
              </BdrOvlys>
            </StlOvly>
            <StlOvly>
              <StlOvlyProps>
                <SON>10</SON>
              </StlOvlyProps>
              <BdrOvlys>
                <BdrOvly>
                  <BdrOvlyProps>
                    <PT>1</PT>
                    <SON>10</SON>
                    <CBPLI/>
                    <FCN>0</FCN>
                    <I>True</I>
                    <BI>10</BI>
                    <LS>1</LS>
                    <W>2</W>
                  </BdrOvlyProps>
                </BdrOvly>
              </BdrOvlys>
            </StlOvly>
          </StlOvlys>
          <ElmtsGrps>
            <ElmtsGrp>
              <ElmtsGrpProps>
                <NU>1</NU>
                <NA><![CDATA[Other Current Assets]]></NA>
                <EGT>0</EGT>
                <DCC>6</DCC>
                <AST>False</AST>
                <ISTH>True</ISTH>
                <PTMCN>0</PTMCN>
                <PTBN>0</PTBN>
                <PTBI>0</PTBI>
                <GLN/>
                <CLOT>0</CLOT>
                <CLIT>0</CLIT>
                <PMLO>0</PMLO>
                <IPMLO>0</IPMLO>
              </ElmtsGrpProps>
            </ElmtsGrp>
          </ElmtsGrps>
          <ModComps>
            <ModComp>
              <ModCompProps>
                <MN>48</MN>
                <MCN>1</MCN>
                <MCTK>BaseCase</MCTK>
                <RT><![CDATA[<ModuleName> - Top]]></RT>
                <ERN>MODMC130</ERN>
                <MCST>1</MCST>
                <IPMC>False</IPMC>
                <SN>15</SN>
                <LODS>False</LODS>
                <LST>False</LST>
                <RSTF>False</RSTF>
                <STRA>0</STRA>
                <HS>False</HS>
                <IBOA>0</IBOA>
                <IB>True</IB>
                <CI><![CDATA[Other Current Assets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24</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4</SON>
                                <VOFFF><![CDATA[Driver]]></VOFFF>
                              </ClmnBlkPtProps>
                            </ClmnBlkPt>
                          </ClmnBlkPts>
                        </ClmnBlk>
                      </ClmnBlks>
                      <TtlCtg>
                        <TtlCtgProps>
                          <R>1</R>
                        </TtlCtgProps>
                      </TtlCtg>
                    </Elmt>
                  </Elmts>
                </Sect>
              </Sects>
            </ModComp>
            <ModComp>
              <ModCompProps>
                <MN>48</MN>
                <MCN>2</MCN>
                <MCTK>BaseCase</MCTK>
                <RT><![CDATA[<ModuleName> - Middle]]></RT>
                <ERN>MODMC131</ERN>
                <MCST>1</MCST>
                <IPMC>False</IPMC>
                <SN>15</SN>
                <LODS>False</LODS>
                <LST>False</LST>
                <RSTF>False</RSTF>
                <STRA>0</STRA>
                <HS>False</HS>
                <IBOA>0</IBOA>
                <IB>True</IB>
                <CI><![CDATA[Other Current Assets Outputs]]></CI>
                <PTI/>
                <PTP>False</PTP>
                <PTD><![CDATA[Monthly time series periods.]]></PTD>
                <PTMCN>4</PTMCN>
                <CROL>0</CROL>
                <CCOL>0</CCOL>
                <AMFN>0</AMFN>
              </ModCompProps>
              <Sects>
                <Sect>
                  <SectProps>
                    <LI>2,1</LI>
                    <EGN>0</EGN>
                  </SectProps>
                  <Elmts>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2,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Opening Balanc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IF(§A¿9,4,2,0,1,6,3,1,-1,0,0,TRUE,FALSE§Z¿=1,§A¿0,3,0,1,6,2,1,0,0,0,FALSE,TRUE§Z¿,§A¿0,3,0,1,9,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LnksOut>
                        <ElmtLnk>
                          <ElmtLnkProps>
                            <ELI>2,1,2</ELI>
                            <ELN>1</ELN>
                            <ELGN>1</ELGN>
                            <MLG>375FC0CE-5BF2-427C-8D9B-2E36D0A02BDC</MLG>
                            <ICBI>1,2</ICBI>
                            <ILBN>1,2</ILBN>
                            <LIBN>0</LIBN>
                          </ElmtLnkProps>
                        </ElmtLnk>
                      </ElmtLnksOut>
                    </Elmt>
                    <Elmt>
                      <ElmtProps>
                        <CPT>2</CPT>
                      </ElmtProps>
                      <TtlCtg>
                        <TtlCtgProps>
                          <R>5</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4,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Change in Other Current Assets]]></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3,0,1,9,3,1,0,0,0,FALSE,FALSE§Z¿-§A¿0,2,0,1,2,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
                    <Elmt>
                      <ElmtProps>
                        <CPT>2</CPT>
                      </ElmtProps>
                      <TtlCtg>
                        <TtlCtgProps>
                          <R>5</R>
                        </TtlCtgProps>
                      </TtlCtg>
                    </Elmt>
                    <Elmt>
                      <ElmtProps>
                        <CPT>2</CPT>
                      </ElmtProps>
                      <ClmnBlks>
                        <ClmnBlk>
                          <ClmnBlkProps>
                            <FCPT>3</FCPT>
                            <FCN>2</FCN>
                            <FCOT>0</FCOT>
                            <FCOC>0</FCOC>
                            <LCPT>3</LCPT>
                            <LCN>2</LCN>
                            <LCOT>1</LCOT>
                            <LCOC>0</LCOC>
                          </ClmnBlkProps>
                          <ClmnBlkPts>
                            <ClmnBlkPt>
                              <ClmnBlkPtProps>
                                <CBPT>5</CBPT>
                                <ST>5</ST>
                                <VOFFF><![CDATA[Closing Balanc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48</MN>
                <MCN>3</MCN>
                <MCTK>BaseCase</MCTK>
                <RT><![CDATA[<ModuleName> - Bottom]]></RT>
                <ERN>MODMC132</ERN>
                <MCST>1</MCST>
                <IPMC>False</IPMC>
                <SN>15</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8</SON>
                                <VOFFF><![CDATA[=IF(ROWS(§A¿0,2|3,1,1,6,2,1,-1,0,0,TRUE,FALSE,1,1,2,1,-1,0,0,TRUE,FALSE§Z¿)=2,0,SUM(OFFSET(§A¿0,2,0,1,6,2,1,-1,0,0,TRUE,FALSE§Z¿,1,0,ROWS(§A¿0,2|3,1,1,6,2,1,-1,0,0,TRUE,FALSE,1,1,2,1,-1,0,0,TRUE,FALSE§Z¿)-2)))]]></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6,3,1,-1,0,0,TRUE,FALSE,1,1,3,1,-1,0,0,TRUE,FALSE§Z¿)=2,0,SUM(OFFSET(§A¿0,2,0,1,6,3,1,-1,0,0,TRUE,FALSE§Z¿,1,0,ROWS(§A¿0,2|3,1,1,6,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ther Current Assets - Operating Cash Flow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4,2,6,-1,0,0,FALSE,FALSE§Z¿]]></VOFFF>
                              </ClmnBlkPtProps>
                            </ClmnBlkPt>
                          </ClmnBlkPts>
                        </ClmnBlk>
                      </ClmnBlks>
                      <TtlCtg>
                        <TtlCtgProps>
                          <R>1</R>
                        </TtlCtgProps>
                      </TtlCtg>
                      <ElmtLnksOut>
                        <ElmtLnk>
                          <ElmtLnkProps>
                            <ELI>3,1,3</ELI>
                            <ELN>1</ELN>
                            <ELGN>2</ELGN>
                            <MLG>6E5AF44C-EC0F-4FB1-9DBF-12AF20CB1B11</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Other Current Asset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4</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LnkInForms>
                                <LnkInForm>
                                  <LnkInFormProps>
                                    <CBPLI>3,1,6,1,1</CBPLI>
                                    <ELN>1</ELN>
                                    <FFF><![CDATA[=§A¿10,FALSE,0,1,0,FALSE§Z¿]]></FFF>
                                  </LnkInFormProps>
                                </LnkInForm>
                              </LnkInForms>
                            </ClmnBlkPt>
                            <ClmnBlkPt>
                              <ClmnBlkPtProps>
                                <CBPT>1</CBPT>
                                <ST>6</ST>
                                <MC>True</MC>
                                <VOFFF><![CDATA[=§A¿0,3,0,1,6,1,3,0,0,0,FALSE,FALSE§Z¿]]></VOFFF>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3,0,1,5,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10</SON>
                                <VOFFF><![CDATA[0]]></VOFFF>
                                <UDAV><![CDATA[0]]></UDAV>
                              </ClmnBlkPtProps>
                              <LnkInForms>
                                <LnkInForm>
                                  <LnkInFormProps>
                                    <CBPLI>3,1,6,2,1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Ctgs>
                            <Ctg>
                              <CtgProps>
                                <R>4</R>
                              </CtgProps>
                              <LnkIn>
                                <LnkInProps>
                                  <MN>48</MN>
                                  <CLI>3,1,6,False,1</CLI>
                                  <ELN>1</ELN>
                                  <LOOT>0</LOOT>
                                  <LOMN>3</LOMN>
                                  <LOMCN>1</LOMCN>
                                  <LOSN>1</LOSN>
                                  <LOEN>10</LOEN>
                                  <LOCN>1</LOCN>
                                </LnkInProps>
                              </LnkIn>
                            </Ctg>
                          </Ctgs>
                        </SubTtl>
                      </SubTtls>
                      <TtlCtg>
                        <TtlCtgProps>
                          <R>4</R>
                        </TtlCtgProps>
                      </TtlCtg>
                      <ElmtLnksOut>
                        <ElmtLnk>
                          <ElmtLnkProps>
                            <ELN>1</ELN>
                            <ELGN>1</ELGN>
                            <MLG>1AE9F70D-C076-4591-949A-6A8783D91DFF</MLG>
                            <ICBI>1,2</ICBI>
                            <ILBN>1,2</ILBN>
                            <LIBN>0</LIBN>
                            <CLT>1</CLT>
                            <PLO>2</PLO>
                            <IPLO>0</IPLO>
                          </ElmtLnkProps>
                        </ElmtLnk>
                      </ElmtLnksOut>
                      <ElmtLnksIn>
                        <ElmtLnk>
                          <ElmtLnkProps>
                            <ELI>3,1,6</ELI>
                            <ELN>1</ELN>
                            <ELGN>1</ELGN>
                            <MLG>29E71C33-2409-4D6A-9321-4BD815C55068</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ClmnBlkPtProps>
                            </ClmnBlkPt>
                            <ClmnBlkPt>
                              <ClmnBlkPtProps>
                                <CBPT>1</CBPT>
                                <ST>6</ST>
                                <VOFFF><![CDATA[=§A¿0,3,0,1,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3,1,9,3,1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48</MN>
                                  <CLI>3,1,9,False,1</CLI>
                                  <ELN>1</ELN>
                                  <LOOT>2</LOOT>
                                  <LOMN>49</LOMN>
                                  <LOMCN>2</LOMCN>
                                  <LOSN>1</LOSN>
                                  <LOEN>1</LOEN>
                                  <LOCN>0</LOCN>
                                </LnkInProps>
                              </LnkIn>
                            </Ctg>
                          </Ctgs>
                        </SubTtl>
                      </SubTtls>
                      <TtlCtg>
                        <TtlCtgProps>
                          <R>4</R>
                        </TtlCtgProps>
                      </TtlCtg>
                      <ElmtLnksOut>
                        <ElmtLnk>
                          <ElmtLnkProps>
                            <ELI>3,1,9</ELI>
                            <ELN>1</ELN>
                            <ELGN>1</ELGN>
                            <MLG>A5C54348-39F7-4598-8526-34D2640EA490</MLG>
                            <ICBI>1,3</ICBI>
                            <ILBN>1,2</ILBN>
                            <LIBN>0</LIBN>
                          </ElmtLnkProps>
                        </ElmtLnk>
                      </ElmtLnksOut>
                      <ElmtLnksIn>
                        <ElmtLnk>
                          <ElmtLnkProps>
                            <ELI>3,1,9</ELI>
                            <ELN>1</ELN>
                            <ELGN>1</ELGN>
                            <MLG>901F9880-8B01-4EE1-8E4E-C6F9B4FB4E1A</MLG>
                            <ICBI>3</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3,0,1,1,3,1,-1,0,0,FALSE,FALSE§Z¿-§A¿0,3,0,1,9,3,6,-1,0,0,FALSE,FALSE§Z¿),1,0)]]></VOFFF>
                              </ClmnBlkPtProp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1,2,1,-1,0,0,FALSE,FALSE§Z¿<>0,0,IF(ROUND(§A¿0,3,0,1,1,3,1,-1,0,0,FALSE,FALSE§Z¿-§A¿0,3,0,1,9,3,6,-1,0,0,FALSE,FALSE§Z¿,5)<>0,1,0))]]></VOFFF>
                              </ClmnBlkPtProps>
                              <FmtCnds>
                                <FmtCnd>
                                  <FmtCndProps>
                                    <CBPLI>3,1,12,2,1</CBPLI>
                                    <FCN>1</FCN>
                                    <FCT>1</FCT>
                                    <FCO>4</FCO>
                                    <F1FFF><![CDATA[=0]]></F1FFF>
                                    <F2FFF/>
                                    <SIT>False</SIT>
                                    <BSV>True</BSV>
                                    <BCT>0</BCT>
                                    <CNBCN>0</CNBCN>
                                    <BTAS>0</BTAS>
                                    <IST>1</IST>
                                    <RO>False</RO>
                                    <SIO>False</SIO>
                                    <TO>0</TO>
                                    <TS/>
                                    <DO>1</DO>
                                    <TB>1</TB>
                                    <R>10</R>
                                    <P>False</P>
                                    <AB>0</AB>
                                    <NSD>1</NSD>
                                    <DU>1</DU>
                                    <INF>False</INF>
                                    <NT>0</NT>
                                    <DP>0</DP>
                                    <CNF/>
                                  </FmtCndProps>
                                  <FntOvly>
                                    <FntOvlyProps>
                                      <PT>2</PT>
                                      <SON>0</SON>
                                      <CBPLI>3,1,12,2,1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2</SON>
                                <VOFFF><![CDATA[=IF(ISERROR(SUM(§A¿0,3,1,1,13,3,1,-1,0,0,FALSE,FALSE,1,13,3,1,-1,1,0,FALSE,FALSE§Z¿)),1,MIN(SUM(§A¿0,3,1,1,13,3,1,-1,0,0,FALSE,FALSE,1,13,3,1,-1,1,0,FALSE,FALSE§Z¿),1))]]></VOFFF>
                              </ClmnBlkPtProps>
                              <Chk>
                                <ChkProps>
                                  <CBPLI>3,1,13,2,1</CBPLI>
                                  <CT>0</CT>
                                  <CN>17</CN>
                                  <HST>1</HST>
                                  <CHT/>
                                  <HCBPLI>1,1,2,1,1</HCBPLI>
                                </ChkProps>
                              </Chk>
                              <Cmts>
                                <Cmt>
                                  <CmtProps>
                                    <CBPLI>3,1,13,2,1</CBPLI>
                                    <WRN>1</WRN>
                                    <ERT>5</ERT>
                                    <COSTN>0</COSTN>
                                    <OC>0</OC>
                                    <HT><![CDATA[Error Check]]></HT>
                                    <HFS>0</HFS>
                                    <BT><![CDATA[Flags the existence of errors.]]></BT>
                                    <BFS>0</BFS>
                                    <H>103</H>
                                    <W>128</W>
                                  </CmtProps>
                                </Cmt>
                              </Cmts>
                              <FmtCnds>
                                <FmtCnd>
                                  <FmtCndProps>
                                    <CBPLI>3,1,13,2,1</CBPLI>
                                    <FCN>1</FCN>
                                    <FCT>1</FCT>
                                    <FCO>4</FCO>
                                    <F1FFF><![CDATA[=0]]></F1FFF>
                                    <F2FFF/>
                                    <SIT>False</SIT>
                                    <BSV>True</BSV>
                                    <BCT>0</BCT>
                                    <CNBCN>0</CNBCN>
                                    <BTAS>0</BTAS>
                                    <IST>1</IST>
                                    <RO>False</RO>
                                    <SIO>False</SIO>
                                    <TO>0</TO>
                                    <TS/>
                                    <DO>1</DO>
                                    <TB>1</TB>
                                    <R>10</R>
                                    <P>False</P>
                                    <AB>0</AB>
                                    <NSD>1</NSD>
                                    <DU>1</DU>
                                    <INF>False</INF>
                                    <NT>0</NT>
                                    <DP>0</DP>
                                    <CNF/>
                                  </FmtCndProps>
                                  <FntOvly>
                                    <FntOvlyProps>
                                      <PT>2</PT>
                                      <SON>0</SON>
                                      <CBPLI>3,1,13,2,1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MIN(SUM(§A¿0,3,1,1,11,2,1,-1,0,0,FALSE,FALSE,1,12,2,1,-1,0,0,FALSE,FALSE§Z¿),1)]]></VOFFF>
                              </ClmnBlkPtProps>
                              <FmtCnds>
                                <FmtCnd>
                                  <FmtCndProps>
                                    <CBPLI>3,1,13,3,1</CBPLI>
                                    <FCN>1</FCN>
                                    <FCT>1</FCT>
                                    <FCO>4</FCO>
                                    <F1FFF><![CDATA[=0]]></F1FFF>
                                    <F2FFF/>
                                    <SIT>False</SIT>
                                    <BSV>True</BSV>
                                    <BCT>0</BCT>
                                    <CNBCN>0</CNBCN>
                                    <BTAS>0</BTAS>
                                    <IST>1</IST>
                                    <RO>False</RO>
                                    <SIO>False</SIO>
                                    <TO>0</TO>
                                    <TS/>
                                    <DO>1</DO>
                                    <TB>1</TB>
                                    <R>10</R>
                                    <P>False</P>
                                    <AB>0</AB>
                                    <NSD>1</NSD>
                                    <DU>1</DU>
                                    <INF>False</INF>
                                    <NT>0</NT>
                                    <DP>0</DP>
                                    <CNF/>
                                  </FmtCndProps>
                                  <FntOvly>
                                    <FntOvlyProps>
                                      <PT>2</PT>
                                      <SON>0</SON>
                                      <CBPLI>3,1,13,3,1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ca_Cat]]></P>
            <OI>315</OI>
            <MN>0</MN>
            <MAG>0A3D1B54-7B18-4AE2-B3C2-0691D0B948A4</MAG>
            <BN><![CDATA[Other Current Assets Category]]></BN>
            <N><![CDATA[Other Current Assets - Other Current Assets]]></N>
            <TS><![CDATA[Monthly]]></TS>
            <D><![CDATA[Calculates other current assets for a single other current assets category over a number of time series periods.]]></D>
            <FS><![CDATA[Collects movements assumptions for each time series period.]]></FS>
            <R><![CDATA[Any]]></R>
            <GE><![CDATA[Other Current Assets Category]]></GE>
            <CA><![CDATA[Movements]]></CA>
            <VA><![CDATA[Single Component]]></VA>
            <GST><![CDATA[None]]></GST>
            <DE><![CDATA[Modano]]></DE>
            <E><![CDATA[info@modano.com]]></E>
            <C><![CDATA[Modano]]></C>
            <W><![CDATA[www.modano.com]]></W>
            <K/>
            <CO/>
            <V>11.0.1.0.</V>
            <AX>2</AX>
            <SX/>
            <PMLO>False</PMLO>
            <IPMLO>False</IPMLO>
            <MACA>1</MACA>
            <HP>True</HP>
            <DR>True</DR>
            <RTSM>True</RTSM>
            <CC>False</CC>
            <X>False</X>
            <G>A4F38B89-EE1C-4235-A81C-8DE387C99B18</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NT>-2</NT>
                <DP>0</DP>
                <CNF><![CDATA[_("+"#,##0.0_);(#,##0.0);_("-"_);_)@_)]]></CNF>
              </StlOvlyProps>
            </StlOvly>
            <StlOvly>
              <StlOvlyProps>
                <SON>3</SON>
              </StlOvlyProps>
              <BdrOvlys>
                <BdrOvly>
                  <BdrOvlyProps>
                    <PT>1</PT>
                    <SON>3</SON>
                    <CBPLI/>
                    <FCN>0</FCN>
                    <I>True</I>
                    <BI>10</BI>
                    <LS>1</LS>
                    <W>2</W>
                  </BdrOvlyProps>
                </BdrOvly>
              </BdrOvlys>
            </StlOvly>
          </StlOvlys>
          <TrigCbps>
            <TrigCbp>
              <TrigCbpProps>
                <LI>2,1,1,1,1</LI>
                <TT>2</TT>
                <RLI/>
                <R2LI/>
                <TS/>
                <OT>0</OT>
                <FO>0</FO>
              </TrigCbpProps>
            </TrigCbp>
          </TrigCbps>
          <ModComps>
            <ModComp>
              <ModCompProps>
                <MN>49</MN>
                <MCN>1</MCN>
                <MCTK>BaseCase</MCTK>
                <RT><![CDATA[<ModuleName> - Assumptions]]></RT>
                <ERN>MODMC133</ERN>
                <MCST>1</MCST>
                <IPMC>False</IPMC>
                <SN>15</SN>
                <LODS>False</LODS>
                <LST>False</LST>
                <RSTF>False</RSTF>
                <STRA>0</STRA>
                <HS>False</HS>
                <IBOA>0</IBOA>
                <IB>True</IB>
                <CI><![CDATA[Other Current Assets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Movement +/-]]></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49</MN>
                <MCN>2</MCN>
                <MCTK>BaseCase</MCTK>
                <RT><![CDATA[<ModuleName> - Outputs]]></RT>
                <ERN>MODMC134</ERN>
                <MCST>1</MCST>
                <IPMC>False</IPMC>
                <SN>15</SN>
                <LODS>False</LODS>
                <LST>False</LST>
                <RSTF>False</RSTF>
                <STRA>0</STRA>
                <HS>False</HS>
                <IBOA>0</IBOA>
                <IB>True</IB>
                <CI><![CDATA[Other Current Assets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duleGenericName>]]></VOFFF>
                              </ClmnBlkPtProps>
                              <LnkInForms>
                                <LnkInForm>
                                  <LnkInFormProps>
                                    <CBPLI>2,1,1,1,1</CBPLI>
                                    <ELN>1</ELN>
                                    <FFF><![CDATA[=§A¿10,FALSE,0,1,0,FALSE§Z¿]]></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18</ST>
                                <SON>3</SON>
                                <VOFFF><![CDATA[0]]></VOFFF>
                              </ClmnBlkPtProps>
                              <LnkInForms>
                                <LnkInForm>
                                  <LnkInFormProps>
                                    <CBPLI>2,1,1,2,1</CBPLI>
                                    <ELN>1</ELN>
                                    <FFF><![CDATA[=§A¿10,FALSE,0,2,0,FALSE§Z¿]]></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A¿0,2,0,1,1,2,1,-1,0,0,FALSE,FALSE§Z¿+§A¿0,1,0,1,1,3,1,-1,0,0,FALSE,FALSE§Z¿]]></VOFFF>
                              </ClmnBlkPtProps>
                              <LnkInForms>
                                <LnkInForm>
                                  <LnkInFormProps>
                                    <CBPLI>2,1,1,3,1</CBPLI>
                                    <ELN>1</ELN>
                                    <FFF/>
                                  </LnkInFormProps>
                                </LnkInForm>
                              </LnkInForms>
                            </ClmnBlkPt>
                          </ClmnBlkPts>
                        </ClmnBlk>
                      </ClmnBlks>
                      <TtlCtg>
                        <TtlCtgProps>
                          <R>1</R>
                        </TtlCtgProps>
                        <LnkIn>
                          <LnkInProps>
                            <MN>49</MN>
                            <CLI>2,1,1,True,0</CLI>
                            <ELN>1</ELN>
                            <LOOT>0</LOOT>
                            <LOMN>48</LOMN>
                            <LOMCN>3</LOMCN>
                            <LOSN>1</LOSN>
                            <LOEN>6</LOEN>
                            <LOCN>1</LOCN>
                          </LnkInProps>
                        </LnkIn>
                      </TtlCtg>
                      <ElmtLnksOut>
                        <ElmtLnk>
                          <ElmtLnkProps>
                            <ELI>2,1,1</ELI>
                            <ELN>1</ELN>
                            <ELGN>1</ELGN>
                            <MLG>901F9880-8B01-4EE1-8E4E-C6F9B4FB4E1A</MLG>
                            <ICBI>1,3</ICBI>
                            <ILBN>1,2</ILBN>
                            <LIBN>0</LIBN>
                          </ElmtLnkProps>
                        </ElmtLnk>
                      </ElmtLnksOut>
                      <ElmtLnksIn>
                        <ElmtLnk>
                          <ElmtLnkProps>
                            <ELI>2,1,1</ELI>
                            <ELN>1</ELN>
                            <ELGN>1</ELGN>
                            <MLG>1AE9F70D-C076-4591-949A-6A8783D91DFF</MLG>
                            <ICBI>1,2</ICBI>
                            <ILBN/>
                            <LIBN>0</LIBN>
                          </ElmtLnkProps>
                        </ElmtLnk>
                      </ElmtLnksIn>
                    </Elmt>
                  </Elmts>
                </Sect>
              </Sects>
            </ModComp>
          </ModComps>
        </Mod>
        <Mod>
          <ModProps>
            <MVS>14.0.5.0</MVS>
            <RAV/>
            <RXV>0</RXV>
            <FV>3</FV>
            <MT>0</MT>
            <SCT>-1</SCT>
            <P><![CDATA[Onca]]></P>
            <OI>320</OI>
            <MN>0</MN>
            <MAG>0A3D1B54-7B18-4AE2-B3C2-0691D0B948A4</MAG>
            <BN><![CDATA[Other Non-Current Assets]]></BN>
            <N><![CDATA[Other Non-Current Assets]]></N>
            <TS><![CDATA[Monthly]]></TS>
            <D><![CDATA[Calculates other non-current assets for a number of other non-current assets categories over a number of time series periods.]]></D>
            <FS><![CDATA[Allows for a separate module for each other non-current assets category to facilitate variable drivers functionalities.]]></FS>
            <R><![CDATA[Any]]></R>
            <GE><![CDATA[Other Non-Current Assets]]></GE>
            <CA><![CDATA[Variable Drivers]]></CA>
            <VA><![CDATA[Single Component]]></VA>
            <GST><![CDATA[None]]></GST>
            <DE><![CDATA[Modano]]></DE>
            <E><![CDATA[info@modano.com]]></E>
            <C><![CDATA[Modano]]></C>
            <W><![CDATA[www.modano.com]]></W>
            <K/>
            <CO/>
            <V>11.0.1.0.</V>
            <AX>2</AX>
            <SX/>
            <PMLO>False</PMLO>
            <IPMLO>False</IPMLO>
            <MACA>0</MACA>
            <HP>False</HP>
            <DR>False</DR>
            <RTSM>True</RTSM>
            <CC>True</CC>
            <X>False</X>
            <G>CC8C57D0-19AF-49D6-9B4B-962246AC61D6</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StlOvly>
            <StlOvly>
              <StlOvlyProps>
                <SON>4</SON>
                <IHA>True</IHA>
                <HA>-4108</HA>
              </StlOvlyProps>
              <FntOvly>
                <FntOvlyProps>
                  <PT>1</PT>
                  <SON>4</SON>
                  <CBPLI>0,0,0,0,0</CBPLI>
                  <FCN>0</FCN>
                  <CN>0</CN>
                  <IC>True</IC>
                  <CT>-3</CT>
                  <CNU>2</CNU>
                  <CPR>8421504</CPR>
                  <TAS>0.4999847</TAS>
                </FntOvlyProps>
              </FntOvly>
            </StlOvly>
            <StlOvly>
              <StlOvlyProps>
                <SON>5</SON>
                <INF>True</INF>
                <NT>0</NT>
                <DP>0</DP>
                <CNF/>
              </StlOvlyProps>
              <BdrOvlys>
                <BdrOvly>
                  <BdrOvlyProps>
                    <PT>1</PT>
                    <SON>5</SON>
                    <CBPLI/>
                    <FCN>0</FCN>
                    <I>True</I>
                    <BI>9</BI>
                    <LS>-4115</LS>
                    <W>2</W>
                  </BdrOvlyProps>
                </BdrOvly>
              </BdrOvlys>
            </StlOvly>
            <StlOvly>
              <StlOvlyProps>
                <SON>6</SON>
                <IHA>True</IHA>
                <HA>-4152</HA>
              </StlOvlyProps>
              <BdrOvlys>
                <BdrOvly>
                  <BdrOvlyProps>
                    <PT>1</PT>
                    <SON>6</SON>
                    <CBPLI/>
                    <FCN>0</FCN>
                    <I>True</I>
                    <BI>9</BI>
                    <LS>-4115</LS>
                    <W>2</W>
                  </BdrOvlyProps>
                </BdrOvly>
              </BdrOvlys>
            </StlOvly>
            <StlOvly>
              <StlOvlyProps>
                <SON>7</SON>
                <IHA>True</IHA>
                <HA>-4152</HA>
              </StlOvlyProps>
            </StlOvly>
            <StlOvly>
              <StlOvlyProps>
                <SON>8</SON>
              </StlOvlyProps>
              <FntOvly>
                <FntOvlyProps>
                  <PT>1</PT>
                  <SON>8</SON>
                  <CBPLI>0,0,0,0,0</CBPLI>
                  <FCN>0</FCN>
                  <CN>0</CN>
                  <IB>True</IB>
                  <B>True</B>
                </FntOvlyProps>
              </FntOvly>
              <BdrOvlys>
                <BdrOvly>
                  <BdrOvlyProps>
                    <PT>1</PT>
                    <SON>8</SON>
                    <CBPLI/>
                    <FCN>0</FCN>
                    <I>True</I>
                    <BI>10</BI>
                    <LS>1</LS>
                    <W>2</W>
                  </BdrOvlyProps>
                </BdrOvly>
                <BdrOvly>
                  <BdrOvlyProps>
                    <PT>1</PT>
                    <SON>8</SON>
                    <CBPLI/>
                    <FCN>0</FCN>
                    <I>True</I>
                    <BI>8</BI>
                    <LS>1</LS>
                    <W>2</W>
                  </BdrOvlyProps>
                </BdrOvly>
              </BdrOvlys>
            </StlOvly>
            <StlOvly>
              <StlOvlyProps>
                <SON>9</SON>
                <IHA>True</IHA>
                <HA>-4152</HA>
              </StlOvlyProps>
              <FntOvly>
                <FntOvlyProps>
                  <PT>1</PT>
                  <SON>9</SON>
                  <CBPLI>0,0,0,0,0</CBPLI>
                  <FCN>0</FCN>
                  <CN>0</CN>
                  <IB>True</IB>
                  <B>True</B>
                </FntOvlyProps>
              </FntOvly>
              <BdrOvlys>
                <BdrOvly>
                  <BdrOvlyProps>
                    <PT>1</PT>
                    <SON>9</SON>
                    <CBPLI/>
                    <FCN>0</FCN>
                    <I>True</I>
                    <BI>10</BI>
                    <LS>1</LS>
                    <W>2</W>
                  </BdrOvlyProps>
                </BdrOvly>
                <BdrOvly>
                  <BdrOvlyProps>
                    <PT>1</PT>
                    <SON>9</SON>
                    <CBPLI/>
                    <FCN>0</FCN>
                    <I>True</I>
                    <BI>9</BI>
                    <LS>1</LS>
                    <W>2</W>
                  </BdrOvlyProps>
                </BdrOvly>
              </BdrOvlys>
            </StlOvly>
            <StlOvly>
              <StlOvlyProps>
                <SON>10</SON>
              </StlOvlyProps>
              <BdrOvlys>
                <BdrOvly>
                  <BdrOvlyProps>
                    <PT>1</PT>
                    <SON>10</SON>
                    <CBPLI/>
                    <FCN>0</FCN>
                    <I>True</I>
                    <BI>10</BI>
                    <LS>1</LS>
                    <W>2</W>
                  </BdrOvlyProps>
                </BdrOvly>
              </BdrOvlys>
            </StlOvly>
          </StlOvlys>
          <ElmtsGrps>
            <ElmtsGrp>
              <ElmtsGrpProps>
                <NU>1</NU>
                <NA><![CDATA[Other Non-Current Assets]]></NA>
                <EGT>0</EGT>
                <DCC>6</DCC>
                <AST>False</AST>
                <ISTH>True</ISTH>
                <PTMCN>0</PTMCN>
                <PTBN>0</PTBN>
                <PTBI>0</PTBI>
                <GLN/>
                <CLOT>0</CLOT>
                <CLIT>0</CLIT>
                <PMLO>0</PMLO>
                <IPMLO>0</IPMLO>
              </ElmtsGrpProps>
            </ElmtsGrp>
          </ElmtsGrps>
          <ModComps>
            <ModComp>
              <ModCompProps>
                <MN>50</MN>
                <MCN>1</MCN>
                <MCTK>BaseCase</MCTK>
                <RT><![CDATA[<ModuleName> - Top]]></RT>
                <ERN>MODMC135</ERN>
                <MCST>1</MCST>
                <IPMC>False</IPMC>
                <SN>15</SN>
                <LODS>False</LODS>
                <LST>False</LST>
                <RSTF>False</RSTF>
                <STRA>0</STRA>
                <HS>False</HS>
                <IBOA>0</IBOA>
                <IB>True</IB>
                <CI><![CDATA[Other Non-Current Assets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25</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4</SON>
                                <VOFFF><![CDATA[Driver]]></VOFFF>
                              </ClmnBlkPtProps>
                            </ClmnBlkPt>
                          </ClmnBlkPts>
                        </ClmnBlk>
                      </ClmnBlks>
                      <TtlCtg>
                        <TtlCtgProps>
                          <R>1</R>
                        </TtlCtgProps>
                      </TtlCtg>
                    </Elmt>
                  </Elmts>
                </Sect>
              </Sects>
            </ModComp>
            <ModComp>
              <ModCompProps>
                <MN>50</MN>
                <MCN>2</MCN>
                <MCTK>BaseCase</MCTK>
                <RT><![CDATA[<ModuleName> - Middle]]></RT>
                <ERN>MODMC136</ERN>
                <MCST>1</MCST>
                <IPMC>False</IPMC>
                <SN>15</SN>
                <LODS>False</LODS>
                <LST>False</LST>
                <RSTF>False</RSTF>
                <STRA>0</STRA>
                <HS>False</HS>
                <IBOA>0</IBOA>
                <IB>True</IB>
                <CI><![CDATA[Other Non-Current Assets Outputs]]></CI>
                <PTI/>
                <PTP>False</PTP>
                <PTD><![CDATA[Monthly time series periods.]]></PTD>
                <PTMCN>4</PTMCN>
                <CROL>0</CROL>
                <CCOL>0</CCOL>
                <AMFN>0</AMFN>
              </ModCompProps>
              <Sects>
                <Sect>
                  <SectProps>
                    <LI>2,1</LI>
                    <EGN>0</EGN>
                  </SectProps>
                  <Elmts>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2,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Opening Balanc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IF(§A¿9,4,2,0,1,6,3,1,-1,0,0,TRUE,FALSE§Z¿=1,§A¿0,3,0,1,6,2,1,0,0,0,FALSE,TRUE§Z¿,§A¿0,3,0,1,9,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LnksOut>
                        <ElmtLnk>
                          <ElmtLnkProps>
                            <ELI>2,1,2</ELI>
                            <ELN>1</ELN>
                            <ELGN>1</ELGN>
                            <MLG>B32C2DCA-57C0-4FB1-A013-A5EA5831AB9B</MLG>
                            <ICBI>1,2</ICBI>
                            <ILBN>1,2</ILBN>
                            <LIBN>0</LIBN>
                          </ElmtLnkProps>
                        </ElmtLnk>
                      </ElmtLnksOut>
                    </Elmt>
                    <Elmt>
                      <ElmtProps>
                        <CPT>2</CPT>
                      </ElmtProps>
                      <TtlCtg>
                        <TtlCtgProps>
                          <R>5</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4,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Change in Other Non-Current Assets]]></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3,0,1,9,3,1,0,0,0,FALSE,FALSE§Z¿-§A¿0,2,0,1,2,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
                    <Elmt>
                      <ElmtProps>
                        <CPT>2</CPT>
                      </ElmtProps>
                      <TtlCtg>
                        <TtlCtgProps>
                          <R>5</R>
                        </TtlCtgProps>
                      </TtlCtg>
                    </Elmt>
                    <Elmt>
                      <ElmtProps>
                        <CPT>2</CPT>
                      </ElmtProps>
                      <ClmnBlks>
                        <ClmnBlk>
                          <ClmnBlkProps>
                            <FCPT>3</FCPT>
                            <FCN>2</FCN>
                            <FCOT>0</FCOT>
                            <FCOC>0</FCOC>
                            <LCPT>3</LCPT>
                            <LCN>2</LCN>
                            <LCOT>1</LCOT>
                            <LCOC>0</LCOC>
                          </ClmnBlkProps>
                          <ClmnBlkPts>
                            <ClmnBlkPt>
                              <ClmnBlkPtProps>
                                <CBPT>5</CBPT>
                                <ST>5</ST>
                                <VOFFF><![CDATA[Closing Balanc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50</MN>
                <MCN>3</MCN>
                <MCTK>BaseCase</MCTK>
                <RT><![CDATA[<ModuleName> - Bottom]]></RT>
                <ERN>MODMC137</ERN>
                <MCST>1</MCST>
                <IPMC>False</IPMC>
                <SN>15</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8</SON>
                                <VOFFF><![CDATA[=IF(ROWS(§A¿0,2|3,1,1,6,2,1,-1,0,0,TRUE,FALSE,1,1,2,1,-1,0,0,TRUE,FALSE§Z¿)=2,0,SUM(OFFSET(§A¿0,2,0,1,6,2,1,-1,0,0,TRUE,FALSE§Z¿,1,0,ROWS(§A¿0,2|3,1,1,6,2,1,-1,0,0,TRUE,FALSE,1,1,2,1,-1,0,0,TRUE,FALSE§Z¿)-2)))]]></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6,3,1,-1,0,0,TRUE,FALSE,1,1,3,1,-1,0,0,TRUE,FALSE§Z¿)=2,0,SUM(OFFSET(§A¿0,2,0,1,6,3,1,-1,0,0,TRUE,FALSE§Z¿,1,0,ROWS(§A¿0,2|3,1,1,6,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ther Non-Current Assets - Investing Cash Flow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4,2,6,-1,0,0,FALSE,FALSE§Z¿]]></VOFFF>
                              </ClmnBlkPtProps>
                            </ClmnBlkPt>
                          </ClmnBlkPts>
                        </ClmnBlk>
                      </ClmnBlks>
                      <TtlCtg>
                        <TtlCtgProps>
                          <R>1</R>
                        </TtlCtgProps>
                      </TtlCtg>
                      <ElmtLnksOut>
                        <ElmtLnk>
                          <ElmtLnkProps>
                            <ELI>3,1,3</ELI>
                            <ELN>1</ELN>
                            <ELGN>2</ELGN>
                            <MLG>2AB00953-061E-42A0-B496-25769D461B2F</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Other Non-Current Asset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4</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LnkInForms>
                                <LnkInForm>
                                  <LnkInFormProps>
                                    <CBPLI>3,1,6,1,1</CBPLI>
                                    <ELN>1</ELN>
                                    <FFF><![CDATA[=§A¿10,FALSE,0,1,0,FALSE§Z¿]]></FFF>
                                  </LnkInFormProps>
                                </LnkInForm>
                              </LnkInForms>
                            </ClmnBlkPt>
                            <ClmnBlkPt>
                              <ClmnBlkPtProps>
                                <CBPT>1</CBPT>
                                <ST>6</ST>
                                <MC>True</MC>
                                <VOFFF><![CDATA[=§A¿0,3,0,1,6,1,3,0,0,0,FALSE,FALSE§Z¿]]></VOFFF>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3,0,1,5,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10</SON>
                                <VOFFF><![CDATA[0]]></VOFFF>
                                <UDAV><![CDATA[0]]></UDAV>
                              </ClmnBlkPtProps>
                              <LnkInForms>
                                <LnkInForm>
                                  <LnkInFormProps>
                                    <CBPLI>3,1,6,2,1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50</MN>
                                  <CLI>3,1,6,False,1</CLI>
                                  <ELN>1</ELN>
                                  <LOOT>0</LOOT>
                                  <LOMN>3</LOMN>
                                  <LOMCN>1</LOMCN>
                                  <LOSN>1</LOSN>
                                  <LOEN>16</LOEN>
                                  <LOCN>1</LOCN>
                                </LnkInProps>
                              </LnkIn>
                            </Ctg>
                          </Ctgs>
                        </SubTtl>
                      </SubTtls>
                      <TtlCtg>
                        <TtlCtgProps>
                          <R>4</R>
                        </TtlCtgProps>
                      </TtlCtg>
                      <ElmtLnksOut>
                        <ElmtLnk>
                          <ElmtLnkProps>
                            <ELN>1</ELN>
                            <ELGN>1</ELGN>
                            <MLG>BD4E366F-1368-463D-A672-DD35D0A5624B</MLG>
                            <ICBI>1,2</ICBI>
                            <ILBN>1,2</ILBN>
                            <LIBN>0</LIBN>
                            <CLT>1</CLT>
                            <PLO>2</PLO>
                            <IPLO>0</IPLO>
                          </ElmtLnkProps>
                        </ElmtLnk>
                      </ElmtLnksOut>
                      <ElmtLnksIn>
                        <ElmtLnk>
                          <ElmtLnkProps>
                            <ELI>3,1,6</ELI>
                            <ELN>1</ELN>
                            <ELGN>1</ELGN>
                            <MLG>F3412EFC-B309-419C-AE5B-850DCF4CEEC5</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ClmnBlkPtProps>
                            </ClmnBlkPt>
                            <ClmnBlkPt>
                              <ClmnBlkPtProps>
                                <CBPT>1</CBPT>
                                <ST>6</ST>
                                <VOFFF><![CDATA[=§A¿0,3,0,1,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3,1,9,3,1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50</MN>
                                  <CLI>3,1,9,False,1</CLI>
                                  <ELN>1</ELN>
                                  <LOOT>2</LOOT>
                                  <LOMN>51</LOMN>
                                  <LOMCN>2</LOMCN>
                                  <LOSN>1</LOSN>
                                  <LOEN>1</LOEN>
                                  <LOCN>0</LOCN>
                                </LnkInProps>
                              </LnkIn>
                            </Ctg>
                          </Ctgs>
                        </SubTtl>
                      </SubTtls>
                      <TtlCtg>
                        <TtlCtgProps>
                          <R>4</R>
                        </TtlCtgProps>
                      </TtlCtg>
                      <ElmtLnksOut>
                        <ElmtLnk>
                          <ElmtLnkProps>
                            <ELI>3,1,9</ELI>
                            <ELN>1</ELN>
                            <ELGN>1</ELGN>
                            <MLG>58469580-0C20-47AA-A811-BECCD1F1C54C</MLG>
                            <ICBI>1,3</ICBI>
                            <ILBN>1,2</ILBN>
                            <LIBN>0</LIBN>
                          </ElmtLnkProps>
                        </ElmtLnk>
                      </ElmtLnksOut>
                      <ElmtLnksIn>
                        <ElmtLnk>
                          <ElmtLnkProps>
                            <ELI>3,1,9</ELI>
                            <ELN>1</ELN>
                            <ELGN>1</ELGN>
                            <MLG>E2D52BE5-A5CC-49A1-A115-0AA1BC4BCA2A</MLG>
                            <ICBI>3</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3,0,1,1,3,1,-1,0,0,FALSE,FALSE§Z¿-§A¿0,3,0,1,9,3,6,-1,0,0,FALSE,FALSE§Z¿),1,0)]]></VOFFF>
                              </ClmnBlkPtProp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1,2,1,-1,0,0,FALSE,FALSE§Z¿<>0,0,IF(ROUND(§A¿0,3,0,1,1,3,1,-1,0,0,FALSE,FALSE§Z¿-§A¿0,3,0,1,9,3,6,-1,0,0,FALSE,FALSE§Z¿,5)<>0,1,0))]]></VOFFF>
                              </ClmnBlkPtProps>
                              <FmtCnds>
                                <FmtCnd>
                                  <FmtCndProps>
                                    <CBPLI>3,1,12,2,1</CBPLI>
                                    <FCN>1</FCN>
                                    <FCT>1</FCT>
                                    <FCO>4</FCO>
                                    <F1FFF><![CDATA[=0]]></F1FFF>
                                    <F2FFF/>
                                    <SIT>False</SIT>
                                    <BSV>True</BSV>
                                    <BCT>0</BCT>
                                    <CNBCN>0</CNBCN>
                                    <BTAS>0</BTAS>
                                    <IST>1</IST>
                                    <RO>False</RO>
                                    <SIO>False</SIO>
                                    <TO>0</TO>
                                    <TS/>
                                    <DO>1</DO>
                                    <TB>1</TB>
                                    <R>10</R>
                                    <P>False</P>
                                    <AB>0</AB>
                                    <NSD>1</NSD>
                                    <DU>1</DU>
                                    <INF>False</INF>
                                    <NT>0</NT>
                                    <DP>0</DP>
                                    <CNF/>
                                  </FmtCndProps>
                                  <FntOvly>
                                    <FntOvlyProps>
                                      <PT>2</PT>
                                      <SON>0</SON>
                                      <CBPLI>3,1,12,2,1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2</SON>
                                <VOFFF><![CDATA[=IF(ISERROR(SUM(§A¿0,3,1,1,13,3,1,-1,0,0,FALSE,FALSE,1,13,3,1,-1,1,0,FALSE,FALSE§Z¿)),1,MIN(SUM(§A¿0,3,1,1,13,3,1,-1,0,0,FALSE,FALSE,1,13,3,1,-1,1,0,FALSE,FALSE§Z¿),1))]]></VOFFF>
                              </ClmnBlkPtProps>
                              <Chk>
                                <ChkProps>
                                  <CBPLI>3,1,13,2,1</CBPLI>
                                  <CT>0</CT>
                                  <CN>25</CN>
                                  <HST>1</HST>
                                  <CHT/>
                                  <HCBPLI>1,1,2,1,1</HCBPLI>
                                </ChkProps>
                              </Chk>
                              <Cmts>
                                <Cmt>
                                  <CmtProps>
                                    <CBPLI>3,1,13,2,1</CBPLI>
                                    <WRN>1</WRN>
                                    <ERT>5</ERT>
                                    <COSTN>0</COSTN>
                                    <OC>0</OC>
                                    <HT><![CDATA[Error Check]]></HT>
                                    <HFS>0</HFS>
                                    <BT><![CDATA[Flags the existence of errors.]]></BT>
                                    <BFS>0</BFS>
                                    <H>103</H>
                                    <W>128</W>
                                  </CmtProps>
                                </Cmt>
                              </Cmts>
                              <FmtCnds>
                                <FmtCnd>
                                  <FmtCndProps>
                                    <CBPLI>3,1,13,2,1</CBPLI>
                                    <FCN>1</FCN>
                                    <FCT>1</FCT>
                                    <FCO>4</FCO>
                                    <F1FFF><![CDATA[=0]]></F1FFF>
                                    <F2FFF/>
                                    <SIT>False</SIT>
                                    <BSV>True</BSV>
                                    <BCT>0</BCT>
                                    <CNBCN>0</CNBCN>
                                    <BTAS>0</BTAS>
                                    <IST>1</IST>
                                    <RO>False</RO>
                                    <SIO>False</SIO>
                                    <TO>0</TO>
                                    <TS/>
                                    <DO>1</DO>
                                    <TB>1</TB>
                                    <R>10</R>
                                    <P>False</P>
                                    <AB>0</AB>
                                    <NSD>1</NSD>
                                    <DU>1</DU>
                                    <INF>False</INF>
                                    <NT>0</NT>
                                    <DP>0</DP>
                                    <CNF/>
                                  </FmtCndProps>
                                  <FntOvly>
                                    <FntOvlyProps>
                                      <PT>2</PT>
                                      <SON>0</SON>
                                      <CBPLI>3,1,13,2,1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MIN(SUM(§A¿0,3,1,1,11,2,1,-1,0,0,FALSE,FALSE,1,12,2,1,-1,0,0,FALSE,FALSE§Z¿),1)]]></VOFFF>
                              </ClmnBlkPtProps>
                              <FmtCnds>
                                <FmtCnd>
                                  <FmtCndProps>
                                    <CBPLI>3,1,13,3,1</CBPLI>
                                    <FCN>1</FCN>
                                    <FCT>1</FCT>
                                    <FCO>4</FCO>
                                    <F1FFF><![CDATA[=0]]></F1FFF>
                                    <F2FFF/>
                                    <SIT>False</SIT>
                                    <BSV>True</BSV>
                                    <BCT>0</BCT>
                                    <CNBCN>0</CNBCN>
                                    <BTAS>0</BTAS>
                                    <IST>1</IST>
                                    <RO>False</RO>
                                    <SIO>False</SIO>
                                    <TO>0</TO>
                                    <TS/>
                                    <DO>1</DO>
                                    <TB>1</TB>
                                    <R>10</R>
                                    <P>False</P>
                                    <AB>0</AB>
                                    <NSD>1</NSD>
                                    <DU>1</DU>
                                    <INF>False</INF>
                                    <NT>0</NT>
                                    <DP>0</DP>
                                    <CNF/>
                                  </FmtCndProps>
                                  <FntOvly>
                                    <FntOvlyProps>
                                      <PT>2</PT>
                                      <SON>0</SON>
                                      <CBPLI>3,1,13,3,1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nca_Cat]]></P>
            <OI>325</OI>
            <MN>0</MN>
            <MAG>0A3D1B54-7B18-4AE2-B3C2-0691D0B948A4</MAG>
            <BN><![CDATA[Other Non-Current Assets Category]]></BN>
            <N><![CDATA[Other Non-Current Assets - Other Non-Current Assets]]></N>
            <TS><![CDATA[Monthly]]></TS>
            <D><![CDATA[Calculates other non-current assets for a single other non-current assets category over a number of time series periods.]]></D>
            <FS><![CDATA[Collects movements assumptions for each time series period.]]></FS>
            <R><![CDATA[Any]]></R>
            <GE><![CDATA[Other Non-Current Assets Category]]></GE>
            <CA><![CDATA[Movements]]></CA>
            <VA><![CDATA[Single Component]]></VA>
            <GST><![CDATA[None]]></GST>
            <DE><![CDATA[Modano]]></DE>
            <E><![CDATA[info@modano.com]]></E>
            <C><![CDATA[Modano]]></C>
            <W><![CDATA[www.modano.com]]></W>
            <K/>
            <CO/>
            <V>11.0.1.0.</V>
            <AX>2</AX>
            <SX/>
            <PMLO>False</PMLO>
            <IPMLO>False</IPMLO>
            <MACA>1</MACA>
            <HP>True</HP>
            <DR>True</DR>
            <RTSM>True</RTSM>
            <CC>False</CC>
            <X>False</X>
            <G>32A9C75F-156E-4B41-899B-D9BC4D0D9C5B</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NT>-2</NT>
                <DP>0</DP>
                <CNF><![CDATA[_("+"#,##0.0_);(#,##0.0);_("-"_);_)@_)]]></CNF>
              </StlOvlyProps>
            </StlOvly>
            <StlOvly>
              <StlOvlyProps>
                <SON>3</SON>
              </StlOvlyProps>
              <BdrOvlys>
                <BdrOvly>
                  <BdrOvlyProps>
                    <PT>1</PT>
                    <SON>3</SON>
                    <CBPLI/>
                    <FCN>0</FCN>
                    <I>True</I>
                    <BI>10</BI>
                    <LS>1</LS>
                    <W>2</W>
                  </BdrOvlyProps>
                </BdrOvly>
              </BdrOvlys>
            </StlOvly>
          </StlOvlys>
          <TrigCbps>
            <TrigCbp>
              <TrigCbpProps>
                <LI>2,1,1,1,1</LI>
                <TT>2</TT>
                <RLI/>
                <R2LI/>
                <TS/>
                <OT>0</OT>
                <FO>0</FO>
              </TrigCbpProps>
            </TrigCbp>
          </TrigCbps>
          <ModComps>
            <ModComp>
              <ModCompProps>
                <MN>51</MN>
                <MCN>1</MCN>
                <MCTK>BaseCase</MCTK>
                <RT><![CDATA[<ModuleName> - Assumptions]]></RT>
                <ERN>MODMC138</ERN>
                <MCST>1</MCST>
                <IPMC>False</IPMC>
                <SN>15</SN>
                <LODS>False</LODS>
                <LST>False</LST>
                <RSTF>False</RSTF>
                <STRA>0</STRA>
                <HS>False</HS>
                <IBOA>0</IBOA>
                <IB>True</IB>
                <CI><![CDATA[Other Non-Current Assets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Movement +/-]]></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51</MN>
                <MCN>2</MCN>
                <MCTK>BaseCase</MCTK>
                <RT><![CDATA[<ModuleName> - Outputs]]></RT>
                <ERN>MODMC139</ERN>
                <MCST>1</MCST>
                <IPMC>False</IPMC>
                <SN>15</SN>
                <LODS>False</LODS>
                <LST>False</LST>
                <RSTF>False</RSTF>
                <STRA>0</STRA>
                <HS>False</HS>
                <IBOA>0</IBOA>
                <IB>True</IB>
                <CI><![CDATA[Other Non-Current Assets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duleGenericName>]]></VOFFF>
                              </ClmnBlkPtProps>
                              <LnkInForms>
                                <LnkInForm>
                                  <LnkInFormProps>
                                    <CBPLI>2,1,1,1,1</CBPLI>
                                    <ELN>1</ELN>
                                    <FFF><![CDATA[=§A¿10,FALSE,0,1,0,FALSE§Z¿]]></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18</ST>
                                <SON>3</SON>
                                <VOFFF><![CDATA[0]]></VOFFF>
                              </ClmnBlkPtProps>
                              <LnkInForms>
                                <LnkInForm>
                                  <LnkInFormProps>
                                    <CBPLI>2,1,1,2,1</CBPLI>
                                    <ELN>1</ELN>
                                    <FFF><![CDATA[=§A¿10,FALSE,0,2,0,FALSE§Z¿]]></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A¿0,2,0,1,1,2,1,-1,0,0,FALSE,FALSE§Z¿+§A¿0,1,0,1,1,3,1,-1,0,0,FALSE,FALSE§Z¿]]></VOFFF>
                              </ClmnBlkPtProps>
                              <LnkInForms>
                                <LnkInForm>
                                  <LnkInFormProps>
                                    <CBPLI>2,1,1,3,1</CBPLI>
                                    <ELN>1</ELN>
                                    <FFF/>
                                  </LnkInFormProps>
                                </LnkInForm>
                              </LnkInForms>
                            </ClmnBlkPt>
                          </ClmnBlkPts>
                        </ClmnBlk>
                      </ClmnBlks>
                      <TtlCtg>
                        <TtlCtgProps>
                          <R>1</R>
                        </TtlCtgProps>
                        <LnkIn>
                          <LnkInProps>
                            <MN>51</MN>
                            <CLI>2,1,1,True,0</CLI>
                            <ELN>1</ELN>
                            <LOOT>0</LOOT>
                            <LOMN>50</LOMN>
                            <LOMCN>3</LOMCN>
                            <LOSN>1</LOSN>
                            <LOEN>6</LOEN>
                            <LOCN>1</LOCN>
                          </LnkInProps>
                        </LnkIn>
                      </TtlCtg>
                      <ElmtLnksOut>
                        <ElmtLnk>
                          <ElmtLnkProps>
                            <ELI>2,1,1</ELI>
                            <ELN>1</ELN>
                            <ELGN>1</ELGN>
                            <MLG>E2D52BE5-A5CC-49A1-A115-0AA1BC4BCA2A</MLG>
                            <ICBI>1,3</ICBI>
                            <ILBN>1,2</ILBN>
                            <LIBN>0</LIBN>
                          </ElmtLnkProps>
                        </ElmtLnk>
                      </ElmtLnksOut>
                      <ElmtLnksIn>
                        <ElmtLnk>
                          <ElmtLnkProps>
                            <ELI>2,1,1</ELI>
                            <ELN>1</ELN>
                            <ELGN>1</ELGN>
                            <MLG>BD4E366F-1368-463D-A672-DD35D0A5624B</MLG>
                            <ICBI>1,2</ICBI>
                            <ILBN/>
                            <LIBN>0</LIBN>
                          </ElmtLnkProps>
                        </ElmtLnk>
                      </ElmtLnksIn>
                    </Elmt>
                  </Elmts>
                </Sect>
              </Sects>
            </ModComp>
          </ModComps>
        </Mod>
        <Mod>
          <ModProps>
            <MVS>14.0.5.0</MVS>
            <RAV/>
            <RXV>0</RXV>
            <FV>3</FV>
            <MT>0</MT>
            <SCT>-1</SCT>
            <P><![CDATA[Ocl]]></P>
            <OI>330</OI>
            <MN>0</MN>
            <MAG>0A3D1B54-7B18-4AE2-B3C2-0691D0B948A4</MAG>
            <BN><![CDATA[Other Current Liabilities]]></BN>
            <N><![CDATA[Other Current Liabilities]]></N>
            <TS><![CDATA[Monthly]]></TS>
            <D><![CDATA[Calculates other current liabilities for a number of other current liabilities categories over a number of time series periods.]]></D>
            <FS><![CDATA[Allows for a separate module for each other current liabilities category to facilitate variable drivers functionalities.]]></FS>
            <R><![CDATA[Any]]></R>
            <GE><![CDATA[Other Current Liabilities]]></GE>
            <CA><![CDATA[Variable Drivers]]></CA>
            <VA><![CDATA[Single Component]]></VA>
            <GST><![CDATA[None]]></GST>
            <DE><![CDATA[Modano]]></DE>
            <E><![CDATA[info@modano.com]]></E>
            <C><![CDATA[Modano]]></C>
            <W><![CDATA[www.modano.com]]></W>
            <K/>
            <CO/>
            <V>11.0.1.0.</V>
            <AX>2</AX>
            <SX/>
            <PMLO>False</PMLO>
            <IPMLO>False</IPMLO>
            <MACA>0</MACA>
            <HP>False</HP>
            <DR>False</DR>
            <RTSM>True</RTSM>
            <CC>True</CC>
            <X>False</X>
            <G>84AB34A8-6247-4052-AF77-FAD9FECF6801</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StlOvly>
            <StlOvly>
              <StlOvlyProps>
                <SON>4</SON>
                <IHA>True</IHA>
                <HA>-4108</HA>
              </StlOvlyProps>
              <FntOvly>
                <FntOvlyProps>
                  <PT>1</PT>
                  <SON>4</SON>
                  <CBPLI>0,0,0,0,0</CBPLI>
                  <FCN>0</FCN>
                  <CN>0</CN>
                  <IC>True</IC>
                  <CT>-3</CT>
                  <CNU>2</CNU>
                  <CPR>8421504</CPR>
                  <TAS>0.4999847</TAS>
                </FntOvlyProps>
              </FntOvly>
            </StlOvly>
            <StlOvly>
              <StlOvlyProps>
                <SON>5</SON>
                <INF>True</INF>
                <NT>0</NT>
                <DP>0</DP>
                <CNF/>
              </StlOvlyProps>
              <BdrOvlys>
                <BdrOvly>
                  <BdrOvlyProps>
                    <PT>1</PT>
                    <SON>5</SON>
                    <CBPLI/>
                    <FCN>0</FCN>
                    <I>True</I>
                    <BI>9</BI>
                    <LS>-4115</LS>
                    <W>2</W>
                  </BdrOvlyProps>
                </BdrOvly>
              </BdrOvlys>
            </StlOvly>
            <StlOvly>
              <StlOvlyProps>
                <SON>6</SON>
                <IHA>True</IHA>
                <HA>-4152</HA>
              </StlOvlyProps>
              <BdrOvlys>
                <BdrOvly>
                  <BdrOvlyProps>
                    <PT>1</PT>
                    <SON>6</SON>
                    <CBPLI/>
                    <FCN>0</FCN>
                    <I>True</I>
                    <BI>9</BI>
                    <LS>-4115</LS>
                    <W>2</W>
                  </BdrOvlyProps>
                </BdrOvly>
              </BdrOvlys>
            </StlOvly>
            <StlOvly>
              <StlOvlyProps>
                <SON>7</SON>
                <IHA>True</IHA>
                <HA>-4152</HA>
              </StlOvlyProps>
            </StlOvly>
            <StlOvly>
              <StlOvlyProps>
                <SON>8</SON>
              </StlOvlyProps>
              <FntOvly>
                <FntOvlyProps>
                  <PT>1</PT>
                  <SON>8</SON>
                  <CBPLI>0,0,0,0,0</CBPLI>
                  <FCN>0</FCN>
                  <CN>0</CN>
                  <IB>True</IB>
                  <B>True</B>
                </FntOvlyProps>
              </FntOvly>
              <BdrOvlys>
                <BdrOvly>
                  <BdrOvlyProps>
                    <PT>1</PT>
                    <SON>8</SON>
                    <CBPLI/>
                    <FCN>0</FCN>
                    <I>True</I>
                    <BI>10</BI>
                    <LS>1</LS>
                    <W>2</W>
                  </BdrOvlyProps>
                </BdrOvly>
                <BdrOvly>
                  <BdrOvlyProps>
                    <PT>1</PT>
                    <SON>8</SON>
                    <CBPLI/>
                    <FCN>0</FCN>
                    <I>True</I>
                    <BI>8</BI>
                    <LS>1</LS>
                    <W>2</W>
                  </BdrOvlyProps>
                </BdrOvly>
              </BdrOvlys>
            </StlOvly>
            <StlOvly>
              <StlOvlyProps>
                <SON>9</SON>
                <IHA>True</IHA>
                <HA>-4152</HA>
              </StlOvlyProps>
              <FntOvly>
                <FntOvlyProps>
                  <PT>1</PT>
                  <SON>9</SON>
                  <CBPLI>0,0,0,0,0</CBPLI>
                  <FCN>0</FCN>
                  <CN>0</CN>
                  <IB>True</IB>
                  <B>True</B>
                </FntOvlyProps>
              </FntOvly>
              <BdrOvlys>
                <BdrOvly>
                  <BdrOvlyProps>
                    <PT>1</PT>
                    <SON>9</SON>
                    <CBPLI/>
                    <FCN>0</FCN>
                    <I>True</I>
                    <BI>10</BI>
                    <LS>1</LS>
                    <W>2</W>
                  </BdrOvlyProps>
                </BdrOvly>
                <BdrOvly>
                  <BdrOvlyProps>
                    <PT>1</PT>
                    <SON>9</SON>
                    <CBPLI/>
                    <FCN>0</FCN>
                    <I>True</I>
                    <BI>9</BI>
                    <LS>1</LS>
                    <W>2</W>
                  </BdrOvlyProps>
                </BdrOvly>
              </BdrOvlys>
            </StlOvly>
            <StlOvly>
              <StlOvlyProps>
                <SON>10</SON>
              </StlOvlyProps>
              <BdrOvlys>
                <BdrOvly>
                  <BdrOvlyProps>
                    <PT>1</PT>
                    <SON>10</SON>
                    <CBPLI/>
                    <FCN>0</FCN>
                    <I>True</I>
                    <BI>10</BI>
                    <LS>1</LS>
                    <W>2</W>
                  </BdrOvlyProps>
                </BdrOvly>
              </BdrOvlys>
            </StlOvly>
          </StlOvlys>
          <ElmtsGrps>
            <ElmtsGrp>
              <ElmtsGrpProps>
                <NU>1</NU>
                <NA><![CDATA[Other Current Liabilities]]></NA>
                <EGT>0</EGT>
                <DCC>6</DCC>
                <AST>False</AST>
                <ISTH>True</ISTH>
                <PTMCN>0</PTMCN>
                <PTBN>0</PTBN>
                <PTBI>0</PTBI>
                <GLN/>
                <CLOT>0</CLOT>
                <CLIT>0</CLIT>
                <PMLO>0</PMLO>
                <IPMLO>0</IPMLO>
              </ElmtsGrpProps>
            </ElmtsGrp>
          </ElmtsGrps>
          <ModComps>
            <ModComp>
              <ModCompProps>
                <MN>52</MN>
                <MCN>1</MCN>
                <MCTK>BaseCase</MCTK>
                <RT><![CDATA[<ModuleName> - Top]]></RT>
                <ERN>MODMC140</ERN>
                <MCST>1</MCST>
                <IPMC>False</IPMC>
                <SN>15</SN>
                <LODS>False</LODS>
                <LST>False</LST>
                <RSTF>False</RSTF>
                <STRA>0</STRA>
                <HS>False</HS>
                <IBOA>0</IBOA>
                <IB>True</IB>
                <CI><![CDATA[Other Current Liabilities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42</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4</SON>
                                <VOFFF><![CDATA[Driver]]></VOFFF>
                              </ClmnBlkPtProps>
                            </ClmnBlkPt>
                          </ClmnBlkPts>
                        </ClmnBlk>
                      </ClmnBlks>
                      <TtlCtg>
                        <TtlCtgProps>
                          <R>1</R>
                        </TtlCtgProps>
                      </TtlCtg>
                    </Elmt>
                  </Elmts>
                </Sect>
              </Sects>
            </ModComp>
            <ModComp>
              <ModCompProps>
                <MN>52</MN>
                <MCN>2</MCN>
                <MCTK>BaseCase</MCTK>
                <RT><![CDATA[<ModuleName> - Middle]]></RT>
                <ERN>MODMC141</ERN>
                <MCST>1</MCST>
                <IPMC>False</IPMC>
                <SN>15</SN>
                <LODS>False</LODS>
                <LST>False</LST>
                <RSTF>False</RSTF>
                <STRA>0</STRA>
                <HS>False</HS>
                <IBOA>0</IBOA>
                <IB>True</IB>
                <CI><![CDATA[Other Current Liabilities Outputs]]></CI>
                <PTI/>
                <PTP>False</PTP>
                <PTD><![CDATA[Monthly time series periods.]]></PTD>
                <PTMCN>4</PTMCN>
                <CROL>0</CROL>
                <CCOL>0</CCOL>
                <AMFN>0</AMFN>
              </ModCompProps>
              <Sects>
                <Sect>
                  <SectProps>
                    <LI>2,1</LI>
                    <EGN>0</EGN>
                  </SectProps>
                  <Elmts>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2,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Opening Balanc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IF(§A¿9,4,2,0,1,6,3,1,-1,0,0,TRUE,FALSE§Z¿=1,§A¿0,3,0,1,6,2,1,0,0,0,FALSE,TRUE§Z¿,§A¿0,3,0,1,9,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LnksOut>
                        <ElmtLnk>
                          <ElmtLnkProps>
                            <ELI>2,1,2</ELI>
                            <ELN>1</ELN>
                            <ELGN>1</ELGN>
                            <MLG>9B805BEB-FB59-41B6-A29C-4C5153A9B1EC</MLG>
                            <ICBI>1,2</ICBI>
                            <ILBN>1,2</ILBN>
                            <LIBN>0</LIBN>
                          </ElmtLnkProps>
                        </ElmtLnk>
                      </ElmtLnksOut>
                    </Elmt>
                    <Elmt>
                      <ElmtProps>
                        <CPT>2</CPT>
                      </ElmtProps>
                      <TtlCtg>
                        <TtlCtgProps>
                          <R>5</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4,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Change in Other Current Liabilities]]></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3,0,1,9,3,1,0,0,0,FALSE,FALSE§Z¿-§A¿0,2,0,1,2,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
                    <Elmt>
                      <ElmtProps>
                        <CPT>2</CPT>
                      </ElmtProps>
                      <TtlCtg>
                        <TtlCtgProps>
                          <R>5</R>
                        </TtlCtgProps>
                      </TtlCtg>
                    </Elmt>
                    <Elmt>
                      <ElmtProps>
                        <CPT>2</CPT>
                      </ElmtProps>
                      <ClmnBlks>
                        <ClmnBlk>
                          <ClmnBlkProps>
                            <FCPT>3</FCPT>
                            <FCN>2</FCN>
                            <FCOT>0</FCOT>
                            <FCOC>0</FCOC>
                            <LCPT>3</LCPT>
                            <LCN>2</LCN>
                            <LCOT>1</LCOT>
                            <LCOC>0</LCOC>
                          </ClmnBlkProps>
                          <ClmnBlkPts>
                            <ClmnBlkPt>
                              <ClmnBlkPtProps>
                                <CBPT>5</CBPT>
                                <ST>5</ST>
                                <VOFFF><![CDATA[Closing Balanc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52</MN>
                <MCN>3</MCN>
                <MCTK>BaseCase</MCTK>
                <RT><![CDATA[<ModuleName> - Bottom]]></RT>
                <ERN>MODMC142</ERN>
                <MCST>1</MCST>
                <IPMC>False</IPMC>
                <SN>15</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8</SON>
                                <VOFFF><![CDATA[=IF(ROWS(§A¿0,2|3,1,1,6,2,1,-1,0,0,TRUE,FALSE,1,1,2,1,-1,0,0,TRUE,FALSE§Z¿)=2,0,SUM(OFFSET(§A¿0,2,0,1,6,2,1,-1,0,0,TRUE,FALSE§Z¿,1,0,ROWS(§A¿0,2|3,1,1,6,2,1,-1,0,0,TRUE,FALSE,1,1,2,1,-1,0,0,TRUE,FALSE§Z¿)-2)))]]></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6,3,1,-1,0,0,TRUE,FALSE,1,1,3,1,-1,0,0,TRUE,FALSE§Z¿)=2,0,SUM(OFFSET(§A¿0,2,0,1,6,3,1,-1,0,0,TRUE,FALSE§Z¿,1,0,ROWS(§A¿0,2|3,1,1,6,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ther Current Liabilities - Cash Payment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4,2,6,-1,0,0,FALSE,FALSE§Z¿]]></VOFFF>
                              </ClmnBlkPtProps>
                            </ClmnBlkPt>
                          </ClmnBlkPts>
                        </ClmnBlk>
                      </ClmnBlks>
                      <TtlCtg>
                        <TtlCtgProps>
                          <R>1</R>
                        </TtlCtgProps>
                      </TtlCtg>
                      <ElmtLnksOut>
                        <ElmtLnk>
                          <ElmtLnkProps>
                            <ELI>3,1,3</ELI>
                            <ELN>1</ELN>
                            <ELGN>2</ELGN>
                            <MLG>EF4EE76F-B164-4D01-8D44-CBA0C0043068</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Other Current Liabiliti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4</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LnkInForms>
                                <LnkInForm>
                                  <LnkInFormProps>
                                    <CBPLI>3,1,6,1,1</CBPLI>
                                    <ELN>1</ELN>
                                    <FFF><![CDATA[=§A¿10,FALSE,0,1,0,FALSE§Z¿]]></FFF>
                                  </LnkInFormProps>
                                </LnkInForm>
                              </LnkInForms>
                            </ClmnBlkPt>
                            <ClmnBlkPt>
                              <ClmnBlkPtProps>
                                <CBPT>1</CBPT>
                                <ST>6</ST>
                                <MC>True</MC>
                                <VOFFF><![CDATA[=§A¿0,3,0,1,6,1,3,0,0,0,FALSE,FALSE§Z¿]]></VOFFF>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3,0,1,5,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10</SON>
                                <VOFFF><![CDATA[0]]></VOFFF>
                                <UDAV><![CDATA[0]]></UDAV>
                              </ClmnBlkPtProps>
                              <LnkInForms>
                                <LnkInForm>
                                  <LnkInFormProps>
                                    <CBPLI>3,1,6,2,1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Ctgs>
                            <Ctg>
                              <CtgProps>
                                <R>4</R>
                              </CtgProps>
                              <LnkIn>
                                <LnkInProps>
                                  <MN>52</MN>
                                  <CLI>3,1,6,False,1</CLI>
                                  <ELN>1</ELN>
                                  <LOOT>0</LOOT>
                                  <LOMN>3</LOMN>
                                  <LOMCN>1</LOMCN>
                                  <LOSN>1</LOSN>
                                  <LOEN>36</LOEN>
                                  <LOCN>1</LOCN>
                                </LnkInProps>
                              </LnkIn>
                            </Ctg>
                          </Ctgs>
                        </SubTtl>
                      </SubTtls>
                      <TtlCtg>
                        <TtlCtgProps>
                          <R>4</R>
                        </TtlCtgProps>
                      </TtlCtg>
                      <ElmtLnksOut>
                        <ElmtLnk>
                          <ElmtLnkProps>
                            <ELN>1</ELN>
                            <ELGN>1</ELGN>
                            <MLG>37E73BC6-9892-4C0D-A4A0-B581D0B9862A</MLG>
                            <ICBI>1,2</ICBI>
                            <ILBN>1,2</ILBN>
                            <LIBN>0</LIBN>
                            <CLT>1</CLT>
                            <PLO>2</PLO>
                            <IPLO>0</IPLO>
                          </ElmtLnkProps>
                        </ElmtLnk>
                      </ElmtLnksOut>
                      <ElmtLnksIn>
                        <ElmtLnk>
                          <ElmtLnkProps>
                            <ELI>3,1,6</ELI>
                            <ELN>1</ELN>
                            <ELGN>1</ELGN>
                            <MLG>1DB04605-77E1-4130-B0C6-68535234C21A</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ClmnBlkPtProps>
                            </ClmnBlkPt>
                            <ClmnBlkPt>
                              <ClmnBlkPtProps>
                                <CBPT>1</CBPT>
                                <ST>6</ST>
                                <VOFFF><![CDATA[=§A¿0,3,0,1,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3,1,9,3,1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52</MN>
                                  <CLI>3,1,9,False,1</CLI>
                                  <ELN>1</ELN>
                                  <LOOT>2</LOOT>
                                  <LOMN>53</LOMN>
                                  <LOMCN>2</LOMCN>
                                  <LOSN>1</LOSN>
                                  <LOEN>1</LOEN>
                                  <LOCN>0</LOCN>
                                </LnkInProps>
                              </LnkIn>
                            </Ctg>
                          </Ctgs>
                        </SubTtl>
                      </SubTtls>
                      <TtlCtg>
                        <TtlCtgProps>
                          <R>4</R>
                        </TtlCtgProps>
                      </TtlCtg>
                      <ElmtLnksOut>
                        <ElmtLnk>
                          <ElmtLnkProps>
                            <ELI>3,1,9</ELI>
                            <ELN>1</ELN>
                            <ELGN>1</ELGN>
                            <MLG>D2420165-D852-46F5-BB4C-4B756E301E7A</MLG>
                            <ICBI>1,3</ICBI>
                            <ILBN>1,2</ILBN>
                            <LIBN>0</LIBN>
                          </ElmtLnkProps>
                        </ElmtLnk>
                      </ElmtLnksOut>
                      <ElmtLnksIn>
                        <ElmtLnk>
                          <ElmtLnkProps>
                            <ELI>3,1,9</ELI>
                            <ELN>1</ELN>
                            <ELGN>1</ELGN>
                            <MLG>C9A7EBF6-3B0B-4081-8EA8-49D50E911861</MLG>
                            <ICBI>3</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3,0,1,1,3,1,-1,0,0,FALSE,FALSE§Z¿-§A¿0,3,0,1,9,3,6,-1,0,0,FALSE,FALSE§Z¿),1,0)]]></VOFFF>
                              </ClmnBlkPtProp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1,2,1,-1,0,0,FALSE,FALSE§Z¿<>0,0,IF(ROUND(§A¿0,3,0,1,1,3,1,-1,0,0,FALSE,FALSE§Z¿-§A¿0,3,0,1,9,3,6,-1,0,0,FALSE,FALSE§Z¿,5)<>0,1,0))]]></VOFFF>
                              </ClmnBlkPtProps>
                              <FmtCnds>
                                <FmtCnd>
                                  <FmtCndProps>
                                    <CBPLI>3,1,12,2,1</CBPLI>
                                    <FCN>1</FCN>
                                    <FCT>1</FCT>
                                    <FCO>4</FCO>
                                    <F1FFF><![CDATA[=0]]></F1FFF>
                                    <F2FFF/>
                                    <SIT>False</SIT>
                                    <BSV>True</BSV>
                                    <BCT>0</BCT>
                                    <CNBCN>0</CNBCN>
                                    <BTAS>0</BTAS>
                                    <IST>1</IST>
                                    <RO>False</RO>
                                    <SIO>False</SIO>
                                    <TO>0</TO>
                                    <TS/>
                                    <DO>1</DO>
                                    <TB>1</TB>
                                    <R>10</R>
                                    <P>False</P>
                                    <AB>0</AB>
                                    <NSD>1</NSD>
                                    <DU>1</DU>
                                    <INF>False</INF>
                                    <NT>0</NT>
                                    <DP>0</DP>
                                    <CNF/>
                                  </FmtCndProps>
                                  <FntOvly>
                                    <FntOvlyProps>
                                      <PT>2</PT>
                                      <SON>0</SON>
                                      <CBPLI>3,1,12,2,1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2</SON>
                                <VOFFF><![CDATA[=IF(ISERROR(SUM(§A¿0,3,1,1,13,3,1,-1,0,0,FALSE,FALSE,1,13,3,1,-1,1,0,FALSE,FALSE§Z¿)),1,MIN(SUM(§A¿0,3,1,1,13,3,1,-1,0,0,FALSE,FALSE,1,13,3,1,-1,1,0,FALSE,FALSE§Z¿),1))]]></VOFFF>
                              </ClmnBlkPtProps>
                              <Chk>
                                <ChkProps>
                                  <CBPLI>3,1,13,2,1</CBPLI>
                                  <CT>0</CT>
                                  <CN>26</CN>
                                  <HST>1</HST>
                                  <CHT/>
                                  <HCBPLI>1,1,2,1,1</HCBPLI>
                                </ChkProps>
                              </Chk>
                              <Cmts>
                                <Cmt>
                                  <CmtProps>
                                    <CBPLI>3,1,13,2,1</CBPLI>
                                    <WRN>1</WRN>
                                    <ERT>5</ERT>
                                    <COSTN>0</COSTN>
                                    <OC>0</OC>
                                    <HT><![CDATA[Error Check]]></HT>
                                    <HFS>0</HFS>
                                    <BT><![CDATA[Flags the existence of errors.]]></BT>
                                    <BFS>0</BFS>
                                    <H>103</H>
                                    <W>128</W>
                                  </CmtProps>
                                </Cmt>
                              </Cmts>
                              <FmtCnds>
                                <FmtCnd>
                                  <FmtCndProps>
                                    <CBPLI>3,1,13,2,1</CBPLI>
                                    <FCN>1</FCN>
                                    <FCT>1</FCT>
                                    <FCO>4</FCO>
                                    <F1FFF><![CDATA[=0]]></F1FFF>
                                    <F2FFF/>
                                    <SIT>False</SIT>
                                    <BSV>True</BSV>
                                    <BCT>0</BCT>
                                    <CNBCN>0</CNBCN>
                                    <BTAS>0</BTAS>
                                    <IST>1</IST>
                                    <RO>False</RO>
                                    <SIO>False</SIO>
                                    <TO>0</TO>
                                    <TS/>
                                    <DO>1</DO>
                                    <TB>1</TB>
                                    <R>10</R>
                                    <P>False</P>
                                    <AB>0</AB>
                                    <NSD>1</NSD>
                                    <DU>1</DU>
                                    <INF>False</INF>
                                    <NT>0</NT>
                                    <DP>0</DP>
                                    <CNF/>
                                  </FmtCndProps>
                                  <FntOvly>
                                    <FntOvlyProps>
                                      <PT>2</PT>
                                      <SON>0</SON>
                                      <CBPLI>3,1,13,2,1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MIN(SUM(§A¿0,3,1,1,11,2,1,-1,0,0,FALSE,FALSE,1,12,2,1,-1,0,0,FALSE,FALSE§Z¿),1)]]></VOFFF>
                              </ClmnBlkPtProps>
                              <FmtCnds>
                                <FmtCnd>
                                  <FmtCndProps>
                                    <CBPLI>3,1,13,3,1</CBPLI>
                                    <FCN>1</FCN>
                                    <FCT>1</FCT>
                                    <FCO>4</FCO>
                                    <F1FFF><![CDATA[=0]]></F1FFF>
                                    <F2FFF/>
                                    <SIT>False</SIT>
                                    <BSV>True</BSV>
                                    <BCT>0</BCT>
                                    <CNBCN>0</CNBCN>
                                    <BTAS>0</BTAS>
                                    <IST>1</IST>
                                    <RO>False</RO>
                                    <SIO>False</SIO>
                                    <TO>0</TO>
                                    <TS/>
                                    <DO>1</DO>
                                    <TB>1</TB>
                                    <R>10</R>
                                    <P>False</P>
                                    <AB>0</AB>
                                    <NSD>1</NSD>
                                    <DU>1</DU>
                                    <INF>False</INF>
                                    <NT>0</NT>
                                    <DP>0</DP>
                                    <CNF/>
                                  </FmtCndProps>
                                  <FntOvly>
                                    <FntOvlyProps>
                                      <PT>2</PT>
                                      <SON>0</SON>
                                      <CBPLI>3,1,13,3,1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cl_Cat]]></P>
            <OI>335</OI>
            <MN>0</MN>
            <MAG>0A3D1B54-7B18-4AE2-B3C2-0691D0B948A4</MAG>
            <BN><![CDATA[Other Current Liabilities Category]]></BN>
            <N><![CDATA[Other Current Liabilities - Other Current Liabilities Category 1]]></N>
            <TS><![CDATA[Monthly]]></TS>
            <D><![CDATA[Calculates other current liabilities for a single other current liabilities category over a number of time series periods.]]></D>
            <FS><![CDATA[Collects movements assumptions for each time series period.]]></FS>
            <R><![CDATA[Any]]></R>
            <GE><![CDATA[Other Current Liabilities Category]]></GE>
            <CA><![CDATA[Movements]]></CA>
            <VA><![CDATA[Single Component]]></VA>
            <GST><![CDATA[None]]></GST>
            <DE><![CDATA[Modano]]></DE>
            <E><![CDATA[info@modano.com]]></E>
            <C><![CDATA[Modano]]></C>
            <W><![CDATA[www.modano.com]]></W>
            <K/>
            <CO/>
            <V>11.0.1.0.</V>
            <AX>2</AX>
            <SX/>
            <PMLO>False</PMLO>
            <IPMLO>False</IPMLO>
            <MACA>1</MACA>
            <HP>True</HP>
            <DR>True</DR>
            <RTSM>True</RTSM>
            <CC>False</CC>
            <X>False</X>
            <G>FA82D710-B687-4DA7-A6B0-8EA669EE90D2</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NT>-2</NT>
                <DP>0</DP>
                <CNF><![CDATA[_("+"#,##0.0_);(#,##0.0);_("-"_);_)@_)]]></CNF>
              </StlOvlyProps>
            </StlOvly>
            <StlOvly>
              <StlOvlyProps>
                <SON>3</SON>
              </StlOvlyProps>
              <BdrOvlys>
                <BdrOvly>
                  <BdrOvlyProps>
                    <PT>1</PT>
                    <SON>3</SON>
                    <CBPLI/>
                    <FCN>0</FCN>
                    <I>True</I>
                    <BI>10</BI>
                    <LS>1</LS>
                    <W>2</W>
                  </BdrOvlyProps>
                </BdrOvly>
              </BdrOvlys>
            </StlOvly>
          </StlOvlys>
          <TrigCbps>
            <TrigCbp>
              <TrigCbpProps>
                <LI>2,1,1,1,1</LI>
                <TT>2</TT>
                <RLI/>
                <R2LI/>
                <TS/>
                <OT>0</OT>
                <FO>0</FO>
              </TrigCbpProps>
            </TrigCbp>
          </TrigCbps>
          <ModComps>
            <ModComp>
              <ModCompProps>
                <MN>53</MN>
                <MCN>1</MCN>
                <MCTK>BaseCase</MCTK>
                <RT><![CDATA[<ModuleName> - Assumptions]]></RT>
                <ERN>MODMC143</ERN>
                <MCST>1</MCST>
                <IPMC>False</IPMC>
                <SN>15</SN>
                <LODS>False</LODS>
                <LST>False</LST>
                <RSTF>False</RSTF>
                <STRA>0</STRA>
                <HS>False</HS>
                <IBOA>0</IBOA>
                <IB>True</IB>
                <CI><![CDATA[Other Current Liabilities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Movement +/-]]></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53</MN>
                <MCN>2</MCN>
                <MCTK>BaseCase</MCTK>
                <RT><![CDATA[<ModuleName> - Outputs]]></RT>
                <ERN>MODMC144</ERN>
                <MCST>1</MCST>
                <IPMC>False</IPMC>
                <SN>15</SN>
                <LODS>False</LODS>
                <LST>False</LST>
                <RSTF>False</RSTF>
                <STRA>0</STRA>
                <HS>False</HS>
                <IBOA>0</IBOA>
                <IB>True</IB>
                <CI><![CDATA[Other Current Liabilities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duleGenericName>]]></VOFFF>
                              </ClmnBlkPtProps>
                              <LnkInForms>
                                <LnkInForm>
                                  <LnkInFormProps>
                                    <CBPLI>2,1,1,1,1</CBPLI>
                                    <ELN>1</ELN>
                                    <FFF><![CDATA[=§A¿10,FALSE,0,1,0,FALSE§Z¿]]></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18</ST>
                                <SON>3</SON>
                                <VOFFF><![CDATA[0]]></VOFFF>
                              </ClmnBlkPtProps>
                              <LnkInForms>
                                <LnkInForm>
                                  <LnkInFormProps>
                                    <CBPLI>2,1,1,2,1</CBPLI>
                                    <ELN>1</ELN>
                                    <FFF><![CDATA[=§A¿10,FALSE,0,2,0,FALSE§Z¿]]></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A¿0,2,0,1,1,2,1,-1,0,0,FALSE,FALSE§Z¿+§A¿0,1,0,1,1,3,1,-1,0,0,FALSE,FALSE§Z¿]]></VOFFF>
                              </ClmnBlkPtProps>
                              <LnkInForms>
                                <LnkInForm>
                                  <LnkInFormProps>
                                    <CBPLI>2,1,1,3,1</CBPLI>
                                    <ELN>1</ELN>
                                    <FFF/>
                                  </LnkInFormProps>
                                </LnkInForm>
                              </LnkInForms>
                            </ClmnBlkPt>
                          </ClmnBlkPts>
                        </ClmnBlk>
                      </ClmnBlks>
                      <TtlCtg>
                        <TtlCtgProps>
                          <R>1</R>
                        </TtlCtgProps>
                        <LnkIn>
                          <LnkInProps>
                            <MN>53</MN>
                            <CLI>2,1,1,True,0</CLI>
                            <ELN>1</ELN>
                            <LOOT>0</LOOT>
                            <LOMN>52</LOMN>
                            <LOMCN>3</LOMCN>
                            <LOSN>1</LOSN>
                            <LOEN>6</LOEN>
                            <LOCN>1</LOCN>
                          </LnkInProps>
                        </LnkIn>
                      </TtlCtg>
                      <ElmtLnksOut>
                        <ElmtLnk>
                          <ElmtLnkProps>
                            <ELI>2,1,1</ELI>
                            <ELN>1</ELN>
                            <ELGN>1</ELGN>
                            <MLG>C9A7EBF6-3B0B-4081-8EA8-49D50E911861</MLG>
                            <ICBI>1,3</ICBI>
                            <ILBN>1,2</ILBN>
                            <LIBN>0</LIBN>
                          </ElmtLnkProps>
                        </ElmtLnk>
                      </ElmtLnksOut>
                      <ElmtLnksIn>
                        <ElmtLnk>
                          <ElmtLnkProps>
                            <ELI>2,1,1</ELI>
                            <ELN>1</ELN>
                            <ELGN>1</ELGN>
                            <MLG>37E73BC6-9892-4C0D-A4A0-B581D0B9862A</MLG>
                            <ICBI>1,2</ICBI>
                            <ILBN/>
                            <LIBN>0</LIBN>
                          </ElmtLnkProps>
                        </ElmtLnk>
                      </ElmtLnksIn>
                    </Elmt>
                  </Elmts>
                </Sect>
              </Sects>
            </ModComp>
          </ModComps>
        </Mod>
        <Mod>
          <ModProps>
            <MVS>14.0.5.0</MVS>
            <RAV/>
            <RXV>0</RXV>
            <FV>3</FV>
            <MT>0</MT>
            <SCT>-1</SCT>
            <P><![CDATA[Oncl]]></P>
            <OI>340</OI>
            <MN>0</MN>
            <MAG>0A3D1B54-7B18-4AE2-B3C2-0691D0B948A4</MAG>
            <BN><![CDATA[Other Non-Current Liabilities]]></BN>
            <N><![CDATA[Other Non-Current Liabilities]]></N>
            <TS><![CDATA[Monthly]]></TS>
            <D><![CDATA[Calculates other non-current liabilities for a number of other non-current liabilities categories over a number of time series periods.]]></D>
            <FS><![CDATA[Allows for a separate module for each other non-current liabilities category to facilitate variable drivers functionalities.]]></FS>
            <R><![CDATA[Any]]></R>
            <GE><![CDATA[Other Non-Current Liabilities]]></GE>
            <CA><![CDATA[Variable Drivers]]></CA>
            <VA><![CDATA[Single Component]]></VA>
            <GST><![CDATA[None]]></GST>
            <DE><![CDATA[Modano]]></DE>
            <E><![CDATA[info@modano.com]]></E>
            <C><![CDATA[Modano]]></C>
            <W><![CDATA[www.modano.com]]></W>
            <K/>
            <CO/>
            <V>11.0.1.0.</V>
            <AX>2</AX>
            <SX/>
            <PMLO>False</PMLO>
            <IPMLO>False</IPMLO>
            <MACA>0</MACA>
            <HP>False</HP>
            <DR>False</DR>
            <RTSM>True</RTSM>
            <CC>True</CC>
            <X>False</X>
            <G>D73D0E2A-08CC-4DB1-996D-2D9F239AC671</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StlOvly>
            <StlOvly>
              <StlOvlyProps>
                <SON>4</SON>
                <IHA>True</IHA>
                <HA>-4108</HA>
              </StlOvlyProps>
              <FntOvly>
                <FntOvlyProps>
                  <PT>1</PT>
                  <SON>4</SON>
                  <CBPLI>0,0,0,0,0</CBPLI>
                  <FCN>0</FCN>
                  <CN>0</CN>
                  <IC>True</IC>
                  <CT>-3</CT>
                  <CNU>2</CNU>
                  <CPR>8421504</CPR>
                  <TAS>0.4999847</TAS>
                </FntOvlyProps>
              </FntOvly>
            </StlOvly>
            <StlOvly>
              <StlOvlyProps>
                <SON>5</SON>
                <INF>True</INF>
                <NT>0</NT>
                <DP>0</DP>
                <CNF/>
              </StlOvlyProps>
              <BdrOvlys>
                <BdrOvly>
                  <BdrOvlyProps>
                    <PT>1</PT>
                    <SON>5</SON>
                    <CBPLI/>
                    <FCN>0</FCN>
                    <I>True</I>
                    <BI>9</BI>
                    <LS>-4115</LS>
                    <W>2</W>
                  </BdrOvlyProps>
                </BdrOvly>
              </BdrOvlys>
            </StlOvly>
            <StlOvly>
              <StlOvlyProps>
                <SON>6</SON>
                <IHA>True</IHA>
                <HA>-4152</HA>
              </StlOvlyProps>
              <BdrOvlys>
                <BdrOvly>
                  <BdrOvlyProps>
                    <PT>1</PT>
                    <SON>6</SON>
                    <CBPLI/>
                    <FCN>0</FCN>
                    <I>True</I>
                    <BI>9</BI>
                    <LS>-4115</LS>
                    <W>2</W>
                  </BdrOvlyProps>
                </BdrOvly>
              </BdrOvlys>
            </StlOvly>
            <StlOvly>
              <StlOvlyProps>
                <SON>7</SON>
                <IHA>True</IHA>
                <HA>-4152</HA>
              </StlOvlyProps>
            </StlOvly>
            <StlOvly>
              <StlOvlyProps>
                <SON>8</SON>
              </StlOvlyProps>
              <FntOvly>
                <FntOvlyProps>
                  <PT>1</PT>
                  <SON>8</SON>
                  <CBPLI>0,0,0,0,0</CBPLI>
                  <FCN>0</FCN>
                  <CN>0</CN>
                  <IB>True</IB>
                  <B>True</B>
                </FntOvlyProps>
              </FntOvly>
              <BdrOvlys>
                <BdrOvly>
                  <BdrOvlyProps>
                    <PT>1</PT>
                    <SON>8</SON>
                    <CBPLI/>
                    <FCN>0</FCN>
                    <I>True</I>
                    <BI>10</BI>
                    <LS>1</LS>
                    <W>2</W>
                  </BdrOvlyProps>
                </BdrOvly>
                <BdrOvly>
                  <BdrOvlyProps>
                    <PT>1</PT>
                    <SON>8</SON>
                    <CBPLI/>
                    <FCN>0</FCN>
                    <I>True</I>
                    <BI>8</BI>
                    <LS>1</LS>
                    <W>2</W>
                  </BdrOvlyProps>
                </BdrOvly>
              </BdrOvlys>
            </StlOvly>
            <StlOvly>
              <StlOvlyProps>
                <SON>9</SON>
                <IHA>True</IHA>
                <HA>-4152</HA>
              </StlOvlyProps>
              <FntOvly>
                <FntOvlyProps>
                  <PT>1</PT>
                  <SON>9</SON>
                  <CBPLI>0,0,0,0,0</CBPLI>
                  <FCN>0</FCN>
                  <CN>0</CN>
                  <IB>True</IB>
                  <B>True</B>
                </FntOvlyProps>
              </FntOvly>
              <BdrOvlys>
                <BdrOvly>
                  <BdrOvlyProps>
                    <PT>1</PT>
                    <SON>9</SON>
                    <CBPLI/>
                    <FCN>0</FCN>
                    <I>True</I>
                    <BI>10</BI>
                    <LS>1</LS>
                    <W>2</W>
                  </BdrOvlyProps>
                </BdrOvly>
                <BdrOvly>
                  <BdrOvlyProps>
                    <PT>1</PT>
                    <SON>9</SON>
                    <CBPLI/>
                    <FCN>0</FCN>
                    <I>True</I>
                    <BI>9</BI>
                    <LS>1</LS>
                    <W>2</W>
                  </BdrOvlyProps>
                </BdrOvly>
              </BdrOvlys>
            </StlOvly>
            <StlOvly>
              <StlOvlyProps>
                <SON>10</SON>
              </StlOvlyProps>
              <BdrOvlys>
                <BdrOvly>
                  <BdrOvlyProps>
                    <PT>1</PT>
                    <SON>10</SON>
                    <CBPLI/>
                    <FCN>0</FCN>
                    <I>True</I>
                    <BI>10</BI>
                    <LS>1</LS>
                    <W>2</W>
                  </BdrOvlyProps>
                </BdrOvly>
              </BdrOvlys>
            </StlOvly>
          </StlOvlys>
          <ElmtsGrps>
            <ElmtsGrp>
              <ElmtsGrpProps>
                <NU>1</NU>
                <NA><![CDATA[Other Non-Current Liabilities]]></NA>
                <EGT>0</EGT>
                <DCC>6</DCC>
                <AST>False</AST>
                <ISTH>True</ISTH>
                <PTMCN>0</PTMCN>
                <PTBN>0</PTBN>
                <PTBI>0</PTBI>
                <GLN/>
                <CLOT>0</CLOT>
                <CLIT>0</CLIT>
                <PMLO>0</PMLO>
                <IPMLO>0</IPMLO>
              </ElmtsGrpProps>
            </ElmtsGrp>
          </ElmtsGrps>
          <ModComps>
            <ModComp>
              <ModCompProps>
                <MN>54</MN>
                <MCN>1</MCN>
                <MCTK>BaseCase</MCTK>
                <RT><![CDATA[<ModuleName> - Top]]></RT>
                <ERN>MODMC145</ERN>
                <MCST>1</MCST>
                <IPMC>False</IPMC>
                <SN>15</SN>
                <LODS>False</LODS>
                <LST>False</LST>
                <RSTF>False</RSTF>
                <STRA>0</STRA>
                <HS>False</HS>
                <IBOA>0</IBOA>
                <IB>True</IB>
                <CI><![CDATA[Other Non-Current Liabilities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43</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4</SON>
                                <VOFFF><![CDATA[Driver]]></VOFFF>
                              </ClmnBlkPtProps>
                            </ClmnBlkPt>
                          </ClmnBlkPts>
                        </ClmnBlk>
                      </ClmnBlks>
                      <TtlCtg>
                        <TtlCtgProps>
                          <R>1</R>
                        </TtlCtgProps>
                      </TtlCtg>
                    </Elmt>
                  </Elmts>
                </Sect>
              </Sects>
            </ModComp>
            <ModComp>
              <ModCompProps>
                <MN>54</MN>
                <MCN>2</MCN>
                <MCTK>BaseCase</MCTK>
                <RT><![CDATA[<ModuleName> - Middle]]></RT>
                <ERN>MODMC146</ERN>
                <MCST>1</MCST>
                <IPMC>False</IPMC>
                <SN>15</SN>
                <LODS>False</LODS>
                <LST>False</LST>
                <RSTF>False</RSTF>
                <STRA>0</STRA>
                <HS>False</HS>
                <IBOA>0</IBOA>
                <IB>True</IB>
                <CI><![CDATA[Other Non-Current Liabilities Outputs]]></CI>
                <PTI/>
                <PTP>False</PTP>
                <PTD><![CDATA[Monthly time series periods.]]></PTD>
                <PTMCN>4</PTMCN>
                <CROL>0</CROL>
                <CCOL>0</CCOL>
                <AMFN>0</AMFN>
              </ModCompProps>
              <Sects>
                <Sect>
                  <SectProps>
                    <LI>2,1</LI>
                    <EGN>0</EGN>
                  </SectProps>
                  <Elmts>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2,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Opening Balanc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IF(§A¿9,4,2,0,1,6,3,1,-1,0,0,TRUE,FALSE§Z¿=1,§A¿0,3,0,1,6,2,1,0,0,0,FALSE,TRUE§Z¿,§A¿0,3,0,1,9,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LnksOut>
                        <ElmtLnk>
                          <ElmtLnkProps>
                            <ELI>2,1,2</ELI>
                            <ELN>1</ELN>
                            <ELGN>1</ELGN>
                            <MLG>3F133D75-DF09-49E4-BD44-53350C4E0E38</MLG>
                            <ICBI>1,2</ICBI>
                            <ILBN>1,2</ILBN>
                            <LIBN>0</LIBN>
                          </ElmtLnkProps>
                        </ElmtLnk>
                      </ElmtLnksOut>
                    </Elmt>
                    <Elmt>
                      <ElmtProps>
                        <CPT>2</CPT>
                      </ElmtProps>
                      <TtlCtg>
                        <TtlCtgProps>
                          <R>5</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4,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Change in Other Non-Current Liabilities]]></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3,0,1,9,3,1,0,0,0,FALSE,FALSE§Z¿-§A¿0,2,0,1,2,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
                    <Elmt>
                      <ElmtProps>
                        <CPT>2</CPT>
                      </ElmtProps>
                      <TtlCtg>
                        <TtlCtgProps>
                          <R>5</R>
                        </TtlCtgProps>
                      </TtlCtg>
                    </Elmt>
                    <Elmt>
                      <ElmtProps>
                        <CPT>2</CPT>
                      </ElmtProps>
                      <ClmnBlks>
                        <ClmnBlk>
                          <ClmnBlkProps>
                            <FCPT>3</FCPT>
                            <FCN>2</FCN>
                            <FCOT>0</FCOT>
                            <FCOC>0</FCOC>
                            <LCPT>3</LCPT>
                            <LCN>2</LCN>
                            <LCOT>1</LCOT>
                            <LCOC>0</LCOC>
                          </ClmnBlkProps>
                          <ClmnBlkPts>
                            <ClmnBlkPt>
                              <ClmnBlkPtProps>
                                <CBPT>5</CBPT>
                                <ST>5</ST>
                                <VOFFF><![CDATA[Closing Balanc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54</MN>
                <MCN>3</MCN>
                <MCTK>BaseCase</MCTK>
                <RT><![CDATA[<ModuleName> - Bottom]]></RT>
                <ERN>MODMC147</ERN>
                <MCST>1</MCST>
                <IPMC>False</IPMC>
                <SN>15</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8</SON>
                                <VOFFF><![CDATA[=IF(ROWS(§A¿0,2|3,1,1,6,2,1,-1,0,0,TRUE,FALSE,1,1,2,1,-1,0,0,TRUE,FALSE§Z¿)=2,0,SUM(OFFSET(§A¿0,2,0,1,6,2,1,-1,0,0,TRUE,FALSE§Z¿,1,0,ROWS(§A¿0,2|3,1,1,6,2,1,-1,0,0,TRUE,FALSE,1,1,2,1,-1,0,0,TRUE,FALSE§Z¿)-2)))]]></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6,3,1,-1,0,0,TRUE,FALSE,1,1,3,1,-1,0,0,TRUE,FALSE§Z¿)=2,0,SUM(OFFSET(§A¿0,2,0,1,6,3,1,-1,0,0,TRUE,FALSE§Z¿,1,0,ROWS(§A¿0,2|3,1,1,6,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ther Non-Current Liabilities - Financing Cash Flow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4,2,6,-1,0,0,FALSE,FALSE§Z¿]]></VOFFF>
                              </ClmnBlkPtProps>
                            </ClmnBlkPt>
                          </ClmnBlkPts>
                        </ClmnBlk>
                      </ClmnBlks>
                      <TtlCtg>
                        <TtlCtgProps>
                          <R>1</R>
                        </TtlCtgProps>
                      </TtlCtg>
                      <ElmtLnksOut>
                        <ElmtLnk>
                          <ElmtLnkProps>
                            <ELI>3,1,3</ELI>
                            <ELN>1</ELN>
                            <ELGN>2</ELGN>
                            <MLG>33E2464B-8311-499B-8558-5BCDBB94FC53</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Other Non-Current Liabiliti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4</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LnkInForms>
                                <LnkInForm>
                                  <LnkInFormProps>
                                    <CBPLI>3,1,6,1,1</CBPLI>
                                    <ELN>1</ELN>
                                    <FFF><![CDATA[=§A¿10,FALSE,0,1,0,FALSE§Z¿]]></FFF>
                                  </LnkInFormProps>
                                </LnkInForm>
                              </LnkInForms>
                            </ClmnBlkPt>
                            <ClmnBlkPt>
                              <ClmnBlkPtProps>
                                <CBPT>1</CBPT>
                                <ST>6</ST>
                                <MC>True</MC>
                                <VOFFF><![CDATA[=§A¿0,3,0,1,6,1,3,0,0,0,FALSE,FALSE§Z¿]]></VOFFF>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3,0,1,5,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10</SON>
                                <VOFFF><![CDATA[0]]></VOFFF>
                                <UDAV><![CDATA[0]]></UDAV>
                              </ClmnBlkPtProps>
                              <LnkInForms>
                                <LnkInForm>
                                  <LnkInFormProps>
                                    <CBPLI>3,1,6,2,1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Ctgs>
                            <Ctg>
                              <CtgProps>
                                <R>4</R>
                              </CtgProps>
                              <LnkIn>
                                <LnkInProps>
                                  <MN>54</MN>
                                  <CLI>3,1,6,False,1</CLI>
                                  <ELN>1</ELN>
                                  <LOOT>0</LOOT>
                                  <LOMN>3</LOMN>
                                  <LOMCN>1</LOMCN>
                                  <LOSN>1</LOSN>
                                  <LOEN>42</LOEN>
                                  <LOCN>1</LOCN>
                                </LnkInProps>
                              </LnkIn>
                            </Ctg>
                          </Ctgs>
                        </SubTtl>
                      </SubTtls>
                      <TtlCtg>
                        <TtlCtgProps>
                          <R>4</R>
                        </TtlCtgProps>
                      </TtlCtg>
                      <ElmtLnksOut>
                        <ElmtLnk>
                          <ElmtLnkProps>
                            <ELN>1</ELN>
                            <ELGN>1</ELGN>
                            <MLG>01DA7FD1-5000-48DE-915B-A0EB905A2A42</MLG>
                            <ICBI>1,2</ICBI>
                            <ILBN>1,2</ILBN>
                            <LIBN>0</LIBN>
                            <CLT>1</CLT>
                            <PLO>2</PLO>
                            <IPLO>0</IPLO>
                          </ElmtLnkProps>
                        </ElmtLnk>
                      </ElmtLnksOut>
                      <ElmtLnksIn>
                        <ElmtLnk>
                          <ElmtLnkProps>
                            <ELI>3,1,6</ELI>
                            <ELN>1</ELN>
                            <ELGN>1</ELGN>
                            <MLG>F720186F-1210-4A8B-ABB7-F0A590C1DFFA</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ClmnBlkPtProps>
                            </ClmnBlkPt>
                            <ClmnBlkPt>
                              <ClmnBlkPtProps>
                                <CBPT>1</CBPT>
                                <ST>6</ST>
                                <VOFFF><![CDATA[=§A¿0,3,0,1,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3,1,9,3,1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54</MN>
                                  <CLI>3,1,9,False,1</CLI>
                                  <ELN>1</ELN>
                                  <LOOT>2</LOOT>
                                  <LOMN>55</LOMN>
                                  <LOMCN>2</LOMCN>
                                  <LOSN>1</LOSN>
                                  <LOEN>1</LOEN>
                                  <LOCN>0</LOCN>
                                </LnkInProps>
                              </LnkIn>
                            </Ctg>
                          </Ctgs>
                        </SubTtl>
                      </SubTtls>
                      <TtlCtg>
                        <TtlCtgProps>
                          <R>4</R>
                        </TtlCtgProps>
                      </TtlCtg>
                      <ElmtLnksOut>
                        <ElmtLnk>
                          <ElmtLnkProps>
                            <ELI>3,1,9</ELI>
                            <ELN>1</ELN>
                            <ELGN>1</ELGN>
                            <MLG>2A7EED6B-38EE-437E-8040-7D9F9E59CDD2</MLG>
                            <ICBI>1,3</ICBI>
                            <ILBN>1,2</ILBN>
                            <LIBN>0</LIBN>
                          </ElmtLnkProps>
                        </ElmtLnk>
                      </ElmtLnksOut>
                      <ElmtLnksIn>
                        <ElmtLnk>
                          <ElmtLnkProps>
                            <ELI>3,1,9</ELI>
                            <ELN>1</ELN>
                            <ELGN>1</ELGN>
                            <MLG>2E6A8DD3-A554-4F33-875C-C370EF0770F1</MLG>
                            <ICBI>3</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3,0,1,1,3,1,-1,0,0,FALSE,FALSE§Z¿-§A¿0,3,0,1,9,3,6,-1,0,0,FALSE,FALSE§Z¿),1,0)]]></VOFFF>
                              </ClmnBlkPtProp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1,2,1,-1,0,0,FALSE,FALSE§Z¿<>0,0,IF(ROUND(§A¿0,3,0,1,1,3,1,-1,0,0,FALSE,FALSE§Z¿-§A¿0,3,0,1,9,3,6,-1,0,0,FALSE,FALSE§Z¿,5)<>0,1,0))]]></VOFFF>
                              </ClmnBlkPtProps>
                              <FmtCnds>
                                <FmtCnd>
                                  <FmtCndProps>
                                    <CBPLI>3,1,12,2,1</CBPLI>
                                    <FCN>1</FCN>
                                    <FCT>1</FCT>
                                    <FCO>4</FCO>
                                    <F1FFF><![CDATA[=0]]></F1FFF>
                                    <F2FFF/>
                                    <SIT>False</SIT>
                                    <BSV>True</BSV>
                                    <BCT>0</BCT>
                                    <CNBCN>0</CNBCN>
                                    <BTAS>0</BTAS>
                                    <IST>1</IST>
                                    <RO>False</RO>
                                    <SIO>False</SIO>
                                    <TO>0</TO>
                                    <TS/>
                                    <DO>1</DO>
                                    <TB>1</TB>
                                    <R>10</R>
                                    <P>False</P>
                                    <AB>0</AB>
                                    <NSD>1</NSD>
                                    <DU>1</DU>
                                    <INF>False</INF>
                                    <NT>0</NT>
                                    <DP>0</DP>
                                    <CNF/>
                                  </FmtCndProps>
                                  <FntOvly>
                                    <FntOvlyProps>
                                      <PT>2</PT>
                                      <SON>0</SON>
                                      <CBPLI>3,1,12,2,1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2</SON>
                                <VOFFF><![CDATA[=IF(ISERROR(SUM(§A¿0,3,1,1,13,3,1,-1,0,0,FALSE,FALSE,1,13,3,1,-1,1,0,FALSE,FALSE§Z¿)),1,MIN(SUM(§A¿0,3,1,1,13,3,1,-1,0,0,FALSE,FALSE,1,13,3,1,-1,1,0,FALSE,FALSE§Z¿),1))]]></VOFFF>
                              </ClmnBlkPtProps>
                              <Chk>
                                <ChkProps>
                                  <CBPLI>3,1,13,2,1</CBPLI>
                                  <CT>0</CT>
                                  <CN>27</CN>
                                  <HST>1</HST>
                                  <CHT/>
                                  <HCBPLI>1,1,2,1,1</HCBPLI>
                                </ChkProps>
                              </Chk>
                              <Cmts>
                                <Cmt>
                                  <CmtProps>
                                    <CBPLI>3,1,13,2,1</CBPLI>
                                    <WRN>1</WRN>
                                    <ERT>5</ERT>
                                    <COSTN>0</COSTN>
                                    <OC>0</OC>
                                    <HT><![CDATA[Error Check]]></HT>
                                    <HFS>0</HFS>
                                    <BT><![CDATA[Flags the existence of errors.]]></BT>
                                    <BFS>0</BFS>
                                    <H>103</H>
                                    <W>128</W>
                                  </CmtProps>
                                </Cmt>
                              </Cmts>
                              <FmtCnds>
                                <FmtCnd>
                                  <FmtCndProps>
                                    <CBPLI>3,1,13,2,1</CBPLI>
                                    <FCN>1</FCN>
                                    <FCT>1</FCT>
                                    <FCO>4</FCO>
                                    <F1FFF><![CDATA[=0]]></F1FFF>
                                    <F2FFF/>
                                    <SIT>False</SIT>
                                    <BSV>True</BSV>
                                    <BCT>0</BCT>
                                    <CNBCN>0</CNBCN>
                                    <BTAS>0</BTAS>
                                    <IST>1</IST>
                                    <RO>False</RO>
                                    <SIO>False</SIO>
                                    <TO>0</TO>
                                    <TS/>
                                    <DO>1</DO>
                                    <TB>1</TB>
                                    <R>10</R>
                                    <P>False</P>
                                    <AB>0</AB>
                                    <NSD>1</NSD>
                                    <DU>1</DU>
                                    <INF>False</INF>
                                    <NT>0</NT>
                                    <DP>0</DP>
                                    <CNF/>
                                  </FmtCndProps>
                                  <FntOvly>
                                    <FntOvlyProps>
                                      <PT>2</PT>
                                      <SON>0</SON>
                                      <CBPLI>3,1,13,2,1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MIN(SUM(§A¿0,3,1,1,11,2,1,-1,0,0,FALSE,FALSE,1,12,2,1,-1,0,0,FALSE,FALSE§Z¿),1)]]></VOFFF>
                              </ClmnBlkPtProps>
                              <FmtCnds>
                                <FmtCnd>
                                  <FmtCndProps>
                                    <CBPLI>3,1,13,3,1</CBPLI>
                                    <FCN>1</FCN>
                                    <FCT>1</FCT>
                                    <FCO>4</FCO>
                                    <F1FFF><![CDATA[=0]]></F1FFF>
                                    <F2FFF/>
                                    <SIT>False</SIT>
                                    <BSV>True</BSV>
                                    <BCT>0</BCT>
                                    <CNBCN>0</CNBCN>
                                    <BTAS>0</BTAS>
                                    <IST>1</IST>
                                    <RO>False</RO>
                                    <SIO>False</SIO>
                                    <TO>0</TO>
                                    <TS/>
                                    <DO>1</DO>
                                    <TB>1</TB>
                                    <R>10</R>
                                    <P>False</P>
                                    <AB>0</AB>
                                    <NSD>1</NSD>
                                    <DU>1</DU>
                                    <INF>False</INF>
                                    <NT>0</NT>
                                    <DP>0</DP>
                                    <CNF/>
                                  </FmtCndProps>
                                  <FntOvly>
                                    <FntOvlyProps>
                                      <PT>2</PT>
                                      <SON>0</SON>
                                      <CBPLI>3,1,13,3,1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ncl_Cat]]></P>
            <OI>345</OI>
            <MN>0</MN>
            <MAG>0A3D1B54-7B18-4AE2-B3C2-0691D0B948A4</MAG>
            <BN><![CDATA[Other Non-Current Liabilities Category]]></BN>
            <N><![CDATA[Other Non-Current Liabilities - Other Non-Current Liabilities Category 1]]></N>
            <TS><![CDATA[Monthly]]></TS>
            <D><![CDATA[Calculates other non-current liabilities for a single other non-current liabilities category over a number of time series periods.]]></D>
            <FS><![CDATA[Collects movements assumptions for each time series period.]]></FS>
            <R><![CDATA[Any]]></R>
            <GE><![CDATA[Other Non-Current Liabilities Category]]></GE>
            <CA><![CDATA[Movements]]></CA>
            <VA><![CDATA[Single Component]]></VA>
            <GST><![CDATA[None]]></GST>
            <DE><![CDATA[Modano]]></DE>
            <E><![CDATA[info@modano.com]]></E>
            <C><![CDATA[Modano]]></C>
            <W><![CDATA[www.modano.com]]></W>
            <K/>
            <CO/>
            <V>11.0.1.0.</V>
            <AX>2</AX>
            <SX/>
            <PMLO>False</PMLO>
            <IPMLO>False</IPMLO>
            <MACA>1</MACA>
            <HP>True</HP>
            <DR>True</DR>
            <RTSM>True</RTSM>
            <CC>False</CC>
            <X>False</X>
            <G>CFC7A4E5-2C81-4D20-B844-2D606EA1ED3E</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NT>-2</NT>
                <DP>0</DP>
                <CNF><![CDATA[_("+"#,##0.0_);(#,##0.0);_("-"_);_)@_)]]></CNF>
              </StlOvlyProps>
            </StlOvly>
            <StlOvly>
              <StlOvlyProps>
                <SON>3</SON>
              </StlOvlyProps>
              <BdrOvlys>
                <BdrOvly>
                  <BdrOvlyProps>
                    <PT>1</PT>
                    <SON>3</SON>
                    <CBPLI/>
                    <FCN>0</FCN>
                    <I>True</I>
                    <BI>10</BI>
                    <LS>1</LS>
                    <W>2</W>
                  </BdrOvlyProps>
                </BdrOvly>
              </BdrOvlys>
            </StlOvly>
          </StlOvlys>
          <TrigCbps>
            <TrigCbp>
              <TrigCbpProps>
                <LI>2,1,1,1,1</LI>
                <TT>2</TT>
                <RLI/>
                <R2LI/>
                <TS/>
                <OT>0</OT>
                <FO>0</FO>
              </TrigCbpProps>
            </TrigCbp>
          </TrigCbps>
          <ModComps>
            <ModComp>
              <ModCompProps>
                <MN>55</MN>
                <MCN>1</MCN>
                <MCTK>BaseCase</MCTK>
                <RT><![CDATA[<ModuleName> - Assumptions]]></RT>
                <ERN>MODMC148</ERN>
                <MCST>1</MCST>
                <IPMC>False</IPMC>
                <SN>15</SN>
                <LODS>False</LODS>
                <LST>False</LST>
                <RSTF>False</RSTF>
                <STRA>0</STRA>
                <HS>False</HS>
                <IBOA>0</IBOA>
                <IB>True</IB>
                <CI><![CDATA[Other Non-Current Liabilities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Movement +/-]]></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55</MN>
                <MCN>2</MCN>
                <MCTK>BaseCase</MCTK>
                <RT><![CDATA[<ModuleName> - Outputs]]></RT>
                <ERN>MODMC149</ERN>
                <MCST>1</MCST>
                <IPMC>False</IPMC>
                <SN>15</SN>
                <LODS>False</LODS>
                <LST>False</LST>
                <RSTF>False</RSTF>
                <STRA>0</STRA>
                <HS>False</HS>
                <IBOA>0</IBOA>
                <IB>True</IB>
                <CI><![CDATA[Other Non-Current Liabilities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duleGenericName>]]></VOFFF>
                              </ClmnBlkPtProps>
                              <LnkInForms>
                                <LnkInForm>
                                  <LnkInFormProps>
                                    <CBPLI>2,1,1,1,1</CBPLI>
                                    <ELN>1</ELN>
                                    <FFF><![CDATA[=§A¿10,FALSE,0,1,0,FALSE§Z¿]]></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18</ST>
                                <SON>3</SON>
                                <VOFFF><![CDATA[0]]></VOFFF>
                              </ClmnBlkPtProps>
                              <LnkInForms>
                                <LnkInForm>
                                  <LnkInFormProps>
                                    <CBPLI>2,1,1,2,1</CBPLI>
                                    <ELN>1</ELN>
                                    <FFF><![CDATA[=§A¿10,FALSE,0,2,0,FALSE§Z¿]]></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A¿0,2,0,1,1,2,1,-1,0,0,FALSE,FALSE§Z¿+§A¿0,1,0,1,1,3,1,-1,0,0,FALSE,FALSE§Z¿]]></VOFFF>
                              </ClmnBlkPtProps>
                              <LnkInForms>
                                <LnkInForm>
                                  <LnkInFormProps>
                                    <CBPLI>2,1,1,3,1</CBPLI>
                                    <ELN>1</ELN>
                                    <FFF/>
                                  </LnkInFormProps>
                                </LnkInForm>
                              </LnkInForms>
                            </ClmnBlkPt>
                          </ClmnBlkPts>
                        </ClmnBlk>
                      </ClmnBlks>
                      <TtlCtg>
                        <TtlCtgProps>
                          <R>1</R>
                        </TtlCtgProps>
                        <LnkIn>
                          <LnkInProps>
                            <MN>55</MN>
                            <CLI>2,1,1,True,0</CLI>
                            <ELN>1</ELN>
                            <LOOT>0</LOOT>
                            <LOMN>54</LOMN>
                            <LOMCN>3</LOMCN>
                            <LOSN>1</LOSN>
                            <LOEN>6</LOEN>
                            <LOCN>1</LOCN>
                          </LnkInProps>
                        </LnkIn>
                      </TtlCtg>
                      <ElmtLnksOut>
                        <ElmtLnk>
                          <ElmtLnkProps>
                            <ELI>2,1,1</ELI>
                            <ELN>1</ELN>
                            <ELGN>1</ELGN>
                            <MLG>2E6A8DD3-A554-4F33-875C-C370EF0770F1</MLG>
                            <ICBI>1,3</ICBI>
                            <ILBN>1,2</ILBN>
                            <LIBN>0</LIBN>
                          </ElmtLnkProps>
                        </ElmtLnk>
                      </ElmtLnksOut>
                      <ElmtLnksIn>
                        <ElmtLnk>
                          <ElmtLnkProps>
                            <ELI>2,1,1</ELI>
                            <ELN>1</ELN>
                            <ELGN>1</ELGN>
                            <MLG>01DA7FD1-5000-48DE-915B-A0EB905A2A42</MLG>
                            <ICBI>1,2</ICBI>
                            <ILBN/>
                            <LIBN>0</LIBN>
                          </ElmtLnkProps>
                        </ElmtLnk>
                      </ElmtLnksIn>
                    </Elmt>
                  </Elmts>
                </Sect>
              </Sects>
            </ModComp>
          </ModComps>
        </Mod>
        <Mod>
          <ModProps>
            <MVS>14.0.5.0</MVS>
            <RAV/>
            <RXV>0</RXV>
            <FV>3</FV>
            <MT>0</MT>
            <SCT>-1</SCT>
            <P><![CDATA[Oe]]></P>
            <OI>350</OI>
            <MN>0</MN>
            <MAG>0A3D1B54-7B18-4AE2-B3C2-0691D0B948A4</MAG>
            <BN><![CDATA[Other Equity]]></BN>
            <N><![CDATA[Other Equity]]></N>
            <TS><![CDATA[Monthly]]></TS>
            <D><![CDATA[Calculates other equity for a number of other equity categories over a number of time series periods.]]></D>
            <FS><![CDATA[Allows for a separate module for each other equity category to facilitate variable drivers functionalities.]]></FS>
            <R><![CDATA[Any]]></R>
            <GE><![CDATA[Other Equity]]></GE>
            <CA><![CDATA[Variable Drivers]]></CA>
            <VA><![CDATA[Single Component]]></VA>
            <GST><![CDATA[None]]></GST>
            <DE><![CDATA[Modano]]></DE>
            <E><![CDATA[info@modano.com]]></E>
            <C><![CDATA[Modano]]></C>
            <W><![CDATA[www.modano.com]]></W>
            <K/>
            <CO/>
            <V>11.0.1.0.</V>
            <AX>2</AX>
            <SX/>
            <PMLO>False</PMLO>
            <IPMLO>False</IPMLO>
            <MACA>0</MACA>
            <HP>False</HP>
            <DR>False</DR>
            <RTSM>True</RTSM>
            <CC>True</CC>
            <X>False</X>
            <G>3D8B2A2A-95D6-4C9E-AE88-0E0FE23361E7</G>
          </ModProps>
          <RowStgs>
            <RowStg>
              <RowStgProps>
                <RSN>1</RSN>
                <RHST>0</RHST>
                <HS>100</HS>
                <OL>2</OL>
                <RH>False</RH>
              </RowStgProps>
            </RowStg>
            <RowStg>
              <RowStgProps>
                <RSN>2</RSN>
                <RHST>1</RHST>
                <HS>50</HS>
                <OL>2</OL>
                <RH>False</RH>
              </RowStgProps>
            </RowStg>
            <RowStg>
              <RowStgProps>
                <RSN>3</RSN>
                <RHST>1</RHST>
                <HS>25</HS>
                <OL>2</OL>
                <RH>False</RH>
              </RowStgProps>
            </RowStg>
            <RowStg>
              <RowStgProps>
                <RSN>4</RSN>
                <RHST>0</RHST>
                <HS>0</HS>
                <OL>3</OL>
                <RH>True</RH>
              </RowStgProps>
            </RowStg>
            <RowStg>
              <RowStgProps>
                <RSN>5</RSN>
                <RHST>1</RHST>
                <HS>50</HS>
                <OL>3</OL>
                <RH>True</RH>
              </RowStgProps>
            </RowStg>
          </RowStgs>
          <StlOvlys>
            <StlOvly>
              <StlOvlyProps>
                <SON>1</SON>
              </StlOvlyProps>
              <FntOvly>
                <FntOvlyProps>
                  <PT>1</PT>
                  <SON>1</SON>
                  <CBPLI>0,0,0,0,0</CBPLI>
                  <FCN>0</FCN>
                  <CN>0</CN>
                  <IB>True</IB>
                  <B>True</B>
                </FntOvlyProps>
              </FntOvly>
              <BdrOvlys>
                <BdrOvly>
                  <BdrOvlyProps>
                    <PT>1</PT>
                    <SON>1</SON>
                    <CBPLI/>
                    <FCN>0</FCN>
                    <I>True</I>
                    <BI>8</BI>
                    <LS>1</LS>
                    <W>2</W>
                  </BdrOvlyProps>
                </BdrOvly>
              </BdrOvlys>
            </StlOvly>
            <StlOvly>
              <StlOvlyProps>
                <SON>2</SON>
                <INF>True</INF>
                <NT>0</NT>
                <DP>0</DP>
                <CNF/>
              </StlOvlyProps>
              <FntOvly>
                <FntOvlyProps>
                  <PT>1</PT>
                  <SON>2</SON>
                  <CBPLI>0,0,0,0,0</CBPLI>
                  <FCN>0</FCN>
                  <CN>0</CN>
                  <IB>True</IB>
                  <B>True</B>
                </FntOvlyProps>
              </FntOvly>
              <BdrOvlys>
                <BdrOvly>
                  <BdrOvlyProps>
                    <PT>1</PT>
                    <SON>2</SON>
                    <CBPLI/>
                    <FCN>0</FCN>
                    <I>True</I>
                    <BI>10</BI>
                    <LS>1</LS>
                    <W>2</W>
                  </BdrOvlyProps>
                </BdrOvly>
              </BdrOvlys>
            </StlOvly>
            <StlOvly>
              <StlOvlyProps>
                <SON>3</SON>
                <INF>True</INF>
                <NT>0</NT>
                <DP>0</DP>
                <CNF/>
              </StlOvlyProps>
            </StlOvly>
            <StlOvly>
              <StlOvlyProps>
                <SON>4</SON>
                <IHA>True</IHA>
                <HA>-4108</HA>
              </StlOvlyProps>
              <FntOvly>
                <FntOvlyProps>
                  <PT>1</PT>
                  <SON>4</SON>
                  <CBPLI>0,0,0,0,0</CBPLI>
                  <FCN>0</FCN>
                  <CN>0</CN>
                  <IC>True</IC>
                  <CT>-3</CT>
                  <CNU>2</CNU>
                  <CPR>8421504</CPR>
                  <TAS>0.4999847</TAS>
                </FntOvlyProps>
              </FntOvly>
            </StlOvly>
            <StlOvly>
              <StlOvlyProps>
                <SON>5</SON>
                <INF>True</INF>
                <NT>0</NT>
                <DP>0</DP>
                <CNF/>
              </StlOvlyProps>
              <BdrOvlys>
                <BdrOvly>
                  <BdrOvlyProps>
                    <PT>1</PT>
                    <SON>5</SON>
                    <CBPLI/>
                    <FCN>0</FCN>
                    <I>True</I>
                    <BI>9</BI>
                    <LS>-4115</LS>
                    <W>2</W>
                  </BdrOvlyProps>
                </BdrOvly>
              </BdrOvlys>
            </StlOvly>
            <StlOvly>
              <StlOvlyProps>
                <SON>6</SON>
                <IHA>True</IHA>
                <HA>-4152</HA>
              </StlOvlyProps>
              <BdrOvlys>
                <BdrOvly>
                  <BdrOvlyProps>
                    <PT>1</PT>
                    <SON>6</SON>
                    <CBPLI/>
                    <FCN>0</FCN>
                    <I>True</I>
                    <BI>9</BI>
                    <LS>-4115</LS>
                    <W>2</W>
                  </BdrOvlyProps>
                </BdrOvly>
              </BdrOvlys>
            </StlOvly>
            <StlOvly>
              <StlOvlyProps>
                <SON>7</SON>
                <IHA>True</IHA>
                <HA>-4152</HA>
              </StlOvlyProps>
            </StlOvly>
            <StlOvly>
              <StlOvlyProps>
                <SON>8</SON>
              </StlOvlyProps>
              <FntOvly>
                <FntOvlyProps>
                  <PT>1</PT>
                  <SON>8</SON>
                  <CBPLI>0,0,0,0,0</CBPLI>
                  <FCN>0</FCN>
                  <CN>0</CN>
                  <IB>True</IB>
                  <B>True</B>
                </FntOvlyProps>
              </FntOvly>
              <BdrOvlys>
                <BdrOvly>
                  <BdrOvlyProps>
                    <PT>1</PT>
                    <SON>8</SON>
                    <CBPLI/>
                    <FCN>0</FCN>
                    <I>True</I>
                    <BI>10</BI>
                    <LS>1</LS>
                    <W>2</W>
                  </BdrOvlyProps>
                </BdrOvly>
                <BdrOvly>
                  <BdrOvlyProps>
                    <PT>1</PT>
                    <SON>8</SON>
                    <CBPLI/>
                    <FCN>0</FCN>
                    <I>True</I>
                    <BI>8</BI>
                    <LS>1</LS>
                    <W>2</W>
                  </BdrOvlyProps>
                </BdrOvly>
              </BdrOvlys>
            </StlOvly>
            <StlOvly>
              <StlOvlyProps>
                <SON>9</SON>
                <IHA>True</IHA>
                <HA>-4152</HA>
              </StlOvlyProps>
              <FntOvly>
                <FntOvlyProps>
                  <PT>1</PT>
                  <SON>9</SON>
                  <CBPLI>0,0,0,0,0</CBPLI>
                  <FCN>0</FCN>
                  <CN>0</CN>
                  <IB>True</IB>
                  <B>True</B>
                </FntOvlyProps>
              </FntOvly>
              <BdrOvlys>
                <BdrOvly>
                  <BdrOvlyProps>
                    <PT>1</PT>
                    <SON>9</SON>
                    <CBPLI/>
                    <FCN>0</FCN>
                    <I>True</I>
                    <BI>10</BI>
                    <LS>1</LS>
                    <W>2</W>
                  </BdrOvlyProps>
                </BdrOvly>
                <BdrOvly>
                  <BdrOvlyProps>
                    <PT>1</PT>
                    <SON>9</SON>
                    <CBPLI/>
                    <FCN>0</FCN>
                    <I>True</I>
                    <BI>9</BI>
                    <LS>1</LS>
                    <W>2</W>
                  </BdrOvlyProps>
                </BdrOvly>
              </BdrOvlys>
            </StlOvly>
            <StlOvly>
              <StlOvlyProps>
                <SON>10</SON>
              </StlOvlyProps>
              <BdrOvlys>
                <BdrOvly>
                  <BdrOvlyProps>
                    <PT>1</PT>
                    <SON>10</SON>
                    <CBPLI/>
                    <FCN>0</FCN>
                    <I>True</I>
                    <BI>10</BI>
                    <LS>1</LS>
                    <W>2</W>
                  </BdrOvlyProps>
                </BdrOvly>
              </BdrOvlys>
            </StlOvly>
          </StlOvlys>
          <ElmtsGrps>
            <ElmtsGrp>
              <ElmtsGrpProps>
                <NU>1</NU>
                <NA><![CDATA[Other Equity]]></NA>
                <EGT>0</EGT>
                <DCC>6</DCC>
                <AST>False</AST>
                <ISTH>True</ISTH>
                <PTMCN>0</PTMCN>
                <PTBN>0</PTBN>
                <PTBI>0</PTBI>
                <GLN/>
                <CLOT>0</CLOT>
                <CLIT>0</CLIT>
                <PMLO>0</PMLO>
                <IPMLO>0</IPMLO>
              </ElmtsGrpProps>
            </ElmtsGrp>
          </ElmtsGrps>
          <ModComps>
            <ModComp>
              <ModCompProps>
                <MN>56</MN>
                <MCN>1</MCN>
                <MCTK>BaseCase</MCTK>
                <RT><![CDATA[<ModuleName> - Top]]></RT>
                <ERN>MODMC150</ERN>
                <MCST>1</MCST>
                <IPMC>False</IPMC>
                <SN>15</SN>
                <LODS>False</LODS>
                <LST>False</LST>
                <RSTF>False</RSTF>
                <STRA>0</STRA>
                <HS>False</HS>
                <IBOA>0</IBOA>
                <IB>True</IB>
                <CI><![CDATA[Other Equity Assumptions]]></CI>
                <PTI/>
                <PTP>False</PTP>
                <PTD><![CDATA[Monthly time series periods.]]></PTD>
                <PTMCN>4</PTMCN>
                <CROL>0</CROL>
                <CCOL>0</CCOL>
                <AMFN>0</AMFN>
              </ModCompProps>
              <Sects>
                <Sect>
                  <SectProps>
                    <LI>1,1</LI>
                    <EGN>0</EGN>
                  </SectProps>
                  <Elmts>
                    <Elmt>
                      <ElmtProps>
                        <CPT>2</CPT>
                      </ElmtProps>
                      <TtlCtg/>
                    </Elmt>
                    <Elmt>
                      <ElmtProps>
                        <CPT>2</CPT>
                      </ElmtProps>
                      <ClmnBlks>
                        <ClmnBlk>
                          <ClmnBlkProps>
                            <FCPT>3</FCPT>
                            <FCN>2</FCN>
                            <FCOT>0</FCOT>
                            <FCOC>0</FCOC>
                            <LCPT>3</LCPT>
                            <LCN>2</LCN>
                            <LCOT>1</LCOT>
                            <LCOC>0</LCOC>
                          </ClmnBlkProps>
                          <ClmnBlkPts>
                            <ClmnBlkPt>
                              <ClmnBlkPtProps>
                                <CBPT>5</CBPT>
                                <HCTHR>True</HCTHR>
                                <CTHN>44</CTHN>
                                <ST>3</ST>
                                <VOFFF><![CDATA[<ModuleName>]]></VOFFF>
                              </ClmnBlkPtProps>
                              <RgeNmes>
                                <RgeNme>
                                  <RgeNmeProps>
                                    <CBPLI>1,1,2,1,1</CBPLI>
                                    <MCN>1</MCN>
                                    <SN>1</SN>
                                    <EN>2</EN>
                                    <CN>0</CN>
                                    <CBN>1</CBN>
                                    <CBPN>1</CBPN>
                                    <PT>1</PT>
                                    <CBPRNT>6</CBPRNT>
                                    <NT>12</NT>
                                    <SP1><![CDATA[Ass]]></SP1>
                                    <SP2/>
                                    <FFF/>
                                    <CMT/>
                                  </RgeNmeProps>
                                </RgeNme>
                              </RgeNmes>
                            </ClmnBlkPt>
                          </ClmnBlkPts>
                        </ClmnBlk>
                        <ClmnBlk>
                          <ClmnBlkProps>
                            <FCPT>3</FCPT>
                            <FCN>3</FCN>
                            <FCOT>0</FCOT>
                            <FCOC>0</FCOC>
                            <FCPTBMCN>4</FCPTBMCN>
                            <FCPTBN>2</FCPTBN>
                            <LCPT>3</LCPT>
                            <LCN>45</LCN>
                            <LCOT>1</LCOT>
                            <LCOC>0</LCOC>
                            <LCPTBMCN>4</LCPTBMCN>
                            <LCPTBN>3</LCPTB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ModuleGenericName>]]></VOFFF>
                              </ClmnBlkPtProps>
                            </ClmnBlkPt>
                          </ClmnBlkPts>
                        </ClmnBlk>
                        <ClmnBlk>
                          <ClmnBlkProps>
                            <FCPT>3</FCPT>
                            <FCN>8</FCN>
                            <FCOT>0</FCOT>
                            <FCOC>5</FCOC>
                            <FCPTBMCN>4</FCPTBMCN>
                            <FCPTBN>2</FCPTBN>
                            <LCPT>3</LCPT>
                            <LCN>8</LCN>
                            <LCOT>0</LCOT>
                            <LCOC>5</LCOC>
                            <LCPTBMCN>4</LCPTBMCN>
                            <LCPTBN>2</LCPTBN>
                          </ClmnBlkProps>
                          <ClmnBlkPts>
                            <ClmnBlkPt>
                              <ClmnBlkPtProps>
                                <CBPT>5</CBPT>
                                <ST>39</ST>
                                <SON>4</SON>
                                <VOFFF><![CDATA[Driver]]></VOFFF>
                              </ClmnBlkPtProps>
                            </ClmnBlkPt>
                          </ClmnBlkPts>
                        </ClmnBlk>
                      </ClmnBlks>
                      <TtlCtg>
                        <TtlCtgProps>
                          <R>1</R>
                        </TtlCtgProps>
                      </TtlCtg>
                    </Elmt>
                  </Elmts>
                </Sect>
              </Sects>
            </ModComp>
            <ModComp>
              <ModCompProps>
                <MN>56</MN>
                <MCN>2</MCN>
                <MCTK>BaseCase</MCTK>
                <RT><![CDATA[<ModuleName> - Middle]]></RT>
                <ERN>MODMC151</ERN>
                <MCST>1</MCST>
                <IPMC>False</IPMC>
                <SN>15</SN>
                <LODS>False</LODS>
                <LST>False</LST>
                <RSTF>False</RSTF>
                <STRA>0</STRA>
                <HS>False</HS>
                <IBOA>0</IBOA>
                <IB>True</IB>
                <CI><![CDATA[Other Equity Outputs]]></CI>
                <PTI/>
                <PTP>False</PTP>
                <PTD><![CDATA[Monthly time series periods.]]></PTD>
                <PTMCN>4</PTMCN>
                <CROL>0</CROL>
                <CCOL>0</CCOL>
                <AMFN>0</AMFN>
              </ModCompProps>
              <Sects>
                <Sect>
                  <SectProps>
                    <LI>2,1</LI>
                    <EGN>0</EGN>
                  </SectProps>
                  <Elmts>
                    <Elmt>
                      <ElmtProps>
                        <CPT>2</CPT>
                      </ElmtProps>
                      <TtlCtg>
                        <TtlCtgProps>
                          <R>3</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2,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Opening Balance]]></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IF(§A¿9,4,2,0,1,6,3,1,-1,0,0,TRUE,FALSE§Z¿=1,§A¿0,3,0,1,6,2,1,0,0,0,FALSE,TRUE§Z¿,§A¿0,3,0,1,9,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LnksOut>
                        <ElmtLnk>
                          <ElmtLnkProps>
                            <ELI>2,1,2</ELI>
                            <ELN>1</ELN>
                            <ELGN>1</ELGN>
                            <MLG>6A851E46-B227-4140-80FB-FF2CF672339A</MLG>
                            <ICBI>1,2</ICBI>
                            <ILBN>1,2</ILBN>
                            <LIBN>0</LIBN>
                          </ElmtLnkProps>
                        </ElmtLnk>
                      </ElmtLnksOut>
                    </Elmt>
                    <Elmt>
                      <ElmtProps>
                        <CPT>2</CPT>
                      </ElmtProps>
                      <TtlCtg>
                        <TtlCtgProps>
                          <R>5</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UDAV><![CDATA[<CategoriesGroupName> Category <CategoryNumber>]]></UDAV>
                              </ClmnBlkPtProps>
                            </ClmnBlkPt>
                            <ClmnBlkPt>
                              <ClmnBlkPtProps>
                                <CBPT>1</CBPT>
                                <ST>6</ST>
                                <VOFFF><![CDATA[=§A¿0,2,0,1,4,1,3,0,0,0,FALSE,FALSE§Z¿]]></VOFFF>
                                <UDAV><![CDATA[<CategoriesGroupName> Sub-Total <SubTotalNumber>]]></UDAV>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CDATA[Change in Other Equity]]></VOFFF>
                                <UDAV><![CDATA[Total <CategoriesGroupName>]]></UDAV>
                              </ClmnBlkPtProps>
                            </ClmnBlkPt>
                          </ClmnBlkPts>
                        </ClmnBlk>
                        <ClmnBlk>
                          <ClmnBlkProps>
                            <FCPT>3</FCPT>
                            <FCN>10</FCN>
                            <FCOT>0</FCOT>
                            <FCOC>0</FCOC>
                            <FCPTBMCN>4</FCPTBMCN>
                            <FCPTBN>3</FCPTBN>
                            <LCPT>3</LCPT>
                            <LCN>45</LCN>
                            <LCOT>1</LCOT>
                            <LCOC>0</LCOC>
                            <LCPTBMCN>4</LCPTBMCN>
                            <LCPTBN>3</LCPTBN>
                          </ClmnBlkProps>
                          <ClmnBlkPts>
                            <ClmnBlkPt>
                              <ClmnBlkPtProps>
                                <CBPT>0</CBPT>
                                <ST>18</ST>
                                <SON>6</SON>
                                <VOFFF><![CDATA[=§A¿0,3,0,1,9,3,1,0,0,0,FALSE,FALSE§Z¿-§A¿0,2,0,1,2,2,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7</SON>
                                <VOFFF><![CDATA[=§A¿3§Z¿]]></VOFFF>
                              </ClmnBlkPtProps>
                            </ClmnBlkPt>
                          </ClmnBlkPts>
                        </ClmnBlk>
                      </ClmnBlks>
                      <SubTtls>
                        <SubTtl>
                          <Ctgs>
                            <Ctg>
                              <CtgProps>
                                <R>4</R>
                              </CtgProps>
                            </Ctg>
                          </Ctgs>
                        </SubTtl>
                      </SubTtls>
                      <TtlCtg>
                        <TtlCtgProps>
                          <R>4</R>
                        </TtlCtgProps>
                      </TtlCtg>
                    </Elmt>
                    <Elmt>
                      <ElmtProps>
                        <CPT>2</CPT>
                      </ElmtProps>
                      <TtlCtg>
                        <TtlCtgProps>
                          <R>5</R>
                        </TtlCtgProps>
                      </TtlCtg>
                    </Elmt>
                    <Elmt>
                      <ElmtProps>
                        <CPT>2</CPT>
                      </ElmtProps>
                      <ClmnBlks>
                        <ClmnBlk>
                          <ClmnBlkProps>
                            <FCPT>3</FCPT>
                            <FCN>2</FCN>
                            <FCOT>0</FCOT>
                            <FCOC>0</FCOC>
                            <LCPT>3</LCPT>
                            <LCN>2</LCN>
                            <LCOT>1</LCOT>
                            <LCOC>0</LCOC>
                          </ClmnBlkProps>
                          <ClmnBlkPts>
                            <ClmnBlkPt>
                              <ClmnBlkPtProps>
                                <CBPT>5</CBPT>
                                <ST>5</ST>
                                <VOFFF><![CDATA[Closing Balances]]></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
                          <ClmnBlkProps>
                            <FCPT>3</FCPT>
                            <FCN>10</FCN>
                            <FCOT>0</FCOT>
                            <FCOC>0</FCOC>
                            <FCPTBMCN>4</FCPTBMCN>
                            <FCPTBN>3</FCPTBN>
                            <LCPT>3</LCPT>
                            <LCN>10</LCN>
                            <LCOT>0</LCOT>
                            <LCOC>0</LCOC>
                            <LCPTBMCN>4</LCPTBMCN>
                            <LCPTBN>3</LCPTBN>
                          </ClmnBlkProps>
                          <ClmnBlkPts>
                            <ClmnBlkPt>
                              <ClmnBlkPtProps>
                                <CBPT>5</CBPT>
                                <ST>-1</ST>
                                <VOFFF/>
                              </ClmnBlkPtProps>
                            </ClmnBlkPt>
                          </ClmnBlkPts>
                        </ClmnBlk>
                      </ClmnBlks>
                      <TtlCtg>
                        <TtlCtgProps>
                          <R>1</R>
                        </TtlCtgProps>
                      </TtlCtg>
                    </Elmt>
                  </Elmts>
                </Sect>
              </Sects>
            </ModComp>
            <ModComp>
              <ModCompProps>
                <MN>56</MN>
                <MCN>3</MCN>
                <MCTK>BaseCase</MCTK>
                <RT><![CDATA[<ModuleName> - Bottom]]></RT>
                <ERN>MODMC152</ERN>
                <MCST>1</MCST>
                <IPMC>False</IPMC>
                <SN>15</SN>
                <LODS>False</LODS>
                <LST>False</LST>
                <RSTF>False</RSTF>
                <STRA>0</STRA>
                <HS>False</HS>
                <IBOA>3</IBOA>
                <IB>True</IB>
                <CI/>
                <PTI/>
                <PTP>False</PTP>
                <PTD><![CDATA[Monthly time series periods.]]></PTD>
                <PTMCN>4</PTMCN>
                <CROL>0</CROL>
                <CCOL>0</CCOL>
                <AMFN>0</AMFN>
              </ModCompProps>
              <Sects>
                <Sect>
                  <SectProps>
                    <LI>3,1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5</ST>
                                <VOFFF><![CDATA[="Total "&§A¿0,1,0,1,4,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5</CBPT>
                                <ST>18</ST>
                                <SON>8</SON>
                                <VOFFF><![CDATA[=IF(ROWS(§A¿0,2|3,1,1,6,2,1,-1,0,0,TRUE,FALSE,1,1,2,1,-1,0,0,TRUE,FALSE§Z¿)=2,0,SUM(OFFSET(§A¿0,2,0,1,6,2,1,-1,0,0,TRUE,FALSE§Z¿,1,0,ROWS(§A¿0,2|3,1,1,6,2,1,-1,0,0,TRUE,FALSE,1,1,2,1,-1,0,0,TRUE,FALSE§Z¿)-2)))]]></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1</SON>
                                <VOFFF><![CDATA[=IF(ROWS(§A¿0,2|3,1,1,6,3,1,-1,0,0,TRUE,FALSE,1,1,3,1,-1,0,0,TRUE,FALSE§Z¿)=2,0,SUM(OFFSET(§A¿0,2,0,1,6,3,1,-1,0,0,TRUE,FALSE§Z¿,1,0,ROWS(§A¿0,2|3,1,1,6,3,1,-1,0,0,TRUE,FALSE,1,1,3,1,-1,0,0,TRUE,FALSE§Z¿)-2)))]]></VOFFF>
                              </ClmnBlkPtProps>
                            </ClmnBlkPt>
                          </ClmnBlkPts>
                        </ClmnBlk>
                      </ClmnBlks>
                      <TtlCtg>
                        <TtlCtgProps>
                          <R>1</R>
                        </TtlCtgProps>
                      </TtlCtg>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6</ST>
                                <VOFFF><![CDATA[Other Equity - Financing Cash Flow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7</SON>
                                <VOFFF><![CDATA[=§A¿0,2,0,1,4,2,6,-1,0,0,FALSE,FALSE§Z¿]]></VOFFF>
                              </ClmnBlkPtProps>
                            </ClmnBlkPt>
                          </ClmnBlkPts>
                        </ClmnBlk>
                      </ClmnBlks>
                      <TtlCtg>
                        <TtlCtgProps>
                          <R>1</R>
                        </TtlCtgProps>
                      </TtlCtg>
                      <ElmtLnksOut>
                        <ElmtLnk>
                          <ElmtLnkProps>
                            <ELI>3,1,3</ELI>
                            <ELN>1</ELN>
                            <ELGN>2</ELGN>
                            <MLG>33E2464B-8311-499B-8558-5BCDBB94FC53</MLG>
                            <ICBI>1,2</ICBI>
                            <ILBN>1,2</ILBN>
                            <LIBN>0</LIBN>
                          </ElmtLnkProps>
                        </ElmtLnk>
                      </ElmtLnksOut>
                    </Elmt>
                    <Elmt>
                      <ElmtProps>
                        <CPT>2</CPT>
                      </ElmtProps>
                      <TtlCtg>
                        <TtlCtgProps>
                          <R>2</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Opening Other Equity]]></VOFFF>
                              </ClmnBlkPtProps>
                            </ClmnBlkPt>
                          </ClmnBlkPts>
                        </ClmnBlk>
                        <ClmnBlk>
                          <ClmnBlkProps>
                            <FCPT>3</FCPT>
                            <FCN>9</FCN>
                            <FCOT>0</FCOT>
                            <FCOC>6</FCOC>
                            <FCPTBMCN>4</FCPTBMCN>
                            <FCPTBN>2</FCPTBN>
                            <LCPT>3</LCPT>
                            <LCN>9</LCN>
                            <LCOT>1</LCOT>
                            <LCOC>0</LCOC>
                            <LCPTBMCN>4</LCPTBMCN>
                            <LCPTBN>2</LCPTBN>
                          </ClmnBlkProps>
                          <ClmnBlkPts>
                            <ClmnBlkPt>
                              <ClmnBlkPtProps>
                                <CBPT>5</CBPT>
                                <ST>17</ST>
                                <SON>9</SON>
                                <VOFFF><![CDATA[=§A¿7,1,1,1,9,0,2,1,1§Z¿]]></VOFFF>
                              </ClmnBlkPtProps>
                            </ClmnBlkPt>
                          </ClmnBlkPts>
                        </ClmnBlk>
                      </ClmnBlks>
                      <TtlCtg>
                        <TtlCtgProps>
                          <R>4</R>
                        </TtlCtgProps>
                      </TtlCtg>
                    </Elmt>
                    <Elmt>
                      <ElmtProps>
                        <CPT>0</CPT>
                        <TOT>False</TOT>
                        <EGN>1</EGN>
                      </ElmtProps>
                      <ClmnBlks>
                        <ClmnBlk>
                          <ClmnBlkProps>
                            <FCPT>3</FCPT>
                            <FCN>2</FCN>
                            <FCOT>0</FCOT>
                            <FCOC>0</FCOC>
                            <FCPTBMCN>4</FCPTBMCN>
                            <FCPTBN>1</FCPTBN>
                            <LCPT>3</LCPT>
                            <LCN>7</LCN>
                            <LCOT>0</LCOT>
                            <LCOC>4</LCOC>
                            <LCPTBMCN>4</LCPTBMCN>
                            <LCPTBN>2</LCPTBN>
                          </ClmnBlkProps>
                          <ClmnBlkPts>
                            <ClmnBlkPt>
                              <ClmnBlkPtProps>
                                <CBPT>0</CBPT>
                                <ST>8</ST>
                                <MC>True</MC>
                                <VOFFF><![CDATA[<ModuleName> Category <CategoryNumber>]]></VOFFF>
                                <UDAV><![CDATA[<ModuleName> Category <CategoryNumber>]]></UDAV>
                              </ClmnBlkPtProps>
                              <LnkInForms>
                                <LnkInForm>
                                  <LnkInFormProps>
                                    <CBPLI>3,1,6,1,1</CBPLI>
                                    <ELN>1</ELN>
                                    <FFF><![CDATA[=§A¿10,FALSE,0,1,0,FALSE§Z¿]]></FFF>
                                  </LnkInFormProps>
                                </LnkInForm>
                              </LnkInForms>
                            </ClmnBlkPt>
                            <ClmnBlkPt>
                              <ClmnBlkPtProps>
                                <CBPT>1</CBPT>
                                <ST>6</ST>
                                <MC>True</MC>
                                <VOFFF><![CDATA[=§A¿0,3,0,1,6,1,3,0,0,0,FALSE,FALSE§Z¿]]></VOFFF>
                              </ClmnBlkPtProps>
                            </ClmnBlkPt>
                            <ClmnBlkPt>
                              <ClmnBlkPtProps>
                                <CBPT>2</CBPT>
                                <ST>7</ST>
                                <MC>True</MC>
                                <VOFFF><![CDATA[Sub-Total <SubTotalNumber>]]></VOFFF>
                                <UDAV><![CDATA[Sub-Total <SubTotalNumber>]]></UDAV>
                              </ClmnBlkPtProps>
                            </ClmnBlkPt>
                            <ClmnBlkPt>
                              <ClmnBlkPtProps>
                                <CBPT>3</CBPT>
                                <ST>-1</ST>
                                <VOFFF/>
                              </ClmnBlkPtProps>
                            </ClmnBlkPt>
                            <ClmnBlkPt>
                              <ClmnBlkPtProps>
                                <CBPT>4</CBPT>
                                <ST>-1</ST>
                                <VOFFF/>
                              </ClmnBlkPtProps>
                            </ClmnBlkPt>
                            <ClmnBlkPt>
                              <ClmnBlkPtProps>
                                <CBPT>5</CBPT>
                                <ST>5</ST>
                                <MC>True</MC>
                                <VOFFF><![CDATA[="Total "&§A¿0,3,0,1,5,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18</ST>
                                <SON>10</SON>
                                <VOFFF><![CDATA[0]]></VOFFF>
                                <UDAV><![CDATA[0]]></UDAV>
                              </ClmnBlkPtProps>
                              <LnkInForms>
                                <LnkInForm>
                                  <LnkInFormProps>
                                    <CBPLI>3,1,6,2,1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8</SON>
                                <VOFFF><![CDATA[=§A¿3§Z¿]]></VOFFF>
                              </ClmnBlkPtProps>
                            </ClmnBlkPt>
                          </ClmnBlkPts>
                        </ClmnBlk>
                      </ClmnBlks>
                      <SubTtls>
                        <SubTtl>
                          <Ctgs>
                            <Ctg>
                              <CtgProps>
                                <R>4</R>
                              </CtgProps>
                              <LnkIn>
                                <LnkInProps>
                                  <MN>56</MN>
                                  <CLI>3,1,6,False,1</CLI>
                                  <ELN>1</ELN>
                                  <LOOT>0</LOOT>
                                  <LOMN>3</LOMN>
                                  <LOMCN>1</LOMCN>
                                  <LOSN>1</LOSN>
                                  <LOEN>52</LOEN>
                                  <LOCN>1</LOCN>
                                </LnkInProps>
                              </LnkIn>
                            </Ctg>
                          </Ctgs>
                        </SubTtl>
                      </SubTtls>
                      <TtlCtg>
                        <TtlCtgProps>
                          <R>4</R>
                        </TtlCtgProps>
                      </TtlCtg>
                      <ElmtLnksOut>
                        <ElmtLnk>
                          <ElmtLnkProps>
                            <ELN>1</ELN>
                            <ELGN>1</ELGN>
                            <MLG>C258C060-BC80-457B-9F38-23FD9884DF19</MLG>
                            <ICBI>1,2</ICBI>
                            <ILBN>1,2</ILBN>
                            <LIBN>0</LIBN>
                            <CLT>1</CLT>
                            <PLO>2</PLO>
                            <IPLO>0</IPLO>
                          </ElmtLnkProps>
                        </ElmtLnk>
                      </ElmtLnksOut>
                      <ElmtLnksIn>
                        <ElmtLnk>
                          <ElmtLnkProps>
                            <ELI>3,1,6</ELI>
                            <ELN>1</ELN>
                            <ELGN>1</ELGN>
                            <MLG>6BDA6F42-6B1E-4CA6-AE16-33A0087F3B74</MLG>
                            <ICBI>1,2</ICBI>
                            <ILBN/>
                            <LIBN>0</LIBN>
                          </ElmtLnkProps>
                        </ElmtLnk>
                      </ElmtLnksIn>
                    </Elmt>
                    <Elmt>
                      <ElmtProps>
                        <CPT>2</CPT>
                      </ElmtProps>
                      <TtlCtg>
                        <TtlCtgProps>
                          <R>5</R>
                        </TtlCtgProps>
                      </TtlCtg>
                    </Elmt>
                    <Elmt>
                      <ElmtProps>
                        <CPT>2</CPT>
                      </ElmtProps>
                      <ClmnBlks>
                        <ClmnBlk>
                          <ClmnBlkProps>
                            <FCPT>3</FCPT>
                            <FCN>2</FCN>
                            <FCOT>0</FCOT>
                            <FCOC>0</FCOC>
                            <FCPTBMCN>4</FCPTBMCN>
                            <FCPTBN>1</FCPTBN>
                            <LCPT>3</LCPT>
                            <LCN>2</LCN>
                            <LCOT>1</LCOT>
                            <LCOC>0</LCOC>
                            <LCPTBMCN>4</LCPTBMCN>
                            <LCPTBN>1</LCPTBN>
                          </ClmnBlkProps>
                          <ClmnBlkPts>
                            <ClmnBlkPt>
                              <ClmnBlkPtProps>
                                <CBPT>5</CBPT>
                                <ST>5</ST>
                                <VOFFF><![CDATA[=§A¿0,1,0,1,4,1,1,-1,0,0,FALSE,FALSE§Z¿]]></VOFFF>
                              </ClmnBlkPtProps>
                            </ClmnBlkPt>
                          </ClmnBlkPts>
                        </ClmnBlk>
                      </ClmnBlks>
                      <TtlCtg>
                        <TtlCtgProps>
                          <R>4</R>
                        </TtlCtgProps>
                      </TtlCtg>
                    </Elmt>
                    <Elmt>
                      <ElmtProps>
                        <CPT>0</CPT>
                        <TOT>False</TOT>
                        <EGN>1</EGN>
                      </ElmtProps>
                      <ClmnBlks>
                        <ClmnBlk>
                          <ClmnBlkProps>
                            <FCPT>3</FCPT>
                            <FCN>2</FCN>
                            <FCOT>0</FCOT>
                            <FCOC>0</FCOC>
                            <FCPTBMCN>4</FCPTBMCN>
                            <FCPTBN>1</FCPTBN>
                            <LCPT>3</LCPT>
                            <LCN>2</LCN>
                            <LCOT>1</LCOT>
                            <LCOC>0</LCOC>
                            <LCPTBMCN>4</LCPTBMCN>
                            <LCPTBN>1</LCPTBN>
                          </ClmnBlkProps>
                          <ClmnBlkPts>
                            <ClmnBlkPt>
                              <ClmnBlkPtProps>
                                <CBPT>0</CBPT>
                                <ST>6</ST>
                                <VOFFF><![CDATA[=§A¿0,3,0,1,6,1,1,0,0,0,FALSE,FALSE§Z¿]]></VOFFF>
                              </ClmnBlkPtProps>
                            </ClmnBlkPt>
                            <ClmnBlkPt>
                              <ClmnBlkPtProps>
                                <CBPT>1</CBPT>
                                <ST>6</ST>
                                <VOFFF><![CDATA[=§A¿0,3,0,1,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5</ST>
                                <VOFFF><![CDATA[=§A¿0,3,0,1,1,1,1,-1,0,0,FALSE,FALSE§Z¿]]></VOFFF>
                              </ClmnBlkPtProps>
                            </ClmnBlkPt>
                          </ClmnBlkPts>
                        </ClmnBlk>
                        <ClmnBlk>
                          <ClmnBlkProps>
                            <FCPT>3</FCPT>
                            <FCN>9</FCN>
                            <FCOT>0</FCOT>
                            <FCOC>6</FCOC>
                            <FCPTBMCN>4</FCPTBMCN>
                            <FCPTBN>2</FCPTBN>
                            <LCPT>3</LCPT>
                            <LCN>9</LCN>
                            <LCOT>1</LCOT>
                            <LCOC>0</LCOC>
                            <LCPTBMCN>4</LCPTBMCN>
                            <LCPTBN>2</LCPTBN>
                          </ClmnBlkProps>
                          <ClmnBlkPts>
                            <ClmnBlkPt>
                              <ClmnBlkPtProps>
                                <CBPT>0</CBPT>
                                <ST>-1</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
                          <ClmnBlkProps>
                            <FCPT>3</FCPT>
                            <FCN>10</FCN>
                            <FCOT>0</FCOT>
                            <FCOC>0</FCOC>
                            <FCPTBMCN>4</FCPTBMCN>
                            <FCPTBN>3</FCPTBN>
                            <LCPT>3</LCPT>
                            <LCN>45</LCN>
                            <LCOT>1</LCOT>
                            <LCOC>0</LCOC>
                            <LCPTBMCN>4</LCPTBMCN>
                            <LCPTBN>3</LCPTBN>
                          </ClmnBlkProps>
                          <ClmnBlkPts>
                            <ClmnBlkPt>
                              <ClmnBlkPtProps>
                                <CBPT>0</CBPT>
                                <ST>18</ST>
                                <VOFFF><![CDATA[0]]></VOFFF>
                              </ClmnBlkPtProps>
                              <LnkInForms>
                                <LnkInForm>
                                  <LnkInFormProps>
                                    <CBPLI>3,1,9,3,1</CBPLI>
                                    <ELN>1</ELN>
                                    <FFF><![CDATA[=§A¿10,FALSE,0,2,0,FALSE§Z¿]]></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1</SON>
                                <VOFFF><![CDATA[=§A¿3§Z¿]]></VOFFF>
                              </ClmnBlkPtProps>
                            </ClmnBlkPt>
                          </ClmnBlkPts>
                        </ClmnBlk>
                      </ClmnBlks>
                      <SubTtls>
                        <SubTtl>
                          <Ctgs>
                            <Ctg>
                              <CtgProps>
                                <R>4</R>
                              </CtgProps>
                              <LnkIn>
                                <LnkInProps>
                                  <MN>56</MN>
                                  <CLI>3,1,9,False,1</CLI>
                                  <ELN>1</ELN>
                                  <LOOT>2</LOOT>
                                  <LOMN>57</LOMN>
                                  <LOMCN>2</LOMCN>
                                  <LOSN>1</LOSN>
                                  <LOEN>1</LOEN>
                                  <LOCN>0</LOCN>
                                </LnkInProps>
                              </LnkIn>
                            </Ctg>
                          </Ctgs>
                        </SubTtl>
                      </SubTtls>
                      <TtlCtg>
                        <TtlCtgProps>
                          <R>4</R>
                        </TtlCtgProps>
                      </TtlCtg>
                      <ElmtLnksOut>
                        <ElmtLnk>
                          <ElmtLnkProps>
                            <ELI>3,1,9</ELI>
                            <ELN>1</ELN>
                            <ELGN>1</ELGN>
                            <MLG>613080AB-6C7A-4D6A-80BC-FC2B3C855CA2</MLG>
                            <ICBI>1,3</ICBI>
                            <ILBN>1,2</ILBN>
                            <LIBN>0</LIBN>
                          </ElmtLnkProps>
                        </ElmtLnk>
                      </ElmtLnksOut>
                      <ElmtLnksIn>
                        <ElmtLnk>
                          <ElmtLnkProps>
                            <ELI>3,1,9</ELI>
                            <ELN>1</ELN>
                            <ELGN>1</ELGN>
                            <MLG>F6747256-DA7B-4FE8-A35B-9AA1D20ED66E</MLG>
                            <ICBI>3</ICBI>
                            <ILBN/>
                            <LIBN>0</LIBN>
                          </ElmtLnkProps>
                        </ElmtLnk>
                      </ElmtLnksIn>
                    </Elmt>
                    <Elmt>
                      <ElmtProps>
                        <CPT>2</CPT>
                      </ElmtProps>
                      <TtlCtg>
                        <TtlCtgProps>
                          <R>5</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Error Values]]></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3</SON>
                                <VOFFF><![CDATA[=IF(ISERROR(§A¿0,3,0,1,1,3,1,-1,0,0,FALSE,FALSE§Z¿-§A¿0,3,0,1,9,3,6,-1,0,0,FALSE,FALSE§Z¿),1,0)]]></VOFFF>
                              </ClmnBlkPtProps>
                              <FmtCnds>
                                <FmtCnd>
                                  <FmtCndProps>
                                    <CBPLI>3,1,11,2,1</CBPLI>
                                    <FCN>1</FCN>
                                    <FCT>1</FCT>
                                    <FCO>4</FCO>
                                    <F1FFF><![CDATA[=0]]></F1FFF>
                                    <F2FFF/>
                                    <SIT>False</SIT>
                                    <BSV>True</BSV>
                                    <BCT>0</BCT>
                                    <CNBCN>0</CNBCN>
                                    <BTAS>0</BTAS>
                                    <IST>1</IST>
                                    <RO>False</RO>
                                    <SIO>False</SIO>
                                    <TO>0</TO>
                                    <TS/>
                                    <DO>1</DO>
                                    <TB>1</TB>
                                    <R>10</R>
                                    <P>False</P>
                                    <AB>0</AB>
                                    <NSD>1</NSD>
                                    <DU>1</DU>
                                    <INF>False</INF>
                                    <NT>0</NT>
                                    <DP>0</DP>
                                    <CNF/>
                                  </FmtCndProps>
                                  <FntOvly>
                                    <FntOvlyProps>
                                      <PT>2</PT>
                                      <SON>0</SON>
                                      <CBPLI>3,1,11,2,1</CBPLI>
                                      <FCN>1</FCN>
                                      <CN>0</CN>
                                      <IB>True</IB>
                                      <IC>True</IC>
                                      <B>True</B>
                                      <CT>2</CT>
                                      <CNU>3</CNU>
                                      <CPR>0</CPR>
                                      <TAS>0</TAS>
                                    </FntOvlyProps>
                                  </FntOvly>
                                </FmtCnd>
                              </FmtCnds>
                            </ClmnBlkPt>
                          </ClmnBlkPts>
                        </ClmnBlk>
                      </ClmnBlks>
                      <TtlCtg>
                        <TtlCtgProps>
                          <R>4</R>
                        </TtlCtgProps>
                      </TtlCtg>
                    </Elmt>
                    <Elmt>
                      <ElmtProps>
                        <CPT>2</CPT>
                      </ElmtProps>
                      <ClmnBlks>
                        <ClmnBlk>
                          <ClmnBlkProps>
                            <FCPT>3</FCPT>
                            <FCN>3</FCN>
                            <FCOT>0</FCOT>
                            <FCOC>0</FCOC>
                            <FCPTBMCN>4</FCPTBMCN>
                            <FCPTBN>2</FCPTBN>
                            <LCPT>3</LCPT>
                            <LCN>3</LCN>
                            <LCOT>0</LCOT>
                            <LCOC>0</LCOC>
                            <LCPTBMCN>4</LCPTBMCN>
                            <LCPTBN>2</LCPTBN>
                          </ClmnBlkProps>
                          <ClmnBlkPts>
                            <ClmnBlkPt>
                              <ClmnBlkPtProps>
                                <CBPT>5</CBPT>
                                <ST>6</ST>
                                <VOFFF><![CDATA[Categories Totals Reconciliation]]></VOFFF>
                              </ClmnBlkPtProps>
                            </ClmnBlkPt>
                          </ClmnBlkPts>
                        </ClmnBlk>
                        <ClmnBlk>
                          <ClmnBlkProps>
                            <FCPT>3</FCPT>
                            <FCN>10</FCN>
                            <FCOT>0</FCOT>
                            <FCOC>0</FCOC>
                            <FCPTBMCN>4</FCPTBMCN>
                            <FCPTBN>3</FCPTBN>
                            <LCPT>3</LCPT>
                            <LCN>45</LCN>
                            <LCOT>1</LCOT>
                            <LCOC>0</LCOC>
                            <LCPTBMCN>4</LCPTBMCN>
                            <LCPTBN>3</LCPTBN>
                          </ClmnBlkProps>
                          <ClmnBlkPts>
                            <ClmnBlkPt>
                              <ClmnBlkPtProps>
                                <CBPT>5</CBPT>
                                <ST>18</ST>
                                <SON>5</SON>
                                <VOFFF><![CDATA[=IF(§A¿0,3,0,1,11,2,1,-1,0,0,FALSE,FALSE§Z¿<>0,0,IF(ROUND(§A¿0,3,0,1,1,3,1,-1,0,0,FALSE,FALSE§Z¿-§A¿0,3,0,1,9,3,6,-1,0,0,FALSE,FALSE§Z¿,5)<>0,1,0))]]></VOFFF>
                              </ClmnBlkPtProps>
                              <FmtCnds>
                                <FmtCnd>
                                  <FmtCndProps>
                                    <CBPLI>3,1,12,2,1</CBPLI>
                                    <FCN>1</FCN>
                                    <FCT>1</FCT>
                                    <FCO>4</FCO>
                                    <F1FFF><![CDATA[=0]]></F1FFF>
                                    <F2FFF/>
                                    <SIT>False</SIT>
                                    <BSV>True</BSV>
                                    <BCT>0</BCT>
                                    <CNBCN>0</CNBCN>
                                    <BTAS>0</BTAS>
                                    <IST>1</IST>
                                    <RO>False</RO>
                                    <SIO>False</SIO>
                                    <TO>0</TO>
                                    <TS/>
                                    <DO>1</DO>
                                    <TB>1</TB>
                                    <R>10</R>
                                    <P>False</P>
                                    <AB>0</AB>
                                    <NSD>1</NSD>
                                    <DU>1</DU>
                                    <INF>False</INF>
                                    <NT>0</NT>
                                    <DP>0</DP>
                                    <CNF/>
                                  </FmtCndProps>
                                  <FntOvly>
                                    <FntOvlyProps>
                                      <PT>2</PT>
                                      <SON>0</SON>
                                      <CBPLI>3,1,12,2,1</CBPLI>
                                      <FCN>1</FCN>
                                      <CN>0</CN>
                                      <IB>True</IB>
                                      <IC>True</IC>
                                      <B>True</B>
                                      <CT>2</CT>
                                      <CNU>3</CNU>
                                      <CPR>0</CPR>
                                      <TAS>0</TAS>
                                    </FntOvlyProps>
                                  </FntOvly>
                                </FmtCnd>
                              </FmtCnds>
                            </ClmnBlkPt>
                          </ClmnBlkPts>
                        </ClmnBlk>
                      </ClmnBlks>
                      <TtlCtg>
                        <TtlCtgProps>
                          <R>4</R>
                        </TtlCtgProps>
                      </TtlCtg>
                    </Elmt>
                    <Elmt>
                      <ElmtProps>
                        <CPT>2</CPT>
                      </ElmtProps>
                      <ClmnBlks>
                        <ClmnBlk>
                          <ClmnBlkProps>
                            <FCPT>3</FCPT>
                            <FCN>2</FCN>
                            <FCOT>0</FCOT>
                            <FCOC>0</FCOC>
                            <LCPT>3</LCPT>
                            <LCN>2</LCN>
                            <LCOT>1</LCOT>
                            <LCOC>0</LCOC>
                          </ClmnBlkProps>
                          <ClmnBlkPts>
                            <ClmnBlkPt>
                              <ClmnBlkPtProps>
                                <CBPT>5</CBPT>
                                <ST>6</ST>
                                <VOFFF><![CDATA[Total Error Checks Result]]></VOFFF>
                              </ClmnBlkPtProps>
                            </ClmnBlkPt>
                          </ClmnBlkPts>
                        </ClmnBlk>
                        <ClmnBlk>
                          <ClmnBlkProps>
                            <FCPT>3</FCPT>
                            <FCN>9</FCN>
                            <FCOT>0</FCOT>
                            <FCOC>6</FCOC>
                            <LCPT>3</LCPT>
                            <LCN>9</LCN>
                            <LCOT>1</LCOT>
                            <LCOC>0</LCOC>
                          </ClmnBlkProps>
                          <ClmnBlkPts>
                            <ClmnBlkPt>
                              <ClmnBlkPtProps>
                                <CBPT>5</CBPT>
                                <ST>18</ST>
                                <SON>2</SON>
                                <VOFFF><![CDATA[=IF(ISERROR(SUM(§A¿0,3,1,1,13,3,1,-1,0,0,FALSE,FALSE,1,13,3,1,-1,1,0,FALSE,FALSE§Z¿)),1,MIN(SUM(§A¿0,3,1,1,13,3,1,-1,0,0,FALSE,FALSE,1,13,3,1,-1,1,0,FALSE,FALSE§Z¿),1))]]></VOFFF>
                              </ClmnBlkPtProps>
                              <Chk>
                                <ChkProps>
                                  <CBPLI>3,1,13,2,1</CBPLI>
                                  <CT>0</CT>
                                  <CN>28</CN>
                                  <HST>1</HST>
                                  <CHT/>
                                  <HCBPLI>1,1,2,1,1</HCBPLI>
                                </ChkProps>
                              </Chk>
                              <Cmts>
                                <Cmt>
                                  <CmtProps>
                                    <CBPLI>3,1,13,2,1</CBPLI>
                                    <WRN>1</WRN>
                                    <ERT>5</ERT>
                                    <COSTN>0</COSTN>
                                    <OC>0</OC>
                                    <HT><![CDATA[Error Check]]></HT>
                                    <HFS>0</HFS>
                                    <BT><![CDATA[Flags the existence of errors.]]></BT>
                                    <BFS>0</BFS>
                                    <H>103</H>
                                    <W>128</W>
                                  </CmtProps>
                                </Cmt>
                              </Cmts>
                              <FmtCnds>
                                <FmtCnd>
                                  <FmtCndProps>
                                    <CBPLI>3,1,13,2,1</CBPLI>
                                    <FCN>1</FCN>
                                    <FCT>1</FCT>
                                    <FCO>4</FCO>
                                    <F1FFF><![CDATA[=0]]></F1FFF>
                                    <F2FFF/>
                                    <SIT>False</SIT>
                                    <BSV>True</BSV>
                                    <BCT>0</BCT>
                                    <CNBCN>0</CNBCN>
                                    <BTAS>0</BTAS>
                                    <IST>1</IST>
                                    <RO>False</RO>
                                    <SIO>False</SIO>
                                    <TO>0</TO>
                                    <TS/>
                                    <DO>1</DO>
                                    <TB>1</TB>
                                    <R>10</R>
                                    <P>False</P>
                                    <AB>0</AB>
                                    <NSD>1</NSD>
                                    <DU>1</DU>
                                    <INF>False</INF>
                                    <NT>0</NT>
                                    <DP>0</DP>
                                    <CNF/>
                                  </FmtCndProps>
                                  <FntOvly>
                                    <FntOvlyProps>
                                      <PT>2</PT>
                                      <SON>0</SON>
                                      <CBPLI>3,1,13,2,1</CBPLI>
                                      <FCN>1</FCN>
                                      <CN>0</CN>
                                      <IB>True</IB>
                                      <IC>True</IC>
                                      <B>True</B>
                                      <CT>2</CT>
                                      <CNU>3</CNU>
                                      <CPR>0</CPR>
                                      <TAS>0</TAS>
                                    </FntOvlyProps>
                                  </FntOvly>
                                </FmtCnd>
                              </FmtCnds>
                            </ClmnBlkPt>
                          </ClmnBlkPts>
                        </ClmnBlk>
                        <ClmnBlk>
                          <ClmnBlkProps>
                            <FCPT>3</FCPT>
                            <FCN>10</FCN>
                            <FCOT>0</FCOT>
                            <FCOC>0</FCOC>
                            <FCPTBMCN>4</FCPTBMCN>
                            <FCPTBN>3</FCPTBN>
                            <LCPT>3</LCPT>
                            <LCN>45</LCN>
                            <LCOT>1</LCOT>
                            <LCOC>0</LCOC>
                            <LCPTBMCN>4</LCPTBMCN>
                            <LCPTBN>3</LCPTBN>
                          </ClmnBlkProps>
                          <ClmnBlkPts>
                            <ClmnBlkPt>
                              <ClmnBlkPtProps>
                                <CBPT>5</CBPT>
                                <ST>18</ST>
                                <SON>3</SON>
                                <VOFFF><![CDATA[=MIN(SUM(§A¿0,3,1,1,11,2,1,-1,0,0,FALSE,FALSE,1,12,2,1,-1,0,0,FALSE,FALSE§Z¿),1)]]></VOFFF>
                              </ClmnBlkPtProps>
                              <FmtCnds>
                                <FmtCnd>
                                  <FmtCndProps>
                                    <CBPLI>3,1,13,3,1</CBPLI>
                                    <FCN>1</FCN>
                                    <FCT>1</FCT>
                                    <FCO>4</FCO>
                                    <F1FFF><![CDATA[=0]]></F1FFF>
                                    <F2FFF/>
                                    <SIT>False</SIT>
                                    <BSV>True</BSV>
                                    <BCT>0</BCT>
                                    <CNBCN>0</CNBCN>
                                    <BTAS>0</BTAS>
                                    <IST>1</IST>
                                    <RO>False</RO>
                                    <SIO>False</SIO>
                                    <TO>0</TO>
                                    <TS/>
                                    <DO>1</DO>
                                    <TB>1</TB>
                                    <R>10</R>
                                    <P>False</P>
                                    <AB>0</AB>
                                    <NSD>1</NSD>
                                    <DU>1</DU>
                                    <INF>False</INF>
                                    <NT>0</NT>
                                    <DP>0</DP>
                                    <CNF/>
                                  </FmtCndProps>
                                  <FntOvly>
                                    <FntOvlyProps>
                                      <PT>2</PT>
                                      <SON>0</SON>
                                      <CBPLI>3,1,13,3,1</CBPLI>
                                      <FCN>1</FCN>
                                      <CN>0</CN>
                                      <IB>True</IB>
                                      <IC>True</IC>
                                      <B>True</B>
                                      <CT>2</CT>
                                      <CNU>3</CNU>
                                      <CPR>0</CPR>
                                      <TAS>0</TAS>
                                    </FntOvlyProps>
                                  </FntOvly>
                                </FmtCnd>
                              </FmtCnds>
                            </ClmnBlkPt>
                          </ClmnBlkPts>
                        </ClmnBlk>
                      </ClmnBlks>
                      <TtlCtg>
                        <TtlCtgProps>
                          <R>1</R>
                        </TtlCtgProps>
                      </TtlCtg>
                    </Elmt>
                  </Elmts>
                </Sect>
              </Sects>
            </ModComp>
          </ModComps>
        </Mod>
        <Mod>
          <ModProps>
            <MVS>14.0.5.0</MVS>
            <RAV/>
            <RXV>0</RXV>
            <FV>3</FV>
            <MT>0</MT>
            <SCT>-1</SCT>
            <P><![CDATA[Oe_Cat]]></P>
            <OI>355</OI>
            <MN>0</MN>
            <MAG>0A3D1B54-7B18-4AE2-B3C2-0691D0B948A4</MAG>
            <BN><![CDATA[Other Equity Category]]></BN>
            <N><![CDATA[Other Equity - Other Equity Category 1]]></N>
            <TS><![CDATA[Monthly]]></TS>
            <D><![CDATA[Calculates other equity for a single other equity category over a number of time series periods.]]></D>
            <FS><![CDATA[Collects movements assumptions for each time series period.]]></FS>
            <R><![CDATA[Any]]></R>
            <GE><![CDATA[Other Equity Category]]></GE>
            <CA><![CDATA[Movements]]></CA>
            <VA><![CDATA[Single Component]]></VA>
            <GST><![CDATA[None]]></GST>
            <DE><![CDATA[Modano]]></DE>
            <E><![CDATA[info@modano.com]]></E>
            <C><![CDATA[Modano]]></C>
            <W><![CDATA[www.modano.com]]></W>
            <K/>
            <CO/>
            <V>11.0.1.0.</V>
            <AX>2</AX>
            <SX/>
            <PMLO>False</PMLO>
            <IPMLO>False</IPMLO>
            <MACA>1</MACA>
            <HP>True</HP>
            <DR>True</DR>
            <RTSM>True</RTSM>
            <CC>False</CC>
            <X>False</X>
            <G>E1722850-6819-4963-91CD-78D26A90B2B0</G>
          </ModProps>
          <RowStgs>
            <RowStg>
              <RowStgProps>
                <RSN>1</RSN>
                <RHST>0</RHST>
                <HS>100</HS>
                <OL>2</OL>
                <RH>False</RH>
              </RowStgProps>
            </RowStg>
            <RowStg>
              <RowStgProps>
                <RSN>2</RSN>
                <RHST>1</RHST>
                <HS>25</HS>
                <OL>2</OL>
                <RH>False</RH>
              </RowStgProps>
            </RowStg>
          </RowStgs>
          <StlOvlys>
            <StlOvly>
              <StlOvlyProps>
                <SON>1</SON>
                <IHA>True</IHA>
                <HA>-4108</HA>
              </StlOvlyProps>
              <FntOvly>
                <FntOvlyProps>
                  <PT>1</PT>
                  <SON>1</SON>
                  <CBPLI>0,0,0,0,0</CBPLI>
                  <FCN>0</FCN>
                  <CN>0</CN>
                  <IC>True</IC>
                  <CT>-3</CT>
                  <CNU>2</CNU>
                  <CPR>8421504</CPR>
                  <TAS>0.4999847</TAS>
                </FntOvlyProps>
              </FntOvly>
            </StlOvly>
            <StlOvly>
              <StlOvlyProps>
                <SON>2</SON>
                <INF>True</INF>
                <NT>-2</NT>
                <DP>0</DP>
                <CNF><![CDATA[_("+"#,##0.0_);(#,##0.0);_("-"_);_)@_)]]></CNF>
              </StlOvlyProps>
            </StlOvly>
            <StlOvly>
              <StlOvlyProps>
                <SON>3</SON>
              </StlOvlyProps>
              <BdrOvlys>
                <BdrOvly>
                  <BdrOvlyProps>
                    <PT>1</PT>
                    <SON>3</SON>
                    <CBPLI/>
                    <FCN>0</FCN>
                    <I>True</I>
                    <BI>10</BI>
                    <LS>1</LS>
                    <W>2</W>
                  </BdrOvlyProps>
                </BdrOvly>
              </BdrOvlys>
            </StlOvly>
          </StlOvlys>
          <TrigCbps>
            <TrigCbp>
              <TrigCbpProps>
                <LI>2,1,1,1,1</LI>
                <TT>2</TT>
                <RLI/>
                <R2LI/>
                <TS/>
                <OT>0</OT>
                <FO>0</FO>
              </TrigCbpProps>
            </TrigCbp>
          </TrigCbps>
          <ModComps>
            <ModComp>
              <ModCompProps>
                <MN>57</MN>
                <MCN>1</MCN>
                <MCTK>BaseCase</MCTK>
                <RT><![CDATA[<ModuleName> - Assumptions]]></RT>
                <ERN>MODMC153</ERN>
                <MCST>1</MCST>
                <IPMC>False</IPMC>
                <SN>15</SN>
                <LODS>False</LODS>
                <LST>False</LST>
                <RSTF>False</RSTF>
                <STRA>0</STRA>
                <HS>False</HS>
                <IBOA>0</IBOA>
                <IB>True</IB>
                <CI><![CDATA[Other Equity Assumptions]]></CI>
                <PTI/>
                <PTP>False</PTP>
                <PTD><![CDATA[Monthly time series periods.]]></PTD>
                <PTMCN>4</PTMCN>
                <CROL>0</CROL>
                <CCOL>0</CCOL>
                <AMFN>0</AMFN>
              </ModCompProps>
              <Sects>
                <Sect>
                  <SectProps>
                    <LI>1,1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A¿0,2,0,1,1,1,1,-1,0,0,FALSE,FALSE§Z¿]]></VOFFF>
                              </ClmnBlkPtProps>
                            </ClmnBlkPt>
                          </ClmnBlkPts>
                        </ClmnBlk>
                        <ClmnBlk>
                          <ClmnBlkProps>
                            <FCPT>3</FCPT>
                            <FCN>8</FCN>
                            <FCOT>0</FCOT>
                            <FCOC>5</FCOC>
                            <FCPTBMCN>4</FCPTBMCN>
                            <FCPTBN>2</FCPTBN>
                            <LCPT>3</LCPT>
                            <LCN>8</LCN>
                            <LCOT>0</LCOT>
                            <LCOC>5</LCOC>
                            <LCPTBMCN>4</LCPTBMCN>
                            <LCPTBN>2</LCPTBN>
                          </ClmnBlkProps>
                          <ClmnBlkPts>
                            <ClmnBlkPt>
                              <ClmnBlkPtProps>
                                <CBPT>5</CBPT>
                                <ST>40</ST>
                                <SON>1</SON>
                                <VOFFF><![CDATA[Movement +/-]]></VOFFF>
                              </ClmnBlkPtProps>
                            </ClmnBlkPt>
                          </ClmnBlkPts>
                        </ClmnBlk>
                        <ClmnBlk>
                          <ClmnBlkProps>
                            <FCPT>3</FCPT>
                            <FCN>10</FCN>
                            <FCOT>0</FCOT>
                            <FCOC>0</FCOC>
                            <FCPTBMCN>4</FCPTBMCN>
                            <FCPTBN>3</FCPTBN>
                            <LCPT>3</LCPT>
                            <LCN>45</LCN>
                            <LCOT>1</LCOT>
                            <LCOC>0</LCOC>
                            <LCPTBMCN>4</LCPTBMCN>
                            <LCPTBN>3</LCPTBN>
                          </ClmnBlkProps>
                          <ClmnBlkPts>
                            <ClmnBlkPt>
                              <ClmnBlkPtProps>
                                <CBPT>5</CBPT>
                                <ST>11</ST>
                                <SON>2</SON>
                                <VOFFF><![CDATA[0]]></VOFFF>
                                <UDAV><![CDATA[0]]></UDAV>
                              </ClmnBlkPtProps>
                              <Vdtn>
                                <VdtnProps>
                                  <CBPLI>1,1,1,3,1</CBPLI>
                                  <ADVT>0</ADVT>
                                  <VT>7</VT>
                                </VdtnProps>
                              </Vdtn>
                            </ClmnBlkPt>
                          </ClmnBlkPts>
                        </ClmnBlk>
                      </ClmnBlks>
                      <TtlCtg>
                        <TtlCtgProps>
                          <R>1</R>
                        </TtlCtgProps>
                      </TtlCtg>
                    </Elmt>
                    <Elmt>
                      <ElmtProps>
                        <CPT>2</CPT>
                      </ElmtProps>
                      <TtlCtg>
                        <TtlCtgProps>
                          <R>2</R>
                        </TtlCtgProps>
                      </TtlCtg>
                    </Elmt>
                  </Elmts>
                </Sect>
              </Sects>
            </ModComp>
            <ModComp>
              <ModCompProps>
                <MN>57</MN>
                <MCN>2</MCN>
                <MCTK>BaseCase</MCTK>
                <RT><![CDATA[<ModuleName> - Outputs]]></RT>
                <ERN>MODMC154</ERN>
                <MCST>1</MCST>
                <IPMC>False</IPMC>
                <SN>15</SN>
                <LODS>False</LODS>
                <LST>False</LST>
                <RSTF>False</RSTF>
                <STRA>0</STRA>
                <HS>False</HS>
                <IBOA>0</IBOA>
                <IB>True</IB>
                <CI><![CDATA[Other Equity Outputs]]></CI>
                <PTI/>
                <PTP>False</PTP>
                <PTD><![CDATA[Monthly time series periods.]]></PTD>
                <PTMCN>4</PTMCN>
                <CROL>0</CROL>
                <CCOL>0</CCOL>
                <AMFN>0</AMFN>
              </ModCompProps>
              <Sects>
                <Sect>
                  <SectProps>
                    <LI>2,1</LI>
                    <EGN>0</EGN>
                  </SectProps>
                  <Elmts>
                    <Elmt>
                      <ElmtProps>
                        <CPT>2</CPT>
                      </ElmtProps>
                      <ClmnBlks>
                        <ClmnBlk>
                          <ClmnBlkProps>
                            <FCPT>3</FCPT>
                            <FCN>2</FCN>
                            <FCOT>0</FCOT>
                            <FCOC>0</FCOC>
                            <FCPTBMCN>4</FCPTBMCN>
                            <FCPTBN>1</FCPTBN>
                            <LCPT>3</LCPT>
                            <LCN>2</LCN>
                            <LCOT>1</LCOT>
                            <LCOC>0</LCOC>
                            <LCPTBMCN>4</LCPTBMCN>
                            <LCPTBN>1</LCPTBN>
                          </ClmnBlkProps>
                          <ClmnBlkPts>
                            <ClmnBlkPt>
                              <ClmnBlkPtProps>
                                <CBPT>5</CBPT>
                                <ST>6</ST>
                                <VOFFF><![CDATA[<ModuleGenericName>]]></VOFFF>
                              </ClmnBlkPtProps>
                              <LnkInForms>
                                <LnkInForm>
                                  <LnkInFormProps>
                                    <CBPLI>2,1,1,1,1</CBPLI>
                                    <ELN>1</ELN>
                                    <FFF><![CDATA[=§A¿10,FALSE,0,1,0,FALSE§Z¿]]></FFF>
                                  </LnkInFormProps>
                                </LnkInForm>
                              </LnkInForms>
                            </ClmnBlkPt>
                          </ClmnBlkPts>
                        </ClmnBlk>
                        <ClmnBlk>
                          <ClmnBlkProps>
                            <FCPT>3</FCPT>
                            <FCN>9</FCN>
                            <FCOT>0</FCOT>
                            <FCOC>6</FCOC>
                            <FCPTBMCN>4</FCPTBMCN>
                            <FCPTBN>2</FCPTBN>
                            <LCPT>3</LCPT>
                            <LCN>9</LCN>
                            <LCOT>1</LCOT>
                            <LCOC>0</LCOC>
                            <LCPTBMCN>4</LCPTBMCN>
                            <LCPTBN>2</LCPTBN>
                          </ClmnBlkProps>
                          <ClmnBlkPts>
                            <ClmnBlkPt>
                              <ClmnBlkPtProps>
                                <CBPT>5</CBPT>
                                <ST>18</ST>
                                <SON>3</SON>
                                <VOFFF><![CDATA[0]]></VOFFF>
                              </ClmnBlkPtProps>
                              <LnkInForms>
                                <LnkInForm>
                                  <LnkInFormProps>
                                    <CBPLI>2,1,1,2,1</CBPLI>
                                    <ELN>1</ELN>
                                    <FFF><![CDATA[=§A¿10,FALSE,0,2,0,FALSE§Z¿]]></FFF>
                                  </LnkInFormProps>
                                </LnkInForm>
                              </LnkInForms>
                            </ClmnBlkPt>
                          </ClmnBlkPts>
                        </ClmnBlk>
                        <ClmnBlk>
                          <ClmnBlkProps>
                            <FCPT>3</FCPT>
                            <FCN>10</FCN>
                            <FCOT>0</FCOT>
                            <FCOC>0</FCOC>
                            <FCPTBMCN>4</FCPTBMCN>
                            <FCPTBN>3</FCPTBN>
                            <LCPT>3</LCPT>
                            <LCN>45</LCN>
                            <LCOT>1</LCOT>
                            <LCOC>0</LCOC>
                            <LCPTBMCN>4</LCPTBMCN>
                            <LCPTBN>3</LCPTBN>
                          </ClmnBlkProps>
                          <ClmnBlkPts>
                            <ClmnBlkPt>
                              <ClmnBlkPtProps>
                                <CBPT>5</CBPT>
                                <ST>18</ST>
                                <VOFFF><![CDATA[=§A¿0,2,0,1,1,2,1,-1,0,0,FALSE,FALSE§Z¿+§A¿0,1,0,1,1,3,1,-1,0,0,FALSE,FALSE§Z¿]]></VOFFF>
                              </ClmnBlkPtProps>
                              <LnkInForms>
                                <LnkInForm>
                                  <LnkInFormProps>
                                    <CBPLI>2,1,1,3,1</CBPLI>
                                    <ELN>1</ELN>
                                    <FFF/>
                                  </LnkInFormProps>
                                </LnkInForm>
                              </LnkInForms>
                            </ClmnBlkPt>
                          </ClmnBlkPts>
                        </ClmnBlk>
                      </ClmnBlks>
                      <TtlCtg>
                        <TtlCtgProps>
                          <R>1</R>
                        </TtlCtgProps>
                        <LnkIn>
                          <LnkInProps>
                            <MN>57</MN>
                            <CLI>2,1,1,True,0</CLI>
                            <ELN>1</ELN>
                            <LOOT>0</LOOT>
                            <LOMN>56</LOMN>
                            <LOMCN>3</LOMCN>
                            <LOSN>1</LOSN>
                            <LOEN>6</LOEN>
                            <LOCN>1</LOCN>
                          </LnkInProps>
                        </LnkIn>
                      </TtlCtg>
                      <ElmtLnksOut>
                        <ElmtLnk>
                          <ElmtLnkProps>
                            <ELI>2,1,1</ELI>
                            <ELN>1</ELN>
                            <ELGN>1</ELGN>
                            <MLG>F6747256-DA7B-4FE8-A35B-9AA1D20ED66E</MLG>
                            <ICBI>1,3</ICBI>
                            <ILBN>1,2</ILBN>
                            <LIBN>0</LIBN>
                          </ElmtLnkProps>
                        </ElmtLnk>
                      </ElmtLnksOut>
                      <ElmtLnksIn>
                        <ElmtLnk>
                          <ElmtLnkProps>
                            <ELI>2,1,1</ELI>
                            <ELN>1</ELN>
                            <ELGN>1</ELGN>
                            <MLG>C258C060-BC80-457B-9F38-23FD9884DF19</MLG>
                            <ICBI>1,2</ICBI>
                            <ILBN/>
                            <LIBN>0</LIBN>
                          </ElmtLnkProps>
                        </ElmtLnk>
                      </ElmtLnksIn>
                    </Elmt>
                  </Elmts>
                </Sect>
              </Sects>
            </ModComp>
          </ModComps>
        </Mod>
        <Mod>
          <ModProps>
            <MVS>14.0.5.0</MVS>
            <RAV/>
            <RXV>0</RXV>
            <FV>3</FV>
            <MT>0</MT>
            <SCT>-1</SCT>
            <P><![CDATA[Fs_Sum]]></P>
            <OI>300</OI>
            <MN>0</MN>
            <MAG>0E45B0A4-BB6F-4798-AC8B-7C4671EA5BC0</MAG>
            <BN><![CDATA[Summary]]></BN>
            <N><![CDATA[Summary]]></N>
            <TS><![CDATA[Requires time series assumptions and/or lookup tables.]]></TS>
            <D><![CDATA[Provides a tabulated and graphical summary of the information within an income statement and its related balance sheet and cash flow statement.]]></D>
            <FS><![CDATA[Provides a tabulated and graphical summary of the information within an income statement and its related balance sheet and cash flow statement.]]></FS>
            <R><![CDATA[United Kingdom]]></R>
            <GE><![CDATA[Financial Statements Summary Dashboard]]></GE>
            <CA><![CDATA[Chart of Accounts 2]]></CA>
            <VA><![CDATA[Single Component]]></VA>
            <GST><![CDATA[VAT]]></GST>
            <DE><![CDATA[Modano]]></DE>
            <E><![CDATA[info@modano.com]]></E>
            <C><![CDATA[Modano]]></C>
            <W><![CDATA[www.modano.com]]></W>
            <K/>
            <CO/>
            <V>10.13.5.0.</V>
            <AX>2</AX>
            <SX/>
            <PMLO>False</PMLO>
            <IPMLO>False</IPMLO>
            <MACA>0</MACA>
            <HP>False</HP>
            <DR>False</DR>
            <RTSM>True</RTSM>
            <CC>True</CC>
            <X>True</X>
            <G>9E0A9421-AB98-4C81-924C-84C7050948EF</G>
          </ModProps>
          <RowStgs>
            <RowStg>
              <RowStgProps>
                <RSN>1</RSN>
                <RHST>2</RHST>
                <HS>15.75</HS>
                <OL>1</OL>
                <RH>False</RH>
              </RowStgProps>
            </RowStg>
            <RowStg>
              <RowStgProps>
                <RSN>2</RSN>
                <RHST>1</RHST>
                <HS>50</HS>
                <OL>1</OL>
                <RH>False</RH>
              </RowStgProps>
            </RowStg>
            <RowStg>
              <RowStgProps>
                <RSN>3</RSN>
                <RHST>1</RHST>
                <HS>125</HS>
                <OL>1</OL>
                <RH>False</RH>
              </RowStgProps>
            </RowStg>
            <RowStg>
              <RowStgProps>
                <RSN>4</RSN>
                <RHST>0</RHST>
                <HS>0</HS>
                <OL>2</OL>
                <RH>False</RH>
              </RowStgProps>
            </RowStg>
          </RowStgs>
          <StlOvlys>
            <StlOvly>
              <StlOvlyProps>
                <SON>1</SON>
                <INF>True</INF>
                <NT>0</NT>
                <DP>0</DP>
                <CNF/>
              </StlOvlyProps>
            </StlOvly>
            <StlOvly>
              <StlOvlyProps>
                <SON>2</SON>
                <IHA>True</IHA>
                <HA>-4152</HA>
              </StlOvlyProps>
            </StlOvly>
            <StlOvly>
              <StlOvlyProps>
                <SON>3</SON>
              </StlOvlyProps>
              <FntOvly>
                <FntOvlyProps>
                  <PT>1</PT>
                  <SON>3</SON>
                  <CBPLI>0,0,0,0,0</CBPLI>
                  <FCN>0</FCN>
                  <CN>0</CN>
                  <II>True</II>
                  <I>True</I>
                </FntOvlyProps>
              </FntOvly>
            </StlOvly>
            <StlOvly>
              <StlOvlyProps>
                <SON>4</SON>
              </StlOvlyProps>
              <FntOvly>
                <FntOvlyProps>
                  <PT>1</PT>
                  <SON>4</SON>
                  <CBPLI>0,0,0,0,0</CBPLI>
                  <FCN>0</FCN>
                  <CN>0</CN>
                  <IC>True</IC>
                  <CT>-2</CT>
                  <CNU>0</CNU>
                  <CPR>0</CPR>
                  <TAS>0</TAS>
                </FntOvlyProps>
              </FntOvly>
            </StlOvly>
            <StlOvly>
              <StlOvlyProps>
                <SON>5</SON>
                <IHA>True</IHA>
                <HA>-4108</HA>
              </StlOvlyProps>
            </StlOvly>
            <StlOvly>
              <StlOvlyProps>
                <SON>6</SON>
                <INF>True</INF>
                <IHA>True</IHA>
                <NT>0</NT>
                <DP>0</DP>
                <CNF/>
                <HA>-4108</HA>
              </StlOvlyProps>
            </StlOvly>
            <StlOvly>
              <StlOvlyProps>
                <SON>7</SON>
                <INF>True</INF>
                <IHA>True</IHA>
                <NT>-2</NT>
                <DP>0</DP>
                <CNF><![CDATA[_(###0_);(###0);_("-"_);@_)]]></CNF>
                <HA>-4152</HA>
              </StlOvlyProps>
            </StlOvly>
            <StlOvly>
              <StlOvlyProps>
                <SON>8</SON>
                <INF>True</INF>
                <NT>-2</NT>
                <DP>0</DP>
                <CNF><![CDATA[_(#,##0_);(#,##0);_("-"_);_)@_)]]></CNF>
              </StlOvlyProps>
              <BdrOvlys>
                <BdrOvly>
                  <BdrOvlyProps>
                    <PT>1</PT>
                    <SON>8</SON>
                    <CBPLI/>
                    <FCN>0</FCN>
                    <I>True</I>
                    <BI>8</BI>
                    <LS>-4115</LS>
                    <W>2</W>
                  </BdrOvlyProps>
                </BdrOvly>
              </BdrOvlys>
            </StlOvly>
            <StlOvly>
              <StlOvlyProps>
                <SON>9</SON>
              </StlOvlyProps>
              <FntOvly>
                <FntOvlyProps>
                  <PT>1</PT>
                  <SON>9</SON>
                  <CBPLI>0,0,0,0,0</CBPLI>
                  <FCN>0</FCN>
                  <CN>0</CN>
                  <IB>True</IB>
                  <B>True</B>
                </FntOvlyProps>
              </FntOvly>
            </StlOvly>
            <StlOvly>
              <StlOvlyProps>
                <SON>10</SON>
                <INF>True</INF>
                <IHA>True</IHA>
                <NT>-2</NT>
                <DP>0</DP>
                <CNF><![CDATA[_(###0_);(###0);_("-"_);@_)]]></CNF>
                <HA>-4152</HA>
              </StlOvlyProps>
              <BdrOvlys>
                <BdrOvly>
                  <BdrOvlyProps>
                    <PT>1</PT>
                    <SON>10</SON>
                    <CBPLI/>
                    <FCN>0</FCN>
                    <I>True</I>
                    <BI>7</BI>
                    <LS>1</LS>
                    <W>2</W>
                    <CT>3</CT>
                    <CN>2</CN>
                    <TAS>0.2499771</TAS>
                  </BdrOvlyProps>
                </BdrOvly>
              </BdrOvlys>
            </StlOvly>
            <StlOvly>
              <StlOvlyProps>
                <SON>11</SON>
                <INF>True</INF>
                <IHA>True</IHA>
                <NT>-2</NT>
                <DP>0</DP>
                <CNF><![CDATA[_(###0_);(###0);_("-"_);@_)]]></CNF>
                <HA>-4152</HA>
              </StlOvlyProps>
              <FntOvly>
                <FntOvlyProps>
                  <PT>1</PT>
                  <SON>11</SON>
                  <CBPLI>0,0,0,0,0</CBPLI>
                  <FCN>0</FCN>
                  <CN>0</CN>
                  <II>True</II>
                  <I>True</I>
                </FntOvlyProps>
              </FntOvly>
            </StlOvly>
            <StlOvly>
              <StlOvlyProps>
                <SON>12</SON>
                <INF>True</INF>
                <IHA>True</IHA>
                <NT>-2</NT>
                <DP>0</DP>
                <CNF><![CDATA[_(###0_);(###0);_("-"_);@_)]]></CNF>
                <HA>-4152</HA>
              </StlOvlyProps>
              <BdrOvlys>
                <BdrOvly>
                  <BdrOvlyProps>
                    <PT>1</PT>
                    <SON>12</SON>
                    <CBPLI/>
                    <FCN>0</FCN>
                    <I>True</I>
                    <BI>7</BI>
                    <LS>1</LS>
                    <W>2</W>
                  </BdrOvlyProps>
                </BdrOvly>
                <BdrOvly>
                  <BdrOvlyProps>
                    <PT>1</PT>
                    <SON>12</SON>
                    <CBPLI/>
                    <FCN>0</FCN>
                    <I>True</I>
                    <BI>10</BI>
                    <LS>1</LS>
                    <W>2</W>
                  </BdrOvlyProps>
                </BdrOvly>
                <BdrOvly>
                  <BdrOvlyProps>
                    <PT>1</PT>
                    <SON>12</SON>
                    <CBPLI/>
                    <FCN>0</FCN>
                    <I>True</I>
                    <BI>8</BI>
                    <LS>1</LS>
                    <W>2</W>
                  </BdrOvlyProps>
                </BdrOvly>
                <BdrOvly>
                  <BdrOvlyProps>
                    <PT>1</PT>
                    <SON>12</SON>
                    <CBPLI/>
                    <FCN>0</FCN>
                    <I>True</I>
                    <BI>9</BI>
                    <LS>1</LS>
                    <W>2</W>
                  </BdrOvlyProps>
                </BdrOvly>
              </BdrOvlys>
            </StlOvly>
            <StlOvly>
              <StlOvlyProps>
                <SON>13</SON>
                <INF>True</INF>
                <IHA>True</IHA>
                <NT>0</NT>
                <DP>0</DP>
                <CNF/>
                <HA>-4108</HA>
              </StlOvlyProps>
              <BdrOvlys>
                <BdrOvly>
                  <BdrOvlyProps>
                    <PT>1</PT>
                    <SON>13</SON>
                    <CBPLI/>
                    <FCN>0</FCN>
                    <I>True</I>
                    <BI>7</BI>
                    <LS>1</LS>
                    <W>2</W>
                  </BdrOvlyProps>
                </BdrOvly>
                <BdrOvly>
                  <BdrOvlyProps>
                    <PT>1</PT>
                    <SON>13</SON>
                    <CBPLI/>
                    <FCN>0</FCN>
                    <I>True</I>
                    <BI>10</BI>
                    <LS>1</LS>
                    <W>2</W>
                  </BdrOvlyProps>
                </BdrOvly>
                <BdrOvly>
                  <BdrOvlyProps>
                    <PT>1</PT>
                    <SON>13</SON>
                    <CBPLI/>
                    <FCN>0</FCN>
                    <I>True</I>
                    <BI>8</BI>
                    <LS>1</LS>
                    <W>2</W>
                  </BdrOvlyProps>
                </BdrOvly>
                <BdrOvly>
                  <BdrOvlyProps>
                    <PT>1</PT>
                    <SON>13</SON>
                    <CBPLI/>
                    <FCN>0</FCN>
                    <I>True</I>
                    <BI>9</BI>
                    <LS>1</LS>
                    <W>2</W>
                  </BdrOvlyProps>
                </BdrOvly>
              </BdrOvlys>
            </StlOvly>
            <StlOvly>
              <StlOvlyProps>
                <SON>14</SON>
                <IHA>True</IHA>
                <HA>-4152</HA>
              </StlOvlyProps>
              <BdrOvlys>
                <BdrOvly>
                  <BdrOvlyProps>
                    <PT>1</PT>
                    <SON>14</SON>
                    <CBPLI/>
                    <FCN>0</FCN>
                    <I>True</I>
                    <BI>8</BI>
                    <LS>-4115</LS>
                    <W>2</W>
                  </BdrOvlyProps>
                </BdrOvly>
              </BdrOvlys>
            </StlOvly>
            <StlOvly>
              <StlOvlyProps>
                <SON>15</SON>
              </StlOvlyProps>
              <BdrOvlys>
                <BdrOvly>
                  <BdrOvlyProps>
                    <PT>1</PT>
                    <SON>15</SON>
                    <CBPLI/>
                    <FCN>0</FCN>
                    <I>True</I>
                    <BI>8</BI>
                    <LS>-4115</LS>
                    <W>2</W>
                  </BdrOvlyProps>
                </BdrOvly>
              </BdrOvlys>
            </StlOvly>
            <StlOvly>
              <StlOvlyProps>
                <SON>16</SON>
              </StlOvlyProps>
              <BdrOvlys>
                <BdrOvly>
                  <BdrOvlyProps>
                    <PT>1</PT>
                    <SON>16</SON>
                    <CBPLI/>
                    <FCN>0</FCN>
                    <I>True</I>
                    <BI>9</BI>
                    <LS>-4115</LS>
                    <W>2</W>
                  </BdrOvlyProps>
                </BdrOvly>
              </BdrOvlys>
            </StlOvly>
            <StlOvly>
              <StlOvlyProps>
                <SON>17</SON>
                <INF>True</INF>
                <NT>-2</NT>
                <DP>0</DP>
                <CNF><![CDATA[_(#,##0_);(#,##0);_("-"_);_)@_)]]></CNF>
              </StlOvlyProps>
              <BdrOvlys>
                <BdrOvly>
                  <BdrOvlyProps>
                    <PT>1</PT>
                    <SON>17</SON>
                    <CBPLI/>
                    <FCN>0</FCN>
                    <I>True</I>
                    <BI>9</BI>
                    <LS>-4115</LS>
                    <W>2</W>
                  </BdrOvlyProps>
                </BdrOvly>
              </BdrOvlys>
            </StlOvly>
            <StlOvly>
              <StlOvlyProps>
                <SON>18</SON>
                <INF>True</INF>
                <NT>-2</NT>
                <DP>0</DP>
                <CNF><![CDATA[_(#,##0_);(#,##0);_("-"_);_)@_)]]></CNF>
              </StlOvlyProps>
              <BdrOvlys>
                <BdrOvly>
                  <BdrOvlyProps>
                    <PT>1</PT>
                    <SON>18</SON>
                    <CBPLI/>
                    <FCN>0</FCN>
                    <I>True</I>
                    <BI>10</BI>
                    <LS>1</LS>
                    <W>2</W>
                  </BdrOvlyProps>
                </BdrOvly>
              </BdrOvlys>
            </StlOvly>
            <StlOvly>
              <StlOvlyProps>
                <SON>19</SON>
                <IHA>True</IHA>
                <IIL>True</IIL>
                <HA>-4131</HA>
                <IL>3</IL>
              </StlOvlyProps>
            </StlOvly>
            <StlOvly>
              <StlOvlyProps>
                <SON>20</SON>
                <IHA>True</IHA>
                <IRT>True</IRT>
                <HA>-4108</HA>
                <WT>True</WT>
              </StlOvlyProps>
            </StlOvly>
            <StlOvly>
              <StlOvlyProps>
                <SON>21</SON>
                <INF>True</INF>
                <NT>-2</NT>
                <DP>0</DP>
                <CNF><![CDATA[mmmm yyyy]]></CNF>
              </StlOvlyProps>
            </StlOvly>
            <StlOvly>
              <StlOvlyProps>
                <SON>22</SON>
                <INF>True</INF>
                <NT>-2</NT>
                <DP>0</DP>
                <CNF><![CDATA[_(#,##0_);(#,##0);_("-"_);_)@_)]]></CNF>
              </StlOvlyProps>
            </StlOvly>
            <StlOvly>
              <StlOvlyProps>
                <SON>23</SON>
                <INF>True</INF>
                <NT>-2</NT>
                <DP>0</DP>
                <CNF><![CDATA[_(#,##0_);(#,##0);_("-"_);_)@_)]]></CNF>
              </StlOvlyProps>
              <FntOvly>
                <FntOvlyProps>
                  <PT>1</PT>
                  <SON>23</SON>
                  <CBPLI>0,0,0,0,0</CBPLI>
                  <FCN>0</FCN>
                  <CN>0</CN>
                  <IB>True</IB>
                  <B>True</B>
                </FntOvlyProps>
              </FntOvly>
              <BdrOvlys>
                <BdrOvly>
                  <BdrOvlyProps>
                    <PT>1</PT>
                    <SON>23</SON>
                    <CBPLI/>
                    <FCN>0</FCN>
                    <I>True</I>
                    <BI>8</BI>
                    <LS>1</LS>
                    <W>2</W>
                    <CT>3</CT>
                    <CN>2</CN>
                    <TAS>0.2499771</TAS>
                  </BdrOvlyProps>
                </BdrOvly>
              </BdrOvlys>
            </StlOvly>
            <StlOvly>
              <StlOvlyProps>
                <SON>24</SON>
                <INF>True</INF>
                <NT>-2</NT>
                <DP>0</DP>
                <CNF><![CDATA[_(#,##0_);(#,##0);_("-"_);_)@_)]]></CNF>
              </StlOvlyProps>
              <BdrOvlys>
                <BdrOvly>
                  <BdrOvlyProps>
                    <PT>1</PT>
                    <SON>24</SON>
                    <CBPLI/>
                    <FCN>0</FCN>
                    <I>True</I>
                    <BI>9</BI>
                    <LS>1</LS>
                    <W>2</W>
                    <CT>3</CT>
                    <CN>2</CN>
                    <TAS>0.2499771</TAS>
                  </BdrOvlyProps>
                </BdrOvly>
              </BdrOvlys>
            </StlOvly>
            <StlOvly>
              <StlOvlyProps>
                <SON>25</SON>
                <INF>True</INF>
                <NT>-2</NT>
                <DP>0</DP>
                <CNF><![CDATA[_(#,##0_);(#,##0);_("-"_);_)@_)]]></CNF>
              </StlOvlyProps>
              <FntOvly>
                <FntOvlyProps>
                  <PT>1</PT>
                  <SON>25</SON>
                  <CBPLI>0,0,0,0,0</CBPLI>
                  <FCN>0</FCN>
                  <CN>0</CN>
                  <IB>True</IB>
                  <B>True</B>
                </FntOvlyProps>
              </FntOvly>
              <BdrOvlys>
                <BdrOvly>
                  <BdrOvlyProps>
                    <PT>1</PT>
                    <SON>25</SON>
                    <CBPLI/>
                    <FCN>0</FCN>
                    <I>True</I>
                    <BI>8</BI>
                    <LS>1</LS>
                    <W>2</W>
                  </BdrOvlyProps>
                </BdrOvly>
              </BdrOvlys>
            </StlOvly>
            <StlOvly>
              <StlOvlyProps>
                <SON>26</SON>
                <INF>True</INF>
                <NT>-2</NT>
                <DP>0</DP>
                <CNF><![CDATA[_(#,##0_);(#,##0);_("-"_);_)@_)]]></CNF>
              </StlOvlyProps>
              <BdrOvlys>
                <BdrOvly>
                  <BdrOvlyProps>
                    <PT>1</PT>
                    <SON>26</SON>
                    <CBPLI/>
                    <FCN>0</FCN>
                    <I>True</I>
                    <BI>7</BI>
                    <LS>1</LS>
                    <W>2</W>
                    <CT>3</CT>
                    <CN>2</CN>
                    <TAS>0.2499771</TAS>
                  </BdrOvlyProps>
                </BdrOvly>
              </BdrOvlys>
            </StlOvly>
            <StlOvly>
              <StlOvlyProps>
                <SON>27</SON>
                <INF>True</INF>
                <NT>-2</NT>
                <DP>0</DP>
                <CNF><![CDATA[_(#,##0_);(#,##0);_("-"_);_)@_)]]></CNF>
              </StlOvlyProps>
              <FntOvly>
                <FntOvlyProps>
                  <PT>1</PT>
                  <SON>27</SON>
                  <CBPLI>0,0,0,0,0</CBPLI>
                  <FCN>0</FCN>
                  <CN>0</CN>
                  <IB>True</IB>
                  <B>True</B>
                </FntOvlyProps>
              </FntOvly>
              <BdrOvlys>
                <BdrOvly>
                  <BdrOvlyProps>
                    <PT>1</PT>
                    <SON>27</SON>
                    <CBPLI/>
                    <FCN>0</FCN>
                    <I>True</I>
                    <BI>7</BI>
                    <LS>1</LS>
                    <W>2</W>
                    <CT>3</CT>
                    <CN>2</CN>
                    <TAS>0.2499771</TAS>
                  </BdrOvlyProps>
                </BdrOvly>
                <BdrOvly>
                  <BdrOvlyProps>
                    <PT>1</PT>
                    <SON>27</SON>
                    <CBPLI/>
                    <FCN>0</FCN>
                    <I>True</I>
                    <BI>8</BI>
                    <LS>1</LS>
                    <W>2</W>
                    <CT>3</CT>
                    <CN>2</CN>
                    <TAS>0.2499771</TAS>
                  </BdrOvlyProps>
                </BdrOvly>
              </BdrOvlys>
            </StlOvly>
            <StlOvly>
              <StlOvlyProps>
                <SON>28</SON>
                <INF>True</INF>
                <NT>-2</NT>
                <DP>0</DP>
                <CNF><![CDATA[_(#,##0%_);(#,##0%);_("-"_);_)@_)]]></CNF>
              </StlOvlyProps>
              <FntOvly>
                <FntOvlyProps>
                  <PT>1</PT>
                  <SON>28</SON>
                  <CBPLI>0,0,0,0,0</CBPLI>
                  <FCN>0</FCN>
                  <CN>0</CN>
                  <II>True</II>
                  <I>True</I>
                </FntOvlyProps>
              </FntOvly>
            </StlOvly>
            <StlOvly>
              <StlOvlyProps>
                <SON>29</SON>
                <INF>True</INF>
                <NT>-2</NT>
                <DP>0</DP>
                <CNF><![CDATA[_(#,##0%_);(#,##0%);_("-"_);_)@_)]]></CNF>
              </StlOvlyProps>
              <FntOvly>
                <FntOvlyProps>
                  <PT>1</PT>
                  <SON>29</SON>
                  <CBPLI>0,0,0,0,0</CBPLI>
                  <FCN>0</FCN>
                  <CN>0</CN>
                  <II>True</II>
                  <I>True</I>
                </FntOvlyProps>
              </FntOvly>
              <BdrOvlys>
                <BdrOvly>
                  <BdrOvlyProps>
                    <PT>1</PT>
                    <SON>29</SON>
                    <CBPLI/>
                    <FCN>0</FCN>
                    <I>True</I>
                    <BI>7</BI>
                    <LS>1</LS>
                    <W>2</W>
                    <CT>3</CT>
                    <CN>2</CN>
                    <TAS>0.2499771</TAS>
                  </BdrOvlyProps>
                </BdrOvly>
              </BdrOvlys>
            </StlOvly>
            <StlOvly>
              <StlOvlyProps>
                <SON>30</SON>
                <INF>True</INF>
                <NT>-2</NT>
                <DP>0</DP>
                <CNF><![CDATA[_(#,##0_);(#,##0);_("-"_);_)@_)]]></CNF>
              </StlOvlyProps>
              <BdrOvlys>
                <BdrOvly>
                  <BdrOvlyProps>
                    <PT>1</PT>
                    <SON>30</SON>
                    <CBPLI/>
                    <FCN>0</FCN>
                    <I>True</I>
                    <BI>9</BI>
                    <LS>-4115</LS>
                    <W>2</W>
                    <CT>3</CT>
                    <CN>2</CN>
                    <TAS>0.2499771</TAS>
                  </BdrOvlyProps>
                </BdrOvly>
              </BdrOvlys>
            </StlOvly>
            <StlOvly>
              <StlOvlyProps>
                <SON>31</SON>
                <INF>True</INF>
                <NT>-2</NT>
                <DP>0</DP>
                <CNF><![CDATA[_(#,##0_);(#,##0);_("-"_);_)@_)]]></CNF>
              </StlOvlyProps>
              <BdrOvlys>
                <BdrOvly>
                  <BdrOvlyProps>
                    <PT>1</PT>
                    <SON>31</SON>
                    <CBPLI/>
                    <FCN>0</FCN>
                    <I>True</I>
                    <BI>7</BI>
                    <LS>1</LS>
                    <W>2</W>
                    <CT>3</CT>
                    <CN>2</CN>
                    <TAS>0.2499771</TAS>
                  </BdrOvlyProps>
                </BdrOvly>
                <BdrOvly>
                  <BdrOvlyProps>
                    <PT>1</PT>
                    <SON>31</SON>
                    <CBPLI/>
                    <FCN>0</FCN>
                    <I>True</I>
                    <BI>9</BI>
                    <LS>-4115</LS>
                    <W>2</W>
                    <CT>3</CT>
                    <CN>2</CN>
                    <TAS>0.2499771</TAS>
                  </BdrOvlyProps>
                </BdrOvly>
              </BdrOvlys>
            </StlOvly>
            <StlOvly>
              <StlOvlyProps>
                <SON>32</SON>
                <INF>True</INF>
                <NT>-2</NT>
                <DP>0</DP>
                <CNF><![CDATA[_(#,##0_);(#,##0);_("-"_);_)@_)]]></CNF>
              </StlOvlyProps>
              <FntOvly>
                <FntOvlyProps>
                  <PT>1</PT>
                  <SON>32</SON>
                  <CBPLI>0,0,0,0,0</CBPLI>
                  <FCN>0</FCN>
                  <CN>0</CN>
                  <IB>True</IB>
                  <B>True</B>
                </FntOvlyProps>
              </FntOvly>
              <BdrOvlys>
                <BdrOvly>
                  <BdrOvlyProps>
                    <PT>1</PT>
                    <SON>32</SON>
                    <CBPLI/>
                    <FCN>0</FCN>
                    <I>True</I>
                    <BI>7</BI>
                    <LS>1</LS>
                    <W>2</W>
                    <CT>3</CT>
                    <CN>2</CN>
                    <TAS>0.2499771</TAS>
                  </BdrOvlyProps>
                </BdrOvly>
                <BdrOvly>
                  <BdrOvlyProps>
                    <PT>1</PT>
                    <SON>32</SON>
                    <CBPLI/>
                    <FCN>0</FCN>
                    <I>True</I>
                    <BI>8</BI>
                    <LS>1</LS>
                    <W>2</W>
                  </BdrOvlyProps>
                </BdrOvly>
              </BdrOvlys>
            </StlOvly>
            <StlOvly>
              <StlOvlyProps>
                <SON>33</SON>
                <INF>True</INF>
                <NT>-2</NT>
                <DP>0</DP>
                <CNF><![CDATA[_(#,##0_);(#,##0);_("-"_);_)@_)]]></CNF>
              </StlOvlyProps>
              <BdrOvlys>
                <BdrOvly>
                  <BdrOvlyProps>
                    <PT>1</PT>
                    <SON>33</SON>
                    <CBPLI/>
                    <FCN>0</FCN>
                    <I>True</I>
                    <BI>7</BI>
                    <LS>1</LS>
                    <W>2</W>
                    <CT>3</CT>
                    <CN>2</CN>
                    <TAS>0.2499771</TAS>
                  </BdrOvlyProps>
                </BdrOvly>
                <BdrOvly>
                  <BdrOvlyProps>
                    <PT>1</PT>
                    <SON>33</SON>
                    <CBPLI/>
                    <FCN>0</FCN>
                    <I>True</I>
                    <BI>9</BI>
                    <LS>1</LS>
                    <W>2</W>
                    <CT>3</CT>
                    <CN>2</CN>
                    <TAS>0.2499771</TAS>
                  </BdrOvlyProps>
                </BdrOvly>
              </BdrOvlys>
            </StlOvly>
            <StlOvly>
              <StlOvlyProps>
                <SON>34</SON>
                <INF>True</INF>
                <NT>-2</NT>
                <DP>0</DP>
                <CNF><![CDATA[_(#,##0_);(#,##0);_("-"_);_)@_)]]></CNF>
              </StlOvlyProps>
              <FntOvly>
                <FntOvlyProps>
                  <PT>1</PT>
                  <SON>34</SON>
                  <CBPLI>0,0,0,0,0</CBPLI>
                  <FCN>0</FCN>
                  <CN>0</CN>
                  <IB>True</IB>
                  <B>True</B>
                </FntOvlyProps>
              </FntOvly>
              <BdrOvlys>
                <BdrOvly>
                  <BdrOvlyProps>
                    <PT>1</PT>
                    <SON>34</SON>
                    <CBPLI/>
                    <FCN>0</FCN>
                    <I>True</I>
                    <BI>8</BI>
                    <LS>1</LS>
                    <W>2</W>
                    <CT>3</CT>
                    <CN>2</CN>
                    <TAS>0.2499771</TAS>
                  </BdrOvlyProps>
                </BdrOvly>
                <BdrOvly>
                  <BdrOvlyProps>
                    <PT>1</PT>
                    <SON>34</SON>
                    <CBPLI/>
                    <FCN>0</FCN>
                    <I>True</I>
                    <BI>9</BI>
                    <LS>-4119</LS>
                    <W>4</W>
                    <CT>3</CT>
                    <CN>2</CN>
                    <TAS>0.2499771</TAS>
                  </BdrOvlyProps>
                </BdrOvly>
              </BdrOvlys>
            </StlOvly>
            <StlOvly>
              <StlOvlyProps>
                <SON>35</SON>
                <INF>True</INF>
                <NT>-2</NT>
                <DP>0</DP>
                <CNF><![CDATA[_(#,##0_);(#,##0);_("-"_);_)@_)]]></CNF>
              </StlOvlyProps>
              <FntOvly>
                <FntOvlyProps>
                  <PT>1</PT>
                  <SON>35</SON>
                  <CBPLI>0,0,0,0,0</CBPLI>
                  <FCN>0</FCN>
                  <CN>0</CN>
                  <IB>True</IB>
                  <B>True</B>
                </FntOvlyProps>
              </FntOvly>
              <BdrOvlys>
                <BdrOvly>
                  <BdrOvlyProps>
                    <PT>1</PT>
                    <SON>35</SON>
                    <CBPLI/>
                    <FCN>0</FCN>
                    <I>True</I>
                    <BI>7</BI>
                    <LS>1</LS>
                    <W>2</W>
                    <CT>3</CT>
                    <CN>2</CN>
                    <TAS>0.2499771</TAS>
                  </BdrOvlyProps>
                </BdrOvly>
                <BdrOvly>
                  <BdrOvlyProps>
                    <PT>1</PT>
                    <SON>35</SON>
                    <CBPLI/>
                    <FCN>0</FCN>
                    <I>True</I>
                    <BI>8</BI>
                    <LS>1</LS>
                    <W>2</W>
                    <CT>3</CT>
                    <CN>2</CN>
                    <TAS>0.2499771</TAS>
                  </BdrOvlyProps>
                </BdrOvly>
                <BdrOvly>
                  <BdrOvlyProps>
                    <PT>1</PT>
                    <SON>35</SON>
                    <CBPLI/>
                    <FCN>0</FCN>
                    <I>True</I>
                    <BI>9</BI>
                    <LS>-4119</LS>
                    <W>4</W>
                    <CT>3</CT>
                    <CN>2</CN>
                    <TAS>0.2499771</TAS>
                  </BdrOvlyProps>
                </BdrOvly>
              </BdrOvlys>
            </StlOvly>
            <StlOvly>
              <StlOvlyProps>
                <SON>36</SON>
                <INF>True</INF>
                <NT>-2</NT>
                <DP>0</DP>
                <CNF><![CDATA[_(#,##0_);(#,##0);_("-"_);_)@_)]]></CNF>
              </StlOvlyProps>
              <FntOvly>
                <FntOvlyProps>
                  <PT>1</PT>
                  <SON>36</SON>
                  <CBPLI>0,0,0,0,0</CBPLI>
                  <FCN>0</FCN>
                  <CN>0</CN>
                  <IB>True</IB>
                  <B>True</B>
                </FntOvlyProps>
              </FntOvly>
              <BdrOvlys>
                <BdrOvly>
                  <BdrOvlyProps>
                    <PT>1</PT>
                    <SON>36</SON>
                    <CBPLI/>
                    <FCN>0</FCN>
                    <I>True</I>
                    <BI>8</BI>
                    <LS>1</LS>
                    <W>2</W>
                  </BdrOvlyProps>
                </BdrOvly>
                <BdrOvly>
                  <BdrOvlyProps>
                    <PT>1</PT>
                    <SON>36</SON>
                    <CBPLI/>
                    <FCN>0</FCN>
                    <I>True</I>
                    <BI>9</BI>
                    <LS>1</LS>
                    <W>2</W>
                    <CT>3</CT>
                    <CN>2</CN>
                    <TAS>0.2499771</TAS>
                  </BdrOvlyProps>
                </BdrOvly>
              </BdrOvlys>
            </StlOvly>
            <StlOvly>
              <StlOvlyProps>
                <SON>37</SON>
                <INF>True</INF>
                <NT>-2</NT>
                <DP>0</DP>
                <CNF><![CDATA[_(#,##0_);(#,##0);_("-"_);_)@_)]]></CNF>
              </StlOvlyProps>
              <FntOvly>
                <FntOvlyProps>
                  <PT>1</PT>
                  <SON>37</SON>
                  <CBPLI>0,0,0,0,0</CBPLI>
                  <FCN>0</FCN>
                  <CN>0</CN>
                  <IB>True</IB>
                  <B>True</B>
                </FntOvlyProps>
              </FntOvly>
              <BdrOvlys>
                <BdrOvly>
                  <BdrOvlyProps>
                    <PT>1</PT>
                    <SON>37</SON>
                    <CBPLI/>
                    <FCN>0</FCN>
                    <I>True</I>
                    <BI>7</BI>
                    <LS>1</LS>
                    <W>2</W>
                    <CT>3</CT>
                    <CN>2</CN>
                    <TAS>0.2499771</TAS>
                  </BdrOvlyProps>
                </BdrOvly>
                <BdrOvly>
                  <BdrOvlyProps>
                    <PT>1</PT>
                    <SON>37</SON>
                    <CBPLI/>
                    <FCN>0</FCN>
                    <I>True</I>
                    <BI>8</BI>
                    <LS>1</LS>
                    <W>2</W>
                  </BdrOvlyProps>
                </BdrOvly>
                <BdrOvly>
                  <BdrOvlyProps>
                    <PT>1</PT>
                    <SON>37</SON>
                    <CBPLI/>
                    <FCN>0</FCN>
                    <I>True</I>
                    <BI>9</BI>
                    <LS>1</LS>
                    <W>2</W>
                    <CT>3</CT>
                    <CN>2</CN>
                    <TAS>0.2499771</TAS>
                  </BdrOvlyProps>
                </BdrOvly>
              </BdrOvlys>
            </StlOvly>
            <StlOvly>
              <StlOvlyProps>
                <SON>38</SON>
                <INF>True</INF>
                <NT>-2</NT>
                <DP>0</DP>
                <CNF><![CDATA[_(#,##0_);(#,##0);_("-"_);_)@_)]]></CNF>
              </StlOvlyProps>
              <FntOvly>
                <FntOvlyProps>
                  <PT>1</PT>
                  <SON>38</SON>
                  <CBPLI>0,0,0,0,0</CBPLI>
                  <FCN>0</FCN>
                  <CN>0</CN>
                  <IB>True</IB>
                  <B>True</B>
                </FntOvlyProps>
              </FntOvly>
            </StlOvly>
            <StlOvly>
              <StlOvlyProps>
                <SON>39</SON>
                <INF>True</INF>
                <NT>-2</NT>
                <DP>0</DP>
                <CNF><![CDATA[_(#,##0_);(#,##0);_("-"_);_)@_)]]></CNF>
              </StlOvlyProps>
              <FntOvly>
                <FntOvlyProps>
                  <PT>1</PT>
                  <SON>39</SON>
                  <CBPLI>0,0,0,0,0</CBPLI>
                  <FCN>0</FCN>
                  <CN>0</CN>
                  <IB>True</IB>
                  <B>True</B>
                </FntOvlyProps>
              </FntOvly>
              <BdrOvlys>
                <BdrOvly>
                  <BdrOvlyProps>
                    <PT>1</PT>
                    <SON>39</SON>
                    <CBPLI/>
                    <FCN>0</FCN>
                    <I>True</I>
                    <BI>8</BI>
                    <LS>-4115</LS>
                    <W>2</W>
                  </BdrOvlyProps>
                </BdrOvly>
              </BdrOvlys>
            </StlOvly>
            <StlOvly>
              <StlOvlyProps>
                <SON>40</SON>
                <INF>True</INF>
                <NT>-2</NT>
                <DP>0</DP>
                <CNF><![CDATA[_(#,##0_);(#,##0);_("-"_);_)@_)]]></CNF>
              </StlOvlyProps>
              <BdrOvlys>
                <BdrOvly>
                  <BdrOvlyProps>
                    <PT>1</PT>
                    <SON>40</SON>
                    <CBPLI/>
                    <FCN>0</FCN>
                    <I>True</I>
                    <BI>9</BI>
                    <LS>1</LS>
                    <W>2</W>
                  </BdrOvlyProps>
                </BdrOvly>
              </BdrOvlys>
            </StlOvly>
            <StlOvly>
              <StlOvlyProps>
                <SON>41</SON>
                <INF>True</INF>
                <NT>-2</NT>
                <DP>0</DP>
                <CNF><![CDATA[_(#,##0_);(#,##0);_("-"_);_)@_)]]></CNF>
              </StlOvlyProps>
              <BdrOvlys>
                <BdrOvly>
                  <BdrOvlyProps>
                    <PT>1</PT>
                    <SON>41</SON>
                    <CBPLI/>
                    <FCN>0</FCN>
                    <I>True</I>
                    <BI>7</BI>
                    <LS>1</LS>
                    <W>2</W>
                  </BdrOvlyProps>
                </BdrOvly>
                <BdrOvly>
                  <BdrOvlyProps>
                    <PT>1</PT>
                    <SON>41</SON>
                    <CBPLI/>
                    <FCN>0</FCN>
                    <I>True</I>
                    <BI>10</BI>
                    <LS>1</LS>
                    <W>2</W>
                  </BdrOvlyProps>
                </BdrOvly>
                <BdrOvly>
                  <BdrOvlyProps>
                    <PT>1</PT>
                    <SON>41</SON>
                    <CBPLI/>
                    <FCN>0</FCN>
                    <I>True</I>
                    <BI>8</BI>
                    <LS>1</LS>
                    <W>2</W>
                  </BdrOvlyProps>
                </BdrOvly>
                <BdrOvly>
                  <BdrOvlyProps>
                    <PT>1</PT>
                    <SON>41</SON>
                    <CBPLI/>
                    <FCN>0</FCN>
                    <I>True</I>
                    <BI>9</BI>
                    <LS>1</LS>
                    <W>2</W>
                  </BdrOvlyProps>
                </BdrOvly>
              </BdrOvlys>
            </StlOvly>
            <StlOvly>
              <StlOvlyProps>
                <SON>42</SON>
                <INF>True</INF>
                <NT>-2</NT>
                <DP>0</DP>
                <CNF><![CDATA[_(#,##0_);(#,##0);_("-"_);_)@_)]]></CNF>
              </StlOvlyProps>
              <FntOvly>
                <FntOvlyProps>
                  <PT>1</PT>
                  <SON>42</SON>
                  <CBPLI>0,0,0,0,0</CBPLI>
                  <FCN>0</FCN>
                  <CN>0</CN>
                  <IB>True</IB>
                  <B>True</B>
                </FntOvlyProps>
              </FntOvly>
              <BdrOvlys>
                <BdrOvly>
                  <BdrOvlyProps>
                    <PT>1</PT>
                    <SON>42</SON>
                    <CBPLI/>
                    <FCN>0</FCN>
                    <I>True</I>
                    <BI>7</BI>
                    <LS>1</LS>
                    <W>2</W>
                  </BdrOvlyProps>
                </BdrOvly>
                <BdrOvly>
                  <BdrOvlyProps>
                    <PT>1</PT>
                    <SON>42</SON>
                    <CBPLI/>
                    <FCN>0</FCN>
                    <I>True</I>
                    <BI>10</BI>
                    <LS>1</LS>
                    <W>2</W>
                  </BdrOvlyProps>
                </BdrOvly>
                <BdrOvly>
                  <BdrOvlyProps>
                    <PT>1</PT>
                    <SON>42</SON>
                    <CBPLI/>
                    <FCN>0</FCN>
                    <I>True</I>
                    <BI>8</BI>
                    <LS>1</LS>
                    <W>2</W>
                  </BdrOvlyProps>
                </BdrOvly>
                <BdrOvly>
                  <BdrOvlyProps>
                    <PT>1</PT>
                    <SON>42</SON>
                    <CBPLI/>
                    <FCN>0</FCN>
                    <I>True</I>
                    <BI>9</BI>
                    <LS>1</LS>
                    <W>2</W>
                  </BdrOvlyProps>
                </BdrOvly>
              </BdrOvlys>
            </StlOvly>
            <StlOvly>
              <StlOvlyProps>
                <SON>43</SON>
                <INF>True</INF>
                <NT>-2</NT>
                <DP>0</DP>
                <CNF><![CDATA[_(#,##0_);(#,##0);_("-"_);_)@_)]]></CNF>
              </StlOvlyProps>
              <BdrOvlys>
                <BdrOvly>
                  <BdrOvlyProps>
                    <PT>1</PT>
                    <SON>43</SON>
                    <CBPLI/>
                    <FCN>0</FCN>
                    <I>True</I>
                    <BI>7</BI>
                    <LS>1</LS>
                    <W>2</W>
                  </BdrOvlyProps>
                </BdrOvly>
                <BdrOvly>
                  <BdrOvlyProps>
                    <PT>1</PT>
                    <SON>43</SON>
                    <CBPLI/>
                    <FCN>0</FCN>
                    <I>True</I>
                    <BI>10</BI>
                    <LS>1</LS>
                    <W>2</W>
                  </BdrOvlyProps>
                </BdrOvly>
              </BdrOvlys>
            </StlOvly>
            <StlOvly>
              <StlOvlyProps>
                <SON>44</SON>
                <INF>True</INF>
                <NT>-2</NT>
                <DP>0</DP>
                <CNF><![CDATA[_(#,##0_);(#,##0);_("-"_);_)@_)]]></CNF>
              </StlOvlyProps>
              <BdrOvlys>
                <BdrOvly>
                  <BdrOvlyProps>
                    <PT>1</PT>
                    <SON>44</SON>
                    <CBPLI/>
                    <FCN>0</FCN>
                    <I>True</I>
                    <BI>7</BI>
                    <LS>1</LS>
                    <W>2</W>
                  </BdrOvlyProps>
                </BdrOvly>
                <BdrOvly>
                  <BdrOvlyProps>
                    <PT>1</PT>
                    <SON>44</SON>
                    <CBPLI/>
                    <FCN>0</FCN>
                    <I>True</I>
                    <BI>10</BI>
                    <LS>1</LS>
                    <W>2</W>
                  </BdrOvlyProps>
                </BdrOvly>
                <BdrOvly>
                  <BdrOvlyProps>
                    <PT>1</PT>
                    <SON>44</SON>
                    <CBPLI/>
                    <FCN>0</FCN>
                    <I>True</I>
                    <BI>9</BI>
                    <LS>1</LS>
                    <W>2</W>
                  </BdrOvlyProps>
                </BdrOvly>
              </BdrOvlys>
            </StlOvly>
            <StlOvly>
              <StlOvlyProps>
                <SON>45</SON>
                <INF>True</INF>
                <IHA>True</IHA>
                <NT>-2</NT>
                <DP>0</DP>
                <CNF><![CDATA[_(###0.0_);(###0.0);_(###0.0_);_)@_)]]></CNF>
                <HA>-4152</HA>
              </StlOvlyProps>
            </StlOvly>
            <StlOvly>
              <StlOvlyProps>
                <SON>46</SON>
                <INF>True</INF>
                <NT>-2</NT>
                <DP>0</DP>
                <CNF><![CDATA[_(#,##0_);(#,##0);_("-"_);_)@_)]]></CNF>
              </StlOvlyProps>
              <BdrOvlys>
                <BdrOvly>
                  <BdrOvlyProps>
                    <PT>1</PT>
                    <SON>46</SON>
                    <CBPLI/>
                    <FCN>0</FCN>
                    <I>True</I>
                    <BI>8</BI>
                    <LS>1</LS>
                    <W>2</W>
                  </BdrOvlyProps>
                </BdrOvly>
              </BdrOvlys>
            </StlOvly>
          </StlOvlys>
          <ElmtsGrps>
            <ElmtsGrp>
              <ElmtsGrpProps>
                <NU>1</NU>
                <NA><![CDATA[Revenue]]></NA>
                <EGT>0</EGT>
                <DCC>3</DCC>
                <AST>False</AST>
                <ISTH>True</ISTH>
                <PTMCN>0</PTMCN>
                <PTBN>0</PTBN>
                <PTBI>0</PTBI>
                <GLN/>
                <CLOT>0</CLOT>
                <CLIT>0</CLIT>
                <PMLO>0</PMLO>
                <IPMLO>0</IPMLO>
              </ElmtsGrpProps>
            </ElmtsGrp>
            <ElmtsGrp>
              <ElmtsGrpProps>
                <NU>2</NU>
                <NA><![CDATA[Expenses]]></NA>
                <EGT>0</EGT>
                <DCC>3</DCC>
                <AST>False</AST>
                <ISTH>True</ISTH>
                <PTMCN>0</PTMCN>
                <PTBN>0</PTBN>
                <PTBI>0</PTBI>
                <GLN/>
                <CLOT>0</CLOT>
                <CLIT>0</CLIT>
                <PMLO>0</PMLO>
                <IPMLO>0</IPMLO>
              </ElmtsGrpProps>
            </ElmtsGrp>
            <ElmtsGrp>
              <ElmtsGrpProps>
                <NU>3</NU>
                <NA><![CDATA[First Displayed Periods]]></NA>
                <EGT>1</EGT>
                <DCC>0</DCC>
                <AST>False</AST>
                <ISTH>True</ISTH>
                <PTMCN>4</PTMCN>
                <PTBN>3</PTBN>
                <PTBI>0</PTBI>
                <GLN/>
                <CLOT>0</CLOT>
                <CLIT>0</CLIT>
                <PMLO>0</PMLO>
                <IPMLO>0</IPMLO>
              </ElmtsGrpProps>
            </ElmtsGrp>
          </ElmtsGrps>
          <ModComps>
            <ModComp>
              <ModCompProps>
                <MN>58</MN>
                <MCN>1</MCN>
                <MCTK>OP</MCTK>
                <RT><![CDATA[<ModuleGenericName>]]></RT>
                <ERN>MODMC7</ERN>
                <MCST>2</MCST>
                <IPMC>True</IPMC>
                <SN>4</SN>
                <LODS>True</LODS>
                <LST>False</LST>
                <RSTF>False</RSTF>
                <STRA>0</STRA>
                <HS>False</HS>
                <IBOA>0</IBOA>
                <IB>False</IB>
                <CI/>
                <PTI><![CDATA[Summary]]></PTI>
                <PTP>False</PTP>
                <PTD/>
                <PTMCN>0</PTMCN>
                <CROL>0</CROL>
                <CCOL>0</CCOL>
                <AMFN>0</AMFN>
              </ModCompProps>
              <Sects>
                <Sect>
                  <SectProps>
                    <LI>1,1</LI>
                    <EGN>0</EGN>
                  </SectProps>
                  <Elmts>
                    <Elmt>
                      <ElmtProps>
                        <CPT>2</CPT>
                      </ElmtProps>
                      <TtlCtg/>
                    </Elmt>
                    <Elmt>
                      <ElmtProps>
                        <CPT>2</CPT>
                      </ElmtProps>
                      <ClmnBlks>
                        <ClmnBlk>
                          <ClmnBlkProps>
                            <FCPT>0</FCPT>
                            <FCN>2</FCN>
                            <LCPT>0</LCPT>
                            <LCN>34</LCN>
                          </ClmnBlkProps>
                          <ClmnBlkPts>
                            <ClmnBlkPt>
                              <ClmnBlkPtProps>
                                <CBPT>5</CBPT>
                                <ST>37</ST>
                                <SON>5</SON>
                                <MC>True</MC>
                                <VOFFF><![CDATA[="Financial Statements Summary ("&INDEX(§A¿7,1,2,1,18,0,1,1,1§Z¿,§A¿7,1,1,1,15,0,3,1,1§Z¿)&") - "&§A¿0,1,0,1,91,2,1,-1,0,0,TRUE,TRUE§Z¿]]></VOFFF>
                              </ClmnBlkPtProps>
                              <WipRges>
                                <WipRge>
                                  <WipRgeProps>
                                    <CBPLI>1,1,2,1,1</CBPLI>
                                    <WRN>1</WRN>
                                    <WRT>1</WRT>
                                    <ERT>5</ERT>
                                    <COSTN>0</COSTN>
                                    <FCOC>1</FCOC>
                                    <LCOT>1</LCOT>
                                    <LCOC>0</LCOC>
                                  </WipRgeProps>
                                </WipRge>
                              </WipRges>
                            </ClmnBlkPt>
                          </ClmnBlkPts>
                        </ClmnBlk>
                      </ClmnBlks>
                      <TtlCtg>
                        <TtlCtgProps>
                          <R>3</R>
                        </TtlCtgProps>
                      </TtlCtg>
                    </Elmt>
                    <Elmt>
                      <ElmtProps>
                        <CPT>2</CPT>
                      </ElmtProps>
                      <TtlCtg>
                        <TtlCtgProps>
                          <R>3</R>
                        </TtlCtgProps>
                      </TtlCtg>
                    </Elmt>
                    <Elmt>
                      <ElmtProps>
                        <CPT>2</CPT>
                      </ElmtProps>
                      <ClmnBlks>
                        <ClmnBlk>
                          <ClmnBlkProps>
                            <FCPT>0</FCPT>
                            <FCN>2</FCN>
                            <LCPT>0</LCPT>
                            <LCN>17</LCN>
                          </ClmnBlkProps>
                          <ClmnBlkPts>
                            <ClmnBlkPt>
                              <ClmnBlkPtProps>
                                <CBPT>5</CBPT>
                                <ST>38</ST>
                                <SON>5</SON>
                                <MC>True</MC>
                                <VOFFF><![CDATA[Income Statement]]></VOFFF>
                              </ClmnBlkPtProps>
                            </ClmnBlkPt>
                          </ClmnBlkPts>
                        </ClmnBlk>
                        <ClmnBlk>
                          <ClmnBlkProps>
                            <FCPT>0</FCPT>
                            <FCN>19</FCN>
                            <LCPT>0</LCPT>
                            <LCN>34</LCN>
                          </ClmnBlkProps>
                          <ClmnBlkPts>
                            <ClmnBlkPt>
                              <ClmnBlkPtProps>
                                <CBPT>5</CBPT>
                                <ST>38</ST>
                                <SON>5</SON>
                                <MC>True</MC>
                                <VOFFF><![CDATA[Top Revenue]]></VOFFF>
                              </ClmnBlkPtProps>
                            </ClmnBlkPt>
                          </ClmnBlkPts>
                        </ClmnBlk>
                      </ClmnBlks>
                      <TtlCtg>
                        <TtlCtgProps>
                          <R>3</R>
                        </TtlCtgProps>
                      </TtlCtg>
                    </Elmt>
                    <Elmt>
                      <ElmtProps>
                        <CPT>2</CPT>
                      </ElmtProps>
                      <TtlCtg>
                        <TtlCtgProps>
                          <R>3</R>
                        </TtlCtgProps>
                      </TtlCtg>
                    </Elmt>
                    <Elmt>
                      <ElmtProps>
                        <CPT>2</CPT>
                      </ElmtProps>
                      <ClmnBlks>
                        <ClmnBlk>
                          <ClmnBlkProps>
                            <FCPT>0</FCPT>
                            <FCN>2</FCN>
                            <LCPT>0</LCPT>
                            <LCN>2</LCN>
                          </ClmnBlkProps>
                          <ClmnBlkPts>
                            <ClmnBlkPt>
                              <ClmnBlkPtProps>
                                <CBPT>5</CBPT>
                                <ST>39</ST>
                                <VOFFF><![CDATA[=§A¿0,1,0,1,93,1,1,-1,0,0,TRUE,TRUE§Z¿]]></VOFFF>
                              </ClmnBlkPtProps>
                            </ClmnBlkPt>
                          </ClmnBlkPts>
                        </ClmnBlk>
                        <ClmnBlk>
                          <ClmnBlkProps>
                            <FCPT>0</FCPT>
                            <FCN>5</FCN>
                            <LCPT>0</LCPT>
                            <LCN>16</LCN>
                          </ClmnBlkProps>
                          <ClmnBlkPts>
                            <ClmnBlkPt>
                              <ClmnBlkPtProps>
                                <CBPT>5</CBPT>
                                <ST>39</ST>
                                <SON>7</SON>
                                <VOFFF><![CDATA[=§A¿0,1,0,1,93,2,1,-1,0,0,TRUE,FALSE§Z¿]]></VOFFF>
                              </ClmnBlkPtProps>
                            </ClmnBlkPt>
                          </ClmnBlkPts>
                        </ClmnBlk>
                        <ClmnBlk>
                          <ClmnBlkProps>
                            <FCPT>0</FCPT>
                            <FCN>17</FCN>
                            <LCPT>0</LCPT>
                            <LCN>17</LCN>
                          </ClmnBlkProps>
                          <ClmnBlkPts>
                            <ClmnBlkPt>
                              <ClmnBlkPtProps>
                                <CBPT>5</CBPT>
                                <ST>39</ST>
                                <SON>10</SON>
                                <VOFFF><![CDATA[Total]]></VOFFF>
                              </ClmnBlkPtProps>
                            </ClmnBlkPt>
                          </ClmnBlkPts>
                        </ClmnBlk>
                        <ClmnBlk>
                          <ClmnBlkProps>
                            <FCPT>0</FCPT>
                            <FCN>19</FCN>
                            <LCPT>0</LCPT>
                            <LCN>19</LCN>
                          </ClmnBlkProps>
                          <ClmnBlkPts>
                            <ClmnBlkPt>
                              <ClmnBlkPtProps>
                                <CBPT>5</CBPT>
                                <ST>39</ST>
                                <VOFFF><![CDATA[=§A¿0,1,0,1,93,1,1,-1,0,0,TRUE,TRUE§Z¿]]></VOFFF>
                              </ClmnBlkPtProps>
                            </ClmnBlkPt>
                          </ClmnBlkPts>
                        </ClmnBlk>
                        <ClmnBlk>
                          <ClmnBlkProps>
                            <FCPT>0</FCPT>
                            <FCN>22</FCN>
                            <LCPT>0</LCPT>
                            <LCN>33</LCN>
                          </ClmnBlkProps>
                          <ClmnBlkPts>
                            <ClmnBlkPt>
                              <ClmnBlkPtProps>
                                <CBPT>5</CBPT>
                                <ST>39</ST>
                                <SON>7</SON>
                                <VOFFF><![CDATA[=§A¿0,1,0,1,93,2,1,-1,0,0,TRUE,FALSE§Z¿]]></VOFFF>
                              </ClmnBlkPtProps>
                            </ClmnBlkPt>
                          </ClmnBlkPts>
                        </ClmnBlk>
                        <ClmnBlk>
                          <ClmnBlkProps>
                            <FCPT>0</FCPT>
                            <FCN>34</FCN>
                            <LCPT>0</LCPT>
                            <LCN>34</LCN>
                          </ClmnBlkProps>
                          <ClmnBlkPts>
                            <ClmnBlkPt>
                              <ClmnBlkPtProps>
                                <CBPT>5</CBPT>
                                <ST>39</ST>
                                <SON>10</SON>
                                <VOFFF><![CDATA[Total]]></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Revenue]]></VOFFF>
                              </ClmnBlkPtProps>
                            </ClmnBlkPt>
                          </ClmnBlkPts>
                        </ClmnBlk>
                        <ClmnBlk>
                          <ClmnBlkProps>
                            <FCPT>0</FCPT>
                            <FCN>5</FCN>
                            <LCPT>0</LCPT>
                            <LCN>16</LCN>
                          </ClmnBlkProps>
                          <ClmnBlkPts>
                            <ClmnBlkPt>
                              <ClmnBlkPtProps>
                                <CBPT>5</CBPT>
                                <ST>42</ST>
                                <SON>22</SON>
                                <VOFFF><![CDATA[0]]></VOFFF>
                                <UDAV><![CDATA[0]]></UDAV>
                              </ClmnBlkPtProps>
                              <LnkInForms>
                                <LnkInForm>
                                  <LnkInFormProps>
                                    <CBPLI>1,1,7,2,1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2,1,-1,0,0,FALSE,FALSE,1,7,2,1,-1,1,0,FALSE,FALSE§Z¿)]]></VOFFF>
                              </ClmnBlkPtProps>
                            </ClmnBlkPt>
                          </ClmnBlkPts>
                        </ClmnBlk>
                        <ClmnBlk>
                          <ClmnBlkProps>
                            <FCPT>0</FCPT>
                            <FCN>19</FCN>
                            <LCPT>0</LCPT>
                            <LCN>19</LCN>
                          </ClmnBlkProps>
                          <ClmnBlkPts>
                            <ClmnBlkPt>
                              <ClmnBlkPtProps>
                                <CBPT>5</CBPT>
                                <ST>40</ST>
                                <VOFFF><![CDATA[=§A¿0,1,0,1,131,1,1,-1,0,0,FALSE,FALSE§Z¿]]></VOFFF>
                              </ClmnBlkPtProps>
                            </ClmnBlkPt>
                          </ClmnBlkPts>
                        </ClmnBlk>
                        <ClmnBlk>
                          <ClmnBlkProps>
                            <FCPT>0</FCPT>
                            <FCN>22</FCN>
                            <LCPT>0</LCPT>
                            <LCN>33</LCN>
                          </ClmnBlkProps>
                          <ClmnBlkPts>
                            <ClmnBlkPt>
                              <ClmnBlkPtProps>
                                <CBPT>5</CBPT>
                                <ST>42</ST>
                                <SON>22</SON>
                                <VOFFF><![CDATA[=§A¿0,1,0,1,131,2,1,-1,0,0,FALSE,FALSE§Z¿]]></VOFFF>
                              </ClmnBlkPtProps>
                            </ClmnBlkPt>
                          </ClmnBlkPts>
                        </ClmnBlk>
                        <ClmnBlk>
                          <ClmnBlkProps>
                            <FCPT>0</FCPT>
                            <FCN>34</FCN>
                            <LCPT>0</LCPT>
                            <LCN>34</LCN>
                          </ClmnBlkProps>
                          <ClmnBlkPts>
                            <ClmnBlkPt>
                              <ClmnBlkPtProps>
                                <CBPT>5</CBPT>
                                <ST>42</ST>
                                <SON>26</SON>
                                <VOFFF><![CDATA[=SUM(§A¿0,1,1,1,7,5,1,-1,0,0,FALSE,FALSE,1,7,5,1,-1,1,0,FALSE,FALSE§Z¿)]]></VOFFF>
                              </ClmnBlkPtProps>
                            </ClmnBlkPt>
                          </ClmnBlkPts>
                        </ClmnBlk>
                      </ClmnBlks>
                      <TtlCtg>
                        <TtlCtgProps>
                          <R>3</R>
                        </TtlCtgProps>
                        <LnkIn>
                          <LnkInProps>
                            <MN>58</MN>
                            <CLI>1,1,7,True,0</CLI>
                            <ELN>1</ELN>
                            <LOOT>2</LOOT>
                            <LOMN>4</LOMN>
                            <LOMCN>1</LOMCN>
                            <LOSN>1</LOSN>
                            <LOEN>5</LOEN>
                            <LOCN>0</LOCN>
                          </LnkInProps>
                        </LnkIn>
                      </TtlCtg>
                      <ElmtLnksIn>
                        <ElmtLnk>
                          <ElmtLnkProps>
                            <ELI>1,1,7</ELI>
                            <ELN>1</ELN>
                            <ELGN>1</ELGN>
                            <MLG>11F00A27-4776-45B0-B483-5FE1F109AE07</MLG>
                            <ICBI>2</ICBI>
                            <ILBN/>
                            <LIBN>0</LIBN>
                          </ElmtLnkProps>
                        </ElmtLnk>
                      </ElmtLnksIn>
                    </Elmt>
                    <Elmt>
                      <ElmtProps>
                        <CPT>2</CPT>
                      </ElmtProps>
                      <ClmnBlks>
                        <ClmnBlk>
                          <ClmnBlkProps>
                            <FCPT>0</FCPT>
                            <FCN>2</FCN>
                            <LCPT>0</LCPT>
                            <LCN>2</LCN>
                          </ClmnBlkProps>
                          <ClmnBlkPts>
                            <ClmnBlkPt>
                              <ClmnBlkPtProps>
                                <CBPT>5</CBPT>
                                <ST>40</ST>
                                <VOFFF><![CDATA[Cost of Goods Sold]]></VOFFF>
                              </ClmnBlkPtProps>
                            </ClmnBlkPt>
                          </ClmnBlkPts>
                        </ClmnBlk>
                        <ClmnBlk>
                          <ClmnBlkProps>
                            <FCPT>0</FCPT>
                            <FCN>5</FCN>
                            <LCPT>0</LCPT>
                            <LCN>16</LCN>
                          </ClmnBlkProps>
                          <ClmnBlkPts>
                            <ClmnBlkPt>
                              <ClmnBlkPtProps>
                                <CBPT>5</CBPT>
                                <ST>42</ST>
                                <SON>22</SON>
                                <VOFFF><![CDATA[0]]></VOFFF>
                                <UDAV><![CDATA[0]]></UDAV>
                              </ClmnBlkPtProps>
                              <LnkInForms>
                                <LnkInForm>
                                  <LnkInFormProps>
                                    <CBPLI>1,1,8,2,1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8,2,1,-1,0,0,FALSE,FALSE,1,8,2,1,-1,1,0,FALSE,FALSE§Z¿)]]></VOFFF>
                              </ClmnBlkPtProps>
                            </ClmnBlkPt>
                          </ClmnBlkPts>
                        </ClmnBlk>
                        <ClmnBlk>
                          <ClmnBlkProps>
                            <FCPT>0</FCPT>
                            <FCN>19</FCN>
                            <LCPT>0</LCPT>
                            <LCN>19</LCN>
                          </ClmnBlkProps>
                          <ClmnBlkPts>
                            <ClmnBlkPt>
                              <ClmnBlkPtProps>
                                <CBPT>5</CBPT>
                                <ST>40</ST>
                                <VOFFF><![CDATA[=§A¿0,1,0,1,132,1,1,-1,0,0,FALSE,FALSE§Z¿]]></VOFFF>
                              </ClmnBlkPtProps>
                            </ClmnBlkPt>
                          </ClmnBlkPts>
                        </ClmnBlk>
                        <ClmnBlk>
                          <ClmnBlkProps>
                            <FCPT>0</FCPT>
                            <FCN>22</FCN>
                            <LCPT>0</LCPT>
                            <LCN>33</LCN>
                          </ClmnBlkProps>
                          <ClmnBlkPts>
                            <ClmnBlkPt>
                              <ClmnBlkPtProps>
                                <CBPT>5</CBPT>
                                <ST>42</ST>
                                <SON>22</SON>
                                <VOFFF><![CDATA[=§A¿0,1,0,1,132,2,1,-1,0,0,FALSE,FALSE§Z¿]]></VOFFF>
                              </ClmnBlkPtProps>
                            </ClmnBlkPt>
                          </ClmnBlkPts>
                        </ClmnBlk>
                        <ClmnBlk>
                          <ClmnBlkProps>
                            <FCPT>0</FCPT>
                            <FCN>34</FCN>
                            <LCPT>0</LCPT>
                            <LCN>34</LCN>
                          </ClmnBlkProps>
                          <ClmnBlkPts>
                            <ClmnBlkPt>
                              <ClmnBlkPtProps>
                                <CBPT>5</CBPT>
                                <ST>42</ST>
                                <SON>26</SON>
                                <VOFFF><![CDATA[=SUM(§A¿0,1,1,1,8,5,1,-1,0,0,FALSE,FALSE,1,8,5,1,-1,1,0,FALSE,FALSE§Z¿)]]></VOFFF>
                              </ClmnBlkPtProps>
                            </ClmnBlkPt>
                          </ClmnBlkPts>
                        </ClmnBlk>
                      </ClmnBlks>
                      <TtlCtg>
                        <TtlCtgProps>
                          <R>3</R>
                        </TtlCtgProps>
                        <LnkIn>
                          <LnkInProps>
                            <MN>58</MN>
                            <CLI>1,1,8,True,0</CLI>
                            <ELN>1</ELN>
                            <LOOT>2</LOOT>
                            <LOMN>4</LOMN>
                            <LOMCN>1</LOMCN>
                            <LOSN>1</LOSN>
                            <LOEN>8</LOEN>
                            <LOCN>0</LOCN>
                          </LnkInProps>
                        </LnkIn>
                      </TtlCtg>
                      <ElmtLnksIn>
                        <ElmtLnk>
                          <ElmtLnkProps>
                            <ELI>1,1,8</ELI>
                            <ELN>1</ELN>
                            <ELGN>1</ELGN>
                            <MLG>C934D542-549E-4227-AA8E-9BAFC21C1DD6</MLG>
                            <ICBI>2</ICBI>
                            <ILBN/>
                            <LIBN>0</LIBN>
                          </ElmtLnkProps>
                        </ElmtLnk>
                      </ElmtLnksIn>
                    </Elmt>
                    <Elmt>
                      <ElmtProps>
                        <CPT>2</CPT>
                      </ElmtProps>
                      <ClmnBlks>
                        <ClmnBlk>
                          <ClmnBlkProps>
                            <FCPT>0</FCPT>
                            <FCN>2</FCN>
                            <LCPT>0</LCPT>
                            <LCN>2</LCN>
                          </ClmnBlkProps>
                          <ClmnBlkPts>
                            <ClmnBlkPt>
                              <ClmnBlkPtProps>
                                <CBPT>5</CBPT>
                                <ST>39</ST>
                                <VOFFF><![CDATA[Gross Margin]]></VOFFF>
                              </ClmnBlkPtProps>
                            </ClmnBlkPt>
                          </ClmnBlkPts>
                        </ClmnBlk>
                        <ClmnBlk>
                          <ClmnBlkProps>
                            <FCPT>0</FCPT>
                            <FCN>5</FCN>
                            <LCPT>0</LCPT>
                            <LCN>16</LCN>
                          </ClmnBlkProps>
                          <ClmnBlkPts>
                            <ClmnBlkPt>
                              <ClmnBlkPtProps>
                                <CBPT>5</CBPT>
                                <ST>42</ST>
                                <SON>23</SON>
                                <VOFFF><![CDATA[=SUM(§A¿0,1,1,1,7,2,1,-1,0,0,FALSE,FALSE,1,8,2,1,-1,0,0,FALSE,FALSE§Z¿)]]></VOFFF>
                              </ClmnBlkPtProps>
                            </ClmnBlkPt>
                          </ClmnBlkPts>
                        </ClmnBlk>
                        <ClmnBlk>
                          <ClmnBlkProps>
                            <FCPT>0</FCPT>
                            <FCN>17</FCN>
                            <LCPT>0</LCPT>
                            <LCN>17</LCN>
                          </ClmnBlkProps>
                          <ClmnBlkPts>
                            <ClmnBlkPt>
                              <ClmnBlkPtProps>
                                <CBPT>5</CBPT>
                                <ST>42</ST>
                                <SON>27</SON>
                                <VOFFF><![CDATA[=SUM(§A¿0,1,1,1,9,2,1,-1,0,0,FALSE,FALSE,1,9,2,1,-1,1,0,FALSE,FALSE§Z¿)]]></VOFFF>
                              </ClmnBlkPtProps>
                            </ClmnBlkPt>
                          </ClmnBlkPts>
                        </ClmnBlk>
                        <ClmnBlk>
                          <ClmnBlkProps>
                            <FCPT>0</FCPT>
                            <FCN>19</FCN>
                            <LCPT>0</LCPT>
                            <LCN>19</LCN>
                          </ClmnBlkProps>
                          <ClmnBlkPts>
                            <ClmnBlkPt>
                              <ClmnBlkPtProps>
                                <CBPT>5</CBPT>
                                <ST>40</ST>
                                <VOFFF><![CDATA[=§A¿0,1,0,1,133,1,1,-1,0,0,FALSE,FALSE§Z¿]]></VOFFF>
                              </ClmnBlkPtProps>
                            </ClmnBlkPt>
                          </ClmnBlkPts>
                        </ClmnBlk>
                        <ClmnBlk>
                          <ClmnBlkProps>
                            <FCPT>0</FCPT>
                            <FCN>22</FCN>
                            <LCPT>0</LCPT>
                            <LCN>33</LCN>
                          </ClmnBlkProps>
                          <ClmnBlkPts>
                            <ClmnBlkPt>
                              <ClmnBlkPtProps>
                                <CBPT>5</CBPT>
                                <ST>42</ST>
                                <SON>22</SON>
                                <VOFFF><![CDATA[=§A¿0,1,0,1,133,2,1,-1,0,0,FALSE,FALSE§Z¿]]></VOFFF>
                              </ClmnBlkPtProps>
                            </ClmnBlkPt>
                          </ClmnBlkPts>
                        </ClmnBlk>
                        <ClmnBlk>
                          <ClmnBlkProps>
                            <FCPT>0</FCPT>
                            <FCN>34</FCN>
                            <LCPT>0</LCPT>
                            <LCN>34</LCN>
                          </ClmnBlkProps>
                          <ClmnBlkPts>
                            <ClmnBlkPt>
                              <ClmnBlkPtProps>
                                <CBPT>5</CBPT>
                                <ST>42</ST>
                                <SON>26</SON>
                                <VOFFF><![CDATA[=SUM(§A¿0,1,1,1,9,5,1,-1,0,0,FALSE,FALSE,1,9,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SON>3</SON>
                                <VOFFF><![CDATA[Gross Margin (%)]]></VOFFF>
                              </ClmnBlkPtProps>
                            </ClmnBlkPt>
                          </ClmnBlkPts>
                        </ClmnBlk>
                        <ClmnBlk>
                          <ClmnBlkProps>
                            <FCPT>0</FCPT>
                            <FCN>5</FCN>
                            <LCPT>0</LCPT>
                            <LCN>16</LCN>
                          </ClmnBlkProps>
                          <ClmnBlkPts>
                            <ClmnBlkPt>
                              <ClmnBlkPtProps>
                                <CBPT>5</CBPT>
                                <ST>43</ST>
                                <SON>28</SON>
                                <VOFFF><![CDATA[=IF(§A¿0,1,0,1,7,2,1,-1,0,0,FALSE,FALSE§Z¿=0,0,§A¿0,1,0,1,9,2,1,-1,0,0,FALSE,FALSE§Z¿/§A¿0,1,0,1,7,2,1,-1,0,0,FALSE,FALSE§Z¿)]]></VOFFF>
                              </ClmnBlkPtProps>
                            </ClmnBlkPt>
                          </ClmnBlkPts>
                        </ClmnBlk>
                        <ClmnBlk>
                          <ClmnBlkProps>
                            <FCPT>0</FCPT>
                            <FCN>17</FCN>
                            <LCPT>0</LCPT>
                            <LCN>17</LCN>
                          </ClmnBlkProps>
                          <ClmnBlkPts>
                            <ClmnBlkPt>
                              <ClmnBlkPtProps>
                                <CBPT>5</CBPT>
                                <ST>43</ST>
                                <SON>29</SON>
                                <VOFFF><![CDATA[=IF(§A¿0,1,0,1,7,3,1,-1,0,0,FALSE,FALSE§Z¿=0,0,§A¿0,1,0,1,9,3,1,-1,0,0,FALSE,FALSE§Z¿/§A¿0,1,0,1,7,3,1,-1,0,0,FALSE,FALSE§Z¿)]]></VOFFF>
                              </ClmnBlkPtProps>
                            </ClmnBlkPt>
                          </ClmnBlkPts>
                        </ClmnBlk>
                        <ClmnBlk>
                          <ClmnBlkProps>
                            <FCPT>0</FCPT>
                            <FCN>19</FCN>
                            <LCPT>0</LCPT>
                            <LCN>19</LCN>
                          </ClmnBlkProps>
                          <ClmnBlkPts>
                            <ClmnBlkPt>
                              <ClmnBlkPtProps>
                                <CBPT>5</CBPT>
                                <ST>40</ST>
                                <VOFFF><![CDATA[=§A¿0,1,0,1,134,1,1,-1,0,0,FALSE,FALSE§Z¿]]></VOFFF>
                              </ClmnBlkPtProps>
                            </ClmnBlkPt>
                          </ClmnBlkPts>
                        </ClmnBlk>
                        <ClmnBlk>
                          <ClmnBlkProps>
                            <FCPT>0</FCPT>
                            <FCN>22</FCN>
                            <LCPT>0</LCPT>
                            <LCN>33</LCN>
                          </ClmnBlkProps>
                          <ClmnBlkPts>
                            <ClmnBlkPt>
                              <ClmnBlkPtProps>
                                <CBPT>5</CBPT>
                                <ST>42</ST>
                                <SON>22</SON>
                                <VOFFF><![CDATA[=§A¿0,1,0,1,134,2,1,-1,0,0,FALSE,FALSE§Z¿]]></VOFFF>
                              </ClmnBlkPtProps>
                            </ClmnBlkPt>
                          </ClmnBlkPts>
                        </ClmnBlk>
                        <ClmnBlk>
                          <ClmnBlkProps>
                            <FCPT>0</FCPT>
                            <FCN>34</FCN>
                            <LCPT>0</LCPT>
                            <LCN>34</LCN>
                          </ClmnBlkProps>
                          <ClmnBlkPts>
                            <ClmnBlkPt>
                              <ClmnBlkPtProps>
                                <CBPT>5</CBPT>
                                <ST>42</ST>
                                <SON>26</SON>
                                <VOFFF><![CDATA[=SUM(§A¿0,1,1,1,10,5,1,-1,0,0,FALSE,FALSE,1,10,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Operating Expenditure]]></VOFFF>
                              </ClmnBlkPtProps>
                              <LnkInForms>
                                <LnkInForm>
                                  <LnkInFormProps>
                                    <CBPLI>1,1,11,1,1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1,1,11,2,1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11,2,1,-1,0,0,FALSE,FALSE,1,11,2,1,-1,1,0,FALSE,FALSE§Z¿)]]></VOFFF>
                              </ClmnBlkPtProps>
                              <LnkInForms>
                                <LnkInForm>
                                  <LnkInFormProps>
                                    <CBPLI>1,1,11,3,1</CBPLI>
                                    <ELN>1</ELN>
                                    <FFF/>
                                  </LnkInFormProps>
                                </LnkInForm>
                              </LnkInForms>
                            </ClmnBlkPt>
                          </ClmnBlkPts>
                        </ClmnBlk>
                        <ClmnBlk>
                          <ClmnBlkProps>
                            <FCPT>0</FCPT>
                            <FCN>19</FCN>
                            <LCPT>0</LCPT>
                            <LCN>19</LCN>
                          </ClmnBlkProps>
                          <ClmnBlkPts>
                            <ClmnBlkPt>
                              <ClmnBlkPtProps>
                                <CBPT>5</CBPT>
                                <ST>40</ST>
                                <VOFFF><![CDATA[=§A¿0,1,0,1,135,1,1,-1,0,0,FALSE,FALSE§Z¿]]></VOFFF>
                              </ClmnBlkPtProps>
                            </ClmnBlkPt>
                          </ClmnBlkPts>
                        </ClmnBlk>
                        <ClmnBlk>
                          <ClmnBlkProps>
                            <FCPT>0</FCPT>
                            <FCN>22</FCN>
                            <LCPT>0</LCPT>
                            <LCN>33</LCN>
                          </ClmnBlkProps>
                          <ClmnBlkPts>
                            <ClmnBlkPt>
                              <ClmnBlkPtProps>
                                <CBPT>5</CBPT>
                                <ST>42</ST>
                                <SON>22</SON>
                                <VOFFF><![CDATA[=§A¿0,1,0,1,135,2,1,-1,0,0,FALSE,FALSE§Z¿]]></VOFFF>
                              </ClmnBlkPtProps>
                            </ClmnBlkPt>
                          </ClmnBlkPts>
                        </ClmnBlk>
                        <ClmnBlk>
                          <ClmnBlkProps>
                            <FCPT>0</FCPT>
                            <FCN>34</FCN>
                            <LCPT>0</LCPT>
                            <LCN>34</LCN>
                          </ClmnBlkProps>
                          <ClmnBlkPts>
                            <ClmnBlkPt>
                              <ClmnBlkPtProps>
                                <CBPT>5</CBPT>
                                <ST>42</ST>
                                <SON>26</SON>
                                <VOFFF><![CDATA[=SUM(§A¿0,1,1,1,11,5,1,-1,0,0,FALSE,FALSE,1,11,5,1,-1,1,0,FALSE,FALSE§Z¿)]]></VOFFF>
                              </ClmnBlkPtProps>
                            </ClmnBlkPt>
                          </ClmnBlkPts>
                        </ClmnBlk>
                      </ClmnBlks>
                      <TtlCtg>
                        <TtlCtgProps>
                          <R>3</R>
                        </TtlCtgProps>
                        <LnkIn>
                          <LnkInProps>
                            <MN>58</MN>
                            <CLI>1,1,11,True,0</CLI>
                            <ELN>1</ELN>
                            <LOOT>2</LOOT>
                            <LOMN>4</LOMN>
                            <LOMCN>1</LOMCN>
                            <LOSN>1</LOSN>
                            <LOEN>15</LOEN>
                            <LOCN>0</LOCN>
                          </LnkInProps>
                        </LnkIn>
                      </TtlCtg>
                      <ElmtLnksIn>
                        <ElmtLnk>
                          <ElmtLnkProps>
                            <ELI>1,1,11</ELI>
                            <ELN>1</ELN>
                            <ELGN>1</ELGN>
                            <MLG>0E2679AB-FCFD-43E8-8B03-C71A223C73AF</MLG>
                            <ICBI>2</ICBI>
                            <ILBN/>
                            <LIBN>0</LIBN>
                          </ElmtLnkProps>
                        </ElmtLnk>
                      </ElmtLnksIn>
                    </Elmt>
                    <Elmt>
                      <ElmtProps>
                        <CPT>2</CPT>
                      </ElmtProps>
                      <ClmnBlks>
                        <ClmnBlk>
                          <ClmnBlkProps>
                            <FCPT>0</FCPT>
                            <FCN>2</FCN>
                            <LCPT>0</LCPT>
                            <LCN>2</LCN>
                          </ClmnBlkProps>
                          <ClmnBlkPts>
                            <ClmnBlkPt>
                              <ClmnBlkPtProps>
                                <CBPT>5</CBPT>
                                <ST>40</ST>
                                <VOFFF><![CDATA[Other Revenue & Expenses]]></VOFFF>
                              </ClmnBlkPtProps>
                            </ClmnBlkPt>
                          </ClmnBlkPts>
                        </ClmnBlk>
                        <ClmnBlk>
                          <ClmnBlkProps>
                            <FCPT>0</FCPT>
                            <FCN>5</FCN>
                            <LCPT>0</LCPT>
                            <LCN>16</LCN>
                          </ClmnBlkProps>
                          <ClmnBlkPts>
                            <ClmnBlkPt>
                              <ClmnBlkPtProps>
                                <CBPT>5</CBPT>
                                <ST>42</ST>
                                <SON>30</SON>
                                <VOFFF><![CDATA[=§A¿0,1,0,1,13,2,1,-1,0,0,FALSE,FALSE§Z¿-§A¿0,1,0,1,11,2,1,-1,0,0,FALSE,FALSE§Z¿]]></VOFFF>
                              </ClmnBlkPtProps>
                            </ClmnBlkPt>
                          </ClmnBlkPts>
                        </ClmnBlk>
                        <ClmnBlk>
                          <ClmnBlkProps>
                            <FCPT>0</FCPT>
                            <FCN>17</FCN>
                            <LCPT>0</LCPT>
                            <LCN>17</LCN>
                          </ClmnBlkProps>
                          <ClmnBlkPts>
                            <ClmnBlkPt>
                              <ClmnBlkPtProps>
                                <CBPT>5</CBPT>
                                <ST>42</ST>
                                <SON>31</SON>
                                <VOFFF><![CDATA[=SUM(§A¿0,1,1,1,12,2,1,-1,0,0,FALSE,FALSE,1,12,2,1,-1,1,0,FALSE,FALSE§Z¿)]]></VOFFF>
                              </ClmnBlkPtProps>
                            </ClmnBlkPt>
                          </ClmnBlkPts>
                        </ClmnBlk>
                        <ClmnBlk>
                          <ClmnBlkProps>
                            <FCPT>0</FCPT>
                            <FCN>19</FCN>
                            <LCPT>0</LCPT>
                            <LCN>19</LCN>
                          </ClmnBlkProps>
                          <ClmnBlkPts>
                            <ClmnBlkPt>
                              <ClmnBlkPtProps>
                                <CBPT>5</CBPT>
                                <ST>39</ST>
                                <VOFFF><![CDATA[Total Revenue]]></VOFFF>
                              </ClmnBlkPtProps>
                            </ClmnBlkPt>
                          </ClmnBlkPts>
                        </ClmnBlk>
                        <ClmnBlk>
                          <ClmnBlkProps>
                            <FCPT>0</FCPT>
                            <FCN>22</FCN>
                            <LCPT>0</LCPT>
                            <LCN>33</LCN>
                          </ClmnBlkProps>
                          <ClmnBlkPts>
                            <ClmnBlkPt>
                              <ClmnBlkPtProps>
                                <CBPT>5</CBPT>
                                <ST>42</ST>
                                <SON>25</SON>
                                <VOFFF><![CDATA[=SUM(§A¿0,1,1,1,7,5,1,-1,0,0,FALSE,FALSE,1,11,5,1,-1,0,0,FALSE,FALSE§Z¿)]]></VOFFF>
                              </ClmnBlkPtProps>
                            </ClmnBlkPt>
                          </ClmnBlkPts>
                        </ClmnBlk>
                        <ClmnBlk>
                          <ClmnBlkProps>
                            <FCPT>0</FCPT>
                            <FCN>34</FCN>
                            <LCPT>0</LCPT>
                            <LCN>34</LCN>
                          </ClmnBlkProps>
                          <ClmnBlkPts>
                            <ClmnBlkPt>
                              <ClmnBlkPtProps>
                                <CBPT>5</CBPT>
                                <ST>42</ST>
                                <SON>32</SON>
                                <VOFFF><![CDATA[=SUM(§A¿0,1,1,1,12,5,1,-1,0,0,FALSE,FALSE,1,12,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Net Operating Expenses]]></VOFFF>
                              </ClmnBlkPtProps>
                            </ClmnBlkPt>
                          </ClmnBlkPts>
                        </ClmnBlk>
                        <ClmnBlk>
                          <ClmnBlkProps>
                            <FCPT>0</FCPT>
                            <FCN>5</FCN>
                            <LCPT>0</LCPT>
                            <LCN>16</LCN>
                          </ClmnBlkProps>
                          <ClmnBlkPts>
                            <ClmnBlkPt>
                              <ClmnBlkPtProps>
                                <CBPT>5</CBPT>
                                <ST>42</ST>
                                <SON>24</SON>
                                <VOFFF><![CDATA[0]]></VOFFF>
                                <UDAV><![CDATA[0]]></UDAV>
                              </ClmnBlkPtProps>
                              <LnkInForms>
                                <LnkInForm>
                                  <LnkInFormProps>
                                    <CBPLI>1,1,13,2,1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33</SON>
                                <VOFFF><![CDATA[=SUM(§A¿0,1,1,1,13,2,1,-1,0,0,FALSE,FALSE,1,13,2,1,-1,1,0,FALSE,FALSE§Z¿)]]></VOFFF>
                              </ClmnBlkPtProps>
                            </ClmnBlkPt>
                          </ClmnBlkPts>
                        </ClmnBlk>
                      </ClmnBlks>
                      <TtlCtg>
                        <TtlCtgProps>
                          <R>3</R>
                        </TtlCtgProps>
                        <LnkIn>
                          <LnkInProps>
                            <MN>58</MN>
                            <CLI>1,1,13,True,0</CLI>
                            <ELN>1</ELN>
                            <LOOT>2</LOOT>
                            <LOMN>4</LOMN>
                            <LOMCN>1</LOMCN>
                            <LOSN>1</LOSN>
                            <LOEN>19</LOEN>
                            <LOCN>0</LOCN>
                          </LnkInProps>
                        </LnkIn>
                      </TtlCtg>
                      <ElmtLnksIn>
                        <ElmtLnk>
                          <ElmtLnkProps>
                            <ELI>1,1,13</ELI>
                            <ELN>1</ELN>
                            <ELGN>1</ELGN>
                            <MLG>F4E23BA8-1749-48B1-B62F-4B203402E9B5</MLG>
                            <ICBI>2</ICBI>
                            <ILBN/>
                            <LIBN>0</LIBN>
                          </ElmtLnkProps>
                        </ElmtLnk>
                      </ElmtLnksIn>
                    </Elmt>
                    <Elmt>
                      <ElmtProps>
                        <CPT>2</CPT>
                      </ElmtProps>
                      <ClmnBlks>
                        <ClmnBlk>
                          <ClmnBlkProps>
                            <FCPT>0</FCPT>
                            <FCN>2</FCN>
                            <LCPT>0</LCPT>
                            <LCN>2</LCN>
                          </ClmnBlkProps>
                          <ClmnBlkPts>
                            <ClmnBlkPt>
                              <ClmnBlkPtProps>
                                <CBPT>5</CBPT>
                                <ST>39</ST>
                                <VOFFF><![CDATA[EBITDA]]></VOFFF>
                              </ClmnBlkPtProps>
                            </ClmnBlkPt>
                          </ClmnBlkPts>
                        </ClmnBlk>
                        <ClmnBlk>
                          <ClmnBlkProps>
                            <FCPT>0</FCPT>
                            <FCN>5</FCN>
                            <LCPT>0</LCPT>
                            <LCN>16</LCN>
                          </ClmnBlkProps>
                          <ClmnBlkPts>
                            <ClmnBlkPt>
                              <ClmnBlkPtProps>
                                <CBPT>5</CBPT>
                                <ST>42</ST>
                                <SON>25</SON>
                                <VOFFF><![CDATA[=§A¿0,1,0,1,9,2,1,-1,0,0,FALSE,FALSE§Z¿+§A¿0,1,0,1,13,2,1,-1,0,0,FALSE,FALSE§Z¿]]></VOFFF>
                              </ClmnBlkPtProps>
                            </ClmnBlkPt>
                          </ClmnBlkPts>
                        </ClmnBlk>
                        <ClmnBlk>
                          <ClmnBlkProps>
                            <FCPT>0</FCPT>
                            <FCN>17</FCN>
                            <LCPT>0</LCPT>
                            <LCN>17</LCN>
                          </ClmnBlkProps>
                          <ClmnBlkPts>
                            <ClmnBlkPt>
                              <ClmnBlkPtProps>
                                <CBPT>5</CBPT>
                                <ST>42</ST>
                                <SON>32</SON>
                                <VOFFF><![CDATA[=SUM(§A¿0,1,1,1,14,2,1,-1,0,0,FALSE,FALSE,1,14,2,1,-1,1,0,FALSE,FALSE§Z¿)]]></VOFFF>
                              </ClmnBlkPtProps>
                            </ClmnBlkPt>
                          </ClmnBlkPts>
                        </ClmnBlk>
                        <ClmnBlk>
                          <ClmnBlkProps>
                            <FCPT>0</FCPT>
                            <FCN>19</FCN>
                            <LCPT>0</LCPT>
                            <LCN>34</LCN>
                          </ClmnBlkProps>
                          <ClmnBlkPts>
                            <ClmnBlkPt>
                              <ClmnBlkPtProps>
                                <CBPT>5</CBPT>
                                <ST>38</ST>
                                <SON>5</SON>
                                <MC>True</MC>
                                <VOFFF><![CDATA[Top Expenses]]></VOFFF>
                              </ClmnBlkPtProps>
                            </ClmnBlkPt>
                          </ClmnBlkPts>
                        </ClmnBlk>
                      </ClmnBlks>
                      <TtlCtg>
                        <TtlCtgProps>
                          <R>3</R>
                        </TtlCtgProps>
                      </TtlCtg>
                    </Elmt>
                    <Elmt>
                      <ElmtProps>
                        <CPT>2</CPT>
                      </ElmtProps>
                      <ClmnBlks>
                        <ClmnBlk>
                          <ClmnBlkProps>
                            <FCPT>0</FCPT>
                            <FCN>2</FCN>
                            <LCPT>0</LCPT>
                            <LCN>2</LCN>
                          </ClmnBlkProps>
                          <ClmnBlkPts>
                            <ClmnBlkPt>
                              <ClmnBlkPtProps>
                                <CBPT>5</CBPT>
                                <ST>40</ST>
                                <SON>3</SON>
                                <VOFFF><![CDATA[EBITDA / Revenue (%)]]></VOFFF>
                              </ClmnBlkPtProps>
                            </ClmnBlkPt>
                          </ClmnBlkPts>
                        </ClmnBlk>
                        <ClmnBlk>
                          <ClmnBlkProps>
                            <FCPT>0</FCPT>
                            <FCN>5</FCN>
                            <LCPT>0</LCPT>
                            <LCN>16</LCN>
                          </ClmnBlkProps>
                          <ClmnBlkPts>
                            <ClmnBlkPt>
                              <ClmnBlkPtProps>
                                <CBPT>5</CBPT>
                                <ST>43</ST>
                                <SON>28</SON>
                                <VOFFF><![CDATA[=IF(§A¿0,1,0,1,7,2,1,-1,0,0,FALSE,FALSE§Z¿=0,0,§A¿0,1,0,1,14,2,1,-1,0,0,FALSE,FALSE§Z¿/§A¿0,1,0,1,7,2,1,-1,0,0,FALSE,FALSE§Z¿)]]></VOFFF>
                              </ClmnBlkPtProps>
                            </ClmnBlkPt>
                          </ClmnBlkPts>
                        </ClmnBlk>
                        <ClmnBlk>
                          <ClmnBlkProps>
                            <FCPT>0</FCPT>
                            <FCN>17</FCN>
                            <LCPT>0</LCPT>
                            <LCN>17</LCN>
                          </ClmnBlkProps>
                          <ClmnBlkPts>
                            <ClmnBlkPt>
                              <ClmnBlkPtProps>
                                <CBPT>5</CBPT>
                                <ST>43</ST>
                                <SON>29</SON>
                                <VOFFF><![CDATA[=IF(§A¿0,1,0,1,7,3,1,-1,0,0,FALSE,FALSE§Z¿=0,0,§A¿0,1,0,1,14,3,1,-1,0,0,FALSE,FALSE§Z¿/§A¿0,1,0,1,7,3,1,-1,0,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Depreciation & Amortisation]]></VOFFF>
                              </ClmnBlkPtProps>
                            </ClmnBlkPt>
                          </ClmnBlkPts>
                        </ClmnBlk>
                        <ClmnBlk>
                          <ClmnBlkProps>
                            <FCPT>0</FCPT>
                            <FCN>5</FCN>
                            <LCPT>0</LCPT>
                            <LCN>16</LCN>
                          </ClmnBlkProps>
                          <ClmnBlkPts>
                            <ClmnBlkPt>
                              <ClmnBlkPtProps>
                                <CBPT>5</CBPT>
                                <ST>42</ST>
                                <SON>24</SON>
                                <VOFFF><![CDATA[0]]></VOFFF>
                                <UDAV><![CDATA[0]]></UDAV>
                              </ClmnBlkPtProps>
                              <LnkInForms>
                                <LnkInForm>
                                  <LnkInFormProps>
                                    <CBPLI>1,1,16,2,1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33</SON>
                                <VOFFF><![CDATA[=SUM(§A¿0,1,1,1,16,2,1,-1,0,0,FALSE,FALSE,1,16,2,1,-1,1,0,FALSE,FALSE§Z¿)]]></VOFFF>
                              </ClmnBlkPtProps>
                            </ClmnBlkPt>
                          </ClmnBlkPts>
                        </ClmnBlk>
                        <ClmnBlk>
                          <ClmnBlkProps>
                            <FCPT>0</FCPT>
                            <FCN>19</FCN>
                            <LCPT>0</LCPT>
                            <LCN>19</LCN>
                          </ClmnBlkProps>
                          <ClmnBlkPts>
                            <ClmnBlkPt>
                              <ClmnBlkPtProps>
                                <CBPT>5</CBPT>
                                <ST>39</ST>
                                <VOFFF><![CDATA[=§A¿0,1,0,1,93,1,1,-1,0,0,TRUE,TRUE§Z¿]]></VOFFF>
                              </ClmnBlkPtProps>
                            </ClmnBlkPt>
                          </ClmnBlkPts>
                        </ClmnBlk>
                        <ClmnBlk>
                          <ClmnBlkProps>
                            <FCPT>0</FCPT>
                            <FCN>22</FCN>
                            <LCPT>0</LCPT>
                            <LCN>33</LCN>
                          </ClmnBlkProps>
                          <ClmnBlkPts>
                            <ClmnBlkPt>
                              <ClmnBlkPtProps>
                                <CBPT>5</CBPT>
                                <ST>39</ST>
                                <SON>7</SON>
                                <VOFFF><![CDATA[=§A¿0,1,0,1,93,2,1,-1,0,0,TRUE,FALSE§Z¿]]></VOFFF>
                              </ClmnBlkPtProps>
                            </ClmnBlkPt>
                          </ClmnBlkPts>
                        </ClmnBlk>
                        <ClmnBlk>
                          <ClmnBlkProps>
                            <FCPT>0</FCPT>
                            <FCN>34</FCN>
                            <LCPT>0</LCPT>
                            <LCN>34</LCN>
                          </ClmnBlkProps>
                          <ClmnBlkPts>
                            <ClmnBlkPt>
                              <ClmnBlkPtProps>
                                <CBPT>5</CBPT>
                                <ST>39</ST>
                                <SON>10</SON>
                                <VOFFF><![CDATA[Total]]></VOFFF>
                              </ClmnBlkPtProps>
                            </ClmnBlkPt>
                          </ClmnBlkPts>
                        </ClmnBlk>
                      </ClmnBlks>
                      <TtlCtg>
                        <TtlCtgProps>
                          <R>3</R>
                        </TtlCtgProps>
                        <LnkIn>
                          <LnkInProps>
                            <MN>58</MN>
                            <CLI>1,1,16,True,0</CLI>
                            <ELN>1</ELN>
                            <LOOT>2</LOOT>
                            <LOMN>4</LOMN>
                            <LOMCN>1</LOMCN>
                            <LOSN>1</LOSN>
                            <LOEN>26</LOEN>
                            <LOCN>0</LOCN>
                          </LnkInProps>
                        </LnkIn>
                      </TtlCtg>
                      <ElmtLnksIn>
                        <ElmtLnk>
                          <ElmtLnkProps>
                            <ELI>1,1,16</ELI>
                            <ELN>1</ELN>
                            <ELGN>1</ELGN>
                            <MLG>3CDE2022-386E-486D-89BB-32DDA443CC7B</MLG>
                            <ICBI>2</ICBI>
                            <ILBN/>
                            <LIBN>0</LIBN>
                          </ElmtLnkProps>
                        </ElmtLnk>
                      </ElmtLnksIn>
                    </Elmt>
                    <Elmt>
                      <ElmtProps>
                        <CPT>2</CPT>
                      </ElmtProps>
                      <ClmnBlks>
                        <ClmnBlk>
                          <ClmnBlkProps>
                            <FCPT>0</FCPT>
                            <FCN>2</FCN>
                            <LCPT>0</LCPT>
                            <LCN>2</LCN>
                          </ClmnBlkProps>
                          <ClmnBlkPts>
                            <ClmnBlkPt>
                              <ClmnBlkPtProps>
                                <CBPT>5</CBPT>
                                <ST>39</ST>
                                <VOFFF><![CDATA[EBIT]]></VOFFF>
                              </ClmnBlkPtProps>
                            </ClmnBlkPt>
                          </ClmnBlkPts>
                        </ClmnBlk>
                        <ClmnBlk>
                          <ClmnBlkProps>
                            <FCPT>0</FCPT>
                            <FCN>5</FCN>
                            <LCPT>0</LCPT>
                            <LCN>16</LCN>
                          </ClmnBlkProps>
                          <ClmnBlkPts>
                            <ClmnBlkPt>
                              <ClmnBlkPtProps>
                                <CBPT>5</CBPT>
                                <ST>42</ST>
                                <SON>25</SON>
                                <VOFFF><![CDATA[=§A¿0,1,0,1,14,2,1,-1,0,0,FALSE,FALSE§Z¿+§A¿0,1,0,1,16,2,1,-1,0,0,FALSE,FALSE§Z¿]]></VOFFF>
                              </ClmnBlkPtProps>
                            </ClmnBlkPt>
                          </ClmnBlkPts>
                        </ClmnBlk>
                        <ClmnBlk>
                          <ClmnBlkProps>
                            <FCPT>0</FCPT>
                            <FCN>17</FCN>
                            <LCPT>0</LCPT>
                            <LCN>17</LCN>
                          </ClmnBlkProps>
                          <ClmnBlkPts>
                            <ClmnBlkPt>
                              <ClmnBlkPtProps>
                                <CBPT>5</CBPT>
                                <ST>42</ST>
                                <SON>32</SON>
                                <VOFFF><![CDATA[=SUM(§A¿0,1,1,1,17,2,1,-1,0,0,FALSE,FALSE,1,17,2,1,-1,1,0,FALSE,FALSE§Z¿)]]></VOFFF>
                              </ClmnBlkPtProps>
                            </ClmnBlkPt>
                          </ClmnBlkPts>
                        </ClmnBlk>
                        <ClmnBlk>
                          <ClmnBlkProps>
                            <FCPT>0</FCPT>
                            <FCN>19</FCN>
                            <LCPT>0</LCPT>
                            <LCN>19</LCN>
                          </ClmnBlkProps>
                          <ClmnBlkPts>
                            <ClmnBlkPt>
                              <ClmnBlkPtProps>
                                <CBPT>5</CBPT>
                                <ST>40</ST>
                                <VOFFF><![CDATA[=§A¿0,1,0,1,144,1,1,-1,0,0,FALSE,FALSE§Z¿]]></VOFFF>
                              </ClmnBlkPtProps>
                            </ClmnBlkPt>
                          </ClmnBlkPts>
                        </ClmnBlk>
                        <ClmnBlk>
                          <ClmnBlkProps>
                            <FCPT>0</FCPT>
                            <FCN>22</FCN>
                            <LCPT>0</LCPT>
                            <LCN>33</LCN>
                          </ClmnBlkProps>
                          <ClmnBlkPts>
                            <ClmnBlkPt>
                              <ClmnBlkPtProps>
                                <CBPT>5</CBPT>
                                <ST>42</ST>
                                <SON>22</SON>
                                <VOFFF><![CDATA[=§A¿0,1,0,1,144,2,1,-1,0,0,FALSE,FALSE§Z¿]]></VOFFF>
                              </ClmnBlkPtProps>
                            </ClmnBlkPt>
                          </ClmnBlkPts>
                        </ClmnBlk>
                        <ClmnBlk>
                          <ClmnBlkProps>
                            <FCPT>0</FCPT>
                            <FCN>34</FCN>
                            <LCPT>0</LCPT>
                            <LCN>34</LCN>
                          </ClmnBlkProps>
                          <ClmnBlkPts>
                            <ClmnBlkPt>
                              <ClmnBlkPtProps>
                                <CBPT>5</CBPT>
                                <ST>42</ST>
                                <SON>26</SON>
                                <VOFFF><![CDATA[=SUM(§A¿0,1,1,1,17,5,1,-1,0,0,FALSE,FALSE,1,17,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SON>3</SON>
                                <VOFFF><![CDATA[EBIT / Revenue (%)]]></VOFFF>
                              </ClmnBlkPtProps>
                            </ClmnBlkPt>
                          </ClmnBlkPts>
                        </ClmnBlk>
                        <ClmnBlk>
                          <ClmnBlkProps>
                            <FCPT>0</FCPT>
                            <FCN>5</FCN>
                            <LCPT>0</LCPT>
                            <LCN>16</LCN>
                          </ClmnBlkProps>
                          <ClmnBlkPts>
                            <ClmnBlkPt>
                              <ClmnBlkPtProps>
                                <CBPT>5</CBPT>
                                <ST>43</ST>
                                <SON>28</SON>
                                <VOFFF><![CDATA[=IF(§A¿0,1,0,1,7,2,1,-1,0,0,FALSE,FALSE§Z¿=0,0,§A¿0,1,0,1,17,2,1,-1,0,0,FALSE,FALSE§Z¿/§A¿0,1,0,1,7,2,1,-1,0,0,FALSE,FALSE§Z¿)]]></VOFFF>
                              </ClmnBlkPtProps>
                            </ClmnBlkPt>
                          </ClmnBlkPts>
                        </ClmnBlk>
                        <ClmnBlk>
                          <ClmnBlkProps>
                            <FCPT>0</FCPT>
                            <FCN>17</FCN>
                            <LCPT>0</LCPT>
                            <LCN>17</LCN>
                          </ClmnBlkProps>
                          <ClmnBlkPts>
                            <ClmnBlkPt>
                              <ClmnBlkPtProps>
                                <CBPT>5</CBPT>
                                <ST>43</ST>
                                <SON>29</SON>
                                <VOFFF><![CDATA[=IF(§A¿0,1,0,1,7,3,1,-1,0,0,FALSE,FALSE§Z¿=0,0,§A¿0,1,0,1,17,3,1,-1,0,0,FALSE,FALSE§Z¿/§A¿0,1,0,1,7,3,1,-1,0,0,FALSE,FALSE§Z¿)]]></VOFFF>
                              </ClmnBlkPtProps>
                            </ClmnBlkPt>
                          </ClmnBlkPts>
                        </ClmnBlk>
                        <ClmnBlk>
                          <ClmnBlkProps>
                            <FCPT>0</FCPT>
                            <FCN>19</FCN>
                            <LCPT>0</LCPT>
                            <LCN>19</LCN>
                          </ClmnBlkProps>
                          <ClmnBlkPts>
                            <ClmnBlkPt>
                              <ClmnBlkPtProps>
                                <CBPT>5</CBPT>
                                <ST>40</ST>
                                <VOFFF><![CDATA[=§A¿0,1,0,1,145,1,1,-1,0,0,FALSE,FALSE§Z¿]]></VOFFF>
                              </ClmnBlkPtProps>
                            </ClmnBlkPt>
                          </ClmnBlkPts>
                        </ClmnBlk>
                        <ClmnBlk>
                          <ClmnBlkProps>
                            <FCPT>0</FCPT>
                            <FCN>22</FCN>
                            <LCPT>0</LCPT>
                            <LCN>33</LCN>
                          </ClmnBlkProps>
                          <ClmnBlkPts>
                            <ClmnBlkPt>
                              <ClmnBlkPtProps>
                                <CBPT>5</CBPT>
                                <ST>42</ST>
                                <SON>22</SON>
                                <VOFFF><![CDATA[=§A¿0,1,0,1,145,2,1,-1,0,0,FALSE,FALSE§Z¿]]></VOFFF>
                              </ClmnBlkPtProps>
                            </ClmnBlkPt>
                          </ClmnBlkPts>
                        </ClmnBlk>
                        <ClmnBlk>
                          <ClmnBlkProps>
                            <FCPT>0</FCPT>
                            <FCN>34</FCN>
                            <LCPT>0</LCPT>
                            <LCN>34</LCN>
                          </ClmnBlkProps>
                          <ClmnBlkPts>
                            <ClmnBlkPt>
                              <ClmnBlkPtProps>
                                <CBPT>5</CBPT>
                                <ST>42</ST>
                                <SON>26</SON>
                                <VOFFF><![CDATA[=SUM(§A¿0,1,1,1,18,5,1,-1,0,0,FALSE,FALSE,1,18,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Net Interest Expense]]></VOFFF>
                              </ClmnBlkPtProps>
                            </ClmnBlkPt>
                          </ClmnBlkPts>
                        </ClmnBlk>
                        <ClmnBlk>
                          <ClmnBlkProps>
                            <FCPT>0</FCPT>
                            <FCN>5</FCN>
                            <LCPT>0</LCPT>
                            <LCN>16</LCN>
                          </ClmnBlkProps>
                          <ClmnBlkPts>
                            <ClmnBlkPt>
                              <ClmnBlkPtProps>
                                <CBPT>5</CBPT>
                                <ST>42</ST>
                                <SON>24</SON>
                                <VOFFF><![CDATA[0]]></VOFFF>
                                <UDAV><![CDATA[0]]></UDAV>
                              </ClmnBlkPtProps>
                              <LnkInForms>
                                <LnkInForm>
                                  <LnkInFormProps>
                                    <CBPLI>1,1,19,2,1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33</SON>
                                <VOFFF><![CDATA[=SUM(§A¿0,1,1,1,19,2,1,-1,0,0,FALSE,FALSE,1,19,2,1,-1,1,0,FALSE,FALSE§Z¿)]]></VOFFF>
                              </ClmnBlkPtProps>
                            </ClmnBlkPt>
                          </ClmnBlkPts>
                        </ClmnBlk>
                        <ClmnBlk>
                          <ClmnBlkProps>
                            <FCPT>0</FCPT>
                            <FCN>19</FCN>
                            <LCPT>0</LCPT>
                            <LCN>19</LCN>
                          </ClmnBlkProps>
                          <ClmnBlkPts>
                            <ClmnBlkPt>
                              <ClmnBlkPtProps>
                                <CBPT>5</CBPT>
                                <ST>40</ST>
                                <VOFFF><![CDATA[=§A¿0,1,0,1,146,1,1,-1,0,0,FALSE,FALSE§Z¿]]></VOFFF>
                              </ClmnBlkPtProps>
                            </ClmnBlkPt>
                          </ClmnBlkPts>
                        </ClmnBlk>
                        <ClmnBlk>
                          <ClmnBlkProps>
                            <FCPT>0</FCPT>
                            <FCN>22</FCN>
                            <LCPT>0</LCPT>
                            <LCN>33</LCN>
                          </ClmnBlkProps>
                          <ClmnBlkPts>
                            <ClmnBlkPt>
                              <ClmnBlkPtProps>
                                <CBPT>5</CBPT>
                                <ST>42</ST>
                                <SON>22</SON>
                                <VOFFF><![CDATA[=§A¿0,1,0,1,146,2,1,-1,0,0,FALSE,FALSE§Z¿]]></VOFFF>
                              </ClmnBlkPtProps>
                            </ClmnBlkPt>
                          </ClmnBlkPts>
                        </ClmnBlk>
                        <ClmnBlk>
                          <ClmnBlkProps>
                            <FCPT>0</FCPT>
                            <FCN>34</FCN>
                            <LCPT>0</LCPT>
                            <LCN>34</LCN>
                          </ClmnBlkProps>
                          <ClmnBlkPts>
                            <ClmnBlkPt>
                              <ClmnBlkPtProps>
                                <CBPT>5</CBPT>
                                <ST>42</ST>
                                <SON>26</SON>
                                <VOFFF><![CDATA[=SUM(§A¿0,1,1,1,19,5,1,-1,0,0,FALSE,FALSE,1,19,5,1,-1,1,0,FALSE,FALSE§Z¿)]]></VOFFF>
                              </ClmnBlkPtProps>
                            </ClmnBlkPt>
                          </ClmnBlkPts>
                        </ClmnBlk>
                      </ClmnBlks>
                      <TtlCtg>
                        <TtlCtgProps>
                          <R>3</R>
                        </TtlCtgProps>
                        <LnkIn>
                          <LnkInProps>
                            <MN>58</MN>
                            <CLI>1,1,19,True,0</CLI>
                            <ELN>1</ELN>
                            <LOOT>2</LOOT>
                            <LOMN>4</LOMN>
                            <LOMCN>1</LOMCN>
                            <LOSN>1</LOSN>
                            <LOEN>34</LOEN>
                            <LOCN>0</LOCN>
                          </LnkInProps>
                        </LnkIn>
                      </TtlCtg>
                      <ElmtLnksIn>
                        <ElmtLnk>
                          <ElmtLnkProps>
                            <ELI>1,1,19</ELI>
                            <ELN>1</ELN>
                            <ELGN>1</ELGN>
                            <MLG>DB46FB3D-E1B3-4799-85D6-B2E088636C8A</MLG>
                            <ICBI>2</ICBI>
                            <ILBN/>
                            <LIBN>0</LIBN>
                          </ElmtLnkProps>
                        </ElmtLnk>
                      </ElmtLnksIn>
                    </Elmt>
                    <Elmt>
                      <ElmtProps>
                        <CPT>2</CPT>
                      </ElmtProps>
                      <ClmnBlks>
                        <ClmnBlk>
                          <ClmnBlkProps>
                            <FCPT>0</FCPT>
                            <FCN>2</FCN>
                            <LCPT>0</LCPT>
                            <LCN>2</LCN>
                          </ClmnBlkProps>
                          <ClmnBlkPts>
                            <ClmnBlkPt>
                              <ClmnBlkPtProps>
                                <CBPT>5</CBPT>
                                <ST>39</ST>
                                <VOFFF><![CDATA[Net Profit Before Tax]]></VOFFF>
                              </ClmnBlkPtProps>
                            </ClmnBlkPt>
                          </ClmnBlkPts>
                        </ClmnBlk>
                        <ClmnBlk>
                          <ClmnBlkProps>
                            <FCPT>0</FCPT>
                            <FCN>5</FCN>
                            <LCPT>0</LCPT>
                            <LCN>16</LCN>
                          </ClmnBlkProps>
                          <ClmnBlkPts>
                            <ClmnBlkPt>
                              <ClmnBlkPtProps>
                                <CBPT>5</CBPT>
                                <ST>42</ST>
                                <SON>25</SON>
                                <VOFFF><![CDATA[=§A¿0,1,0,1,17,2,1,-1,0,0,FALSE,FALSE§Z¿+§A¿0,1,0,1,19,2,1,-1,0,0,FALSE,FALSE§Z¿]]></VOFFF>
                              </ClmnBlkPtProps>
                            </ClmnBlkPt>
                          </ClmnBlkPts>
                        </ClmnBlk>
                        <ClmnBlk>
                          <ClmnBlkProps>
                            <FCPT>0</FCPT>
                            <FCN>17</FCN>
                            <LCPT>0</LCPT>
                            <LCN>17</LCN>
                          </ClmnBlkProps>
                          <ClmnBlkPts>
                            <ClmnBlkPt>
                              <ClmnBlkPtProps>
                                <CBPT>5</CBPT>
                                <ST>42</ST>
                                <SON>32</SON>
                                <VOFFF><![CDATA[=SUM(§A¿0,1,1,1,20,2,1,-1,0,0,FALSE,FALSE,1,20,2,1,-1,1,0,FALSE,FALSE§Z¿)]]></VOFFF>
                              </ClmnBlkPtProps>
                            </ClmnBlkPt>
                          </ClmnBlkPts>
                        </ClmnBlk>
                        <ClmnBlk>
                          <ClmnBlkProps>
                            <FCPT>0</FCPT>
                            <FCN>19</FCN>
                            <LCPT>0</LCPT>
                            <LCN>19</LCN>
                          </ClmnBlkProps>
                          <ClmnBlkPts>
                            <ClmnBlkPt>
                              <ClmnBlkPtProps>
                                <CBPT>5</CBPT>
                                <ST>40</ST>
                                <VOFFF><![CDATA[=§A¿0,1,0,1,147,1,1,-1,0,0,FALSE,FALSE§Z¿]]></VOFFF>
                              </ClmnBlkPtProps>
                            </ClmnBlkPt>
                          </ClmnBlkPts>
                        </ClmnBlk>
                        <ClmnBlk>
                          <ClmnBlkProps>
                            <FCPT>0</FCPT>
                            <FCN>22</FCN>
                            <LCPT>0</LCPT>
                            <LCN>33</LCN>
                          </ClmnBlkProps>
                          <ClmnBlkPts>
                            <ClmnBlkPt>
                              <ClmnBlkPtProps>
                                <CBPT>5</CBPT>
                                <ST>42</ST>
                                <SON>22</SON>
                                <VOFFF><![CDATA[=§A¿0,1,0,1,147,2,1,-1,0,0,FALSE,FALSE§Z¿]]></VOFFF>
                              </ClmnBlkPtProps>
                            </ClmnBlkPt>
                          </ClmnBlkPts>
                        </ClmnBlk>
                        <ClmnBlk>
                          <ClmnBlkProps>
                            <FCPT>0</FCPT>
                            <FCN>34</FCN>
                            <LCPT>0</LCPT>
                            <LCN>34</LCN>
                          </ClmnBlkProps>
                          <ClmnBlkPts>
                            <ClmnBlkPt>
                              <ClmnBlkPtProps>
                                <CBPT>5</CBPT>
                                <ST>42</ST>
                                <SON>26</SON>
                                <VOFFF><![CDATA[=SUM(§A¿0,1,1,1,20,5,1,-1,0,0,FALSE,FALSE,1,20,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SON>3</SON>
                                <VOFFF><![CDATA[NPBT / Revenue (%)]]></VOFFF>
                              </ClmnBlkPtProps>
                            </ClmnBlkPt>
                          </ClmnBlkPts>
                        </ClmnBlk>
                        <ClmnBlk>
                          <ClmnBlkProps>
                            <FCPT>0</FCPT>
                            <FCN>5</FCN>
                            <LCPT>0</LCPT>
                            <LCN>16</LCN>
                          </ClmnBlkProps>
                          <ClmnBlkPts>
                            <ClmnBlkPt>
                              <ClmnBlkPtProps>
                                <CBPT>5</CBPT>
                                <ST>43</ST>
                                <SON>28</SON>
                                <VOFFF><![CDATA[=IF(§A¿0,1,0,1,7,2,1,-1,0,0,FALSE,FALSE§Z¿=0,0,§A¿0,1,0,1,20,2,1,-1,0,0,FALSE,FALSE§Z¿/§A¿0,1,0,1,7,2,1,-1,0,0,FALSE,FALSE§Z¿)]]></VOFFF>
                              </ClmnBlkPtProps>
                            </ClmnBlkPt>
                          </ClmnBlkPts>
                        </ClmnBlk>
                        <ClmnBlk>
                          <ClmnBlkProps>
                            <FCPT>0</FCPT>
                            <FCN>17</FCN>
                            <LCPT>0</LCPT>
                            <LCN>17</LCN>
                          </ClmnBlkProps>
                          <ClmnBlkPts>
                            <ClmnBlkPt>
                              <ClmnBlkPtProps>
                                <CBPT>5</CBPT>
                                <ST>43</ST>
                                <SON>29</SON>
                                <VOFFF><![CDATA[=IF(§A¿0,1,0,1,7,3,1,-1,0,0,FALSE,FALSE§Z¿=0,0,§A¿0,1,0,1,20,3,1,-1,0,0,FALSE,FALSE§Z¿/§A¿0,1,0,1,7,3,1,-1,0,0,FALSE,FALSE§Z¿)]]></VOFFF>
                              </ClmnBlkPtProps>
                            </ClmnBlkPt>
                          </ClmnBlkPts>
                        </ClmnBlk>
                        <ClmnBlk>
                          <ClmnBlkProps>
                            <FCPT>0</FCPT>
                            <FCN>19</FCN>
                            <LCPT>0</LCPT>
                            <LCN>19</LCN>
                          </ClmnBlkProps>
                          <ClmnBlkPts>
                            <ClmnBlkPt>
                              <ClmnBlkPtProps>
                                <CBPT>5</CBPT>
                                <ST>40</ST>
                                <VOFFF><![CDATA[=§A¿0,1,0,1,148,1,1,-1,0,0,FALSE,FALSE§Z¿]]></VOFFF>
                              </ClmnBlkPtProps>
                            </ClmnBlkPt>
                          </ClmnBlkPts>
                        </ClmnBlk>
                        <ClmnBlk>
                          <ClmnBlkProps>
                            <FCPT>0</FCPT>
                            <FCN>22</FCN>
                            <LCPT>0</LCPT>
                            <LCN>33</LCN>
                          </ClmnBlkProps>
                          <ClmnBlkPts>
                            <ClmnBlkPt>
                              <ClmnBlkPtProps>
                                <CBPT>5</CBPT>
                                <ST>42</ST>
                                <SON>22</SON>
                                <VOFFF><![CDATA[=§A¿0,1,0,1,148,2,1,-1,0,0,FALSE,FALSE§Z¿]]></VOFFF>
                              </ClmnBlkPtProps>
                            </ClmnBlkPt>
                          </ClmnBlkPts>
                        </ClmnBlk>
                        <ClmnBlk>
                          <ClmnBlkProps>
                            <FCPT>0</FCPT>
                            <FCN>34</FCN>
                            <LCPT>0</LCPT>
                            <LCN>34</LCN>
                          </ClmnBlkProps>
                          <ClmnBlkPts>
                            <ClmnBlkPt>
                              <ClmnBlkPtProps>
                                <CBPT>5</CBPT>
                                <ST>42</ST>
                                <SON>26</SON>
                                <VOFFF><![CDATA[=SUM(§A¿0,1,1,1,21,5,1,-1,0,0,FALSE,FALSE,1,21,5,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Tax Expense]]></VOFFF>
                              </ClmnBlkPtProps>
                            </ClmnBlkPt>
                          </ClmnBlkPts>
                        </ClmnBlk>
                        <ClmnBlk>
                          <ClmnBlkProps>
                            <FCPT>0</FCPT>
                            <FCN>5</FCN>
                            <LCPT>0</LCPT>
                            <LCN>16</LCN>
                          </ClmnBlkProps>
                          <ClmnBlkPts>
                            <ClmnBlkPt>
                              <ClmnBlkPtProps>
                                <CBPT>5</CBPT>
                                <ST>42</ST>
                                <SON>22</SON>
                                <VOFFF><![CDATA[0]]></VOFFF>
                                <UDAV><![CDATA[0]]></UDAV>
                              </ClmnBlkPtProps>
                              <LnkInForms>
                                <LnkInForm>
                                  <LnkInFormProps>
                                    <CBPLI>1,1,22,2,1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22,2,1,-1,0,0,FALSE,FALSE,1,22,2,1,-1,1,0,FALSE,FALSE§Z¿)]]></VOFFF>
                              </ClmnBlkPtProps>
                            </ClmnBlkPt>
                          </ClmnBlkPts>
                        </ClmnBlk>
                        <ClmnBlk>
                          <ClmnBlkProps>
                            <FCPT>0</FCPT>
                            <FCN>19</FCN>
                            <LCPT>0</LCPT>
                            <LCN>19</LCN>
                          </ClmnBlkProps>
                          <ClmnBlkPts>
                            <ClmnBlkPt>
                              <ClmnBlkPtProps>
                                <CBPT>5</CBPT>
                                <ST>39</ST>
                                <VOFFF><![CDATA[Total Expenses]]></VOFFF>
                              </ClmnBlkPtProps>
                            </ClmnBlkPt>
                          </ClmnBlkPts>
                        </ClmnBlk>
                        <ClmnBlk>
                          <ClmnBlkProps>
                            <FCPT>0</FCPT>
                            <FCN>22</FCN>
                            <LCPT>0</LCPT>
                            <LCN>33</LCN>
                          </ClmnBlkProps>
                          <ClmnBlkPts>
                            <ClmnBlkPt>
                              <ClmnBlkPtProps>
                                <CBPT>5</CBPT>
                                <ST>42</ST>
                                <SON>25</SON>
                                <VOFFF><![CDATA[=SUM(§A¿0,1,1,1,17,5,1,-1,0,0,FALSE,FALSE,1,21,5,1,-1,0,0,FALSE,FALSE§Z¿)]]></VOFFF>
                              </ClmnBlkPtProps>
                            </ClmnBlkPt>
                          </ClmnBlkPts>
                        </ClmnBlk>
                        <ClmnBlk>
                          <ClmnBlkProps>
                            <FCPT>0</FCPT>
                            <FCN>34</FCN>
                            <LCPT>0</LCPT>
                            <LCN>34</LCN>
                          </ClmnBlkProps>
                          <ClmnBlkPts>
                            <ClmnBlkPt>
                              <ClmnBlkPtProps>
                                <CBPT>5</CBPT>
                                <ST>42</ST>
                                <SON>32</SON>
                                <VOFFF><![CDATA[=SUM(§A¿0,1,1,1,22,5,1,-1,0,0,FALSE,FALSE,1,22,5,1,-1,1,0,FALSE,FALSE§Z¿)]]></VOFFF>
                              </ClmnBlkPtProps>
                            </ClmnBlkPt>
                          </ClmnBlkPts>
                        </ClmnBlk>
                      </ClmnBlks>
                      <TtlCtg>
                        <TtlCtgProps>
                          <R>3</R>
                        </TtlCtgProps>
                        <LnkIn>
                          <LnkInProps>
                            <MN>58</MN>
                            <CLI>1,1,22,True,0</CLI>
                            <ELN>1</ELN>
                            <LOOT>2</LOOT>
                            <LOMN>4</LOMN>
                            <LOMCN>1</LOMCN>
                            <LOSN>1</LOSN>
                            <LOEN>38</LOEN>
                            <LOCN>0</LOCN>
                          </LnkInProps>
                        </LnkIn>
                      </TtlCtg>
                      <ElmtLnksIn>
                        <ElmtLnk>
                          <ElmtLnkProps>
                            <ELI>1,1,22</ELI>
                            <ELN>1</ELN>
                            <ELGN>1</ELGN>
                            <MLG>DCFF2135-C05D-4362-983A-FBD5D24C6213</MLG>
                            <ICBI>2</ICBI>
                            <ILBN/>
                            <LIBN>0</LIBN>
                          </ElmtLnkProps>
                        </ElmtLnk>
                      </ElmtLnksIn>
                    </Elmt>
                    <Elmt>
                      <ElmtProps>
                        <CPT>2</CPT>
                      </ElmtProps>
                      <ClmnBlks>
                        <ClmnBlk>
                          <ClmnBlkProps>
                            <FCPT>0</FCPT>
                            <FCN>2</FCN>
                            <LCPT>0</LCPT>
                            <LCN>2</LCN>
                          </ClmnBlkProps>
                          <ClmnBlkPts>
                            <ClmnBlkPt>
                              <ClmnBlkPtProps>
                                <CBPT>5</CBPT>
                                <ST>39</ST>
                                <VOFFF><![CDATA[Net Profit After Tax]]></VOFFF>
                              </ClmnBlkPtProps>
                            </ClmnBlkPt>
                          </ClmnBlkPts>
                        </ClmnBlk>
                        <ClmnBlk>
                          <ClmnBlkProps>
                            <FCPT>0</FCPT>
                            <FCN>5</FCN>
                            <LCPT>0</LCPT>
                            <LCN>16</LCN>
                          </ClmnBlkProps>
                          <ClmnBlkPts>
                            <ClmnBlkPt>
                              <ClmnBlkPtProps>
                                <CBPT>5</CBPT>
                                <ST>42</ST>
                                <SON>34</SON>
                                <VOFFF><![CDATA[=§A¿0,1,0,1,20,2,1,-1,0,0,FALSE,FALSE§Z¿+§A¿0,1,0,1,22,2,1,-1,0,0,FALSE,FALSE§Z¿]]></VOFFF>
                              </ClmnBlkPtProps>
                            </ClmnBlkPt>
                          </ClmnBlkPts>
                        </ClmnBlk>
                        <ClmnBlk>
                          <ClmnBlkProps>
                            <FCPT>0</FCPT>
                            <FCN>17</FCN>
                            <LCPT>0</LCPT>
                            <LCN>17</LCN>
                          </ClmnBlkProps>
                          <ClmnBlkPts>
                            <ClmnBlkPt>
                              <ClmnBlkPtProps>
                                <CBPT>5</CBPT>
                                <ST>42</ST>
                                <SON>35</SON>
                                <VOFFF><![CDATA[=SUM(§A¿0,1,1,1,23,2,1,-1,0,0,FALSE,FALSE,1,23,2,1,-1,1,0,FALSE,FALSE§Z¿)]]></VOFFF>
                              </ClmnBlkPtProps>
                            </ClmnBlkPt>
                          </ClmnBlkPts>
                        </ClmnBlk>
                      </ClmnBlks>
                      <TtlCtg>
                        <TtlCtgProps>
                          <R>3</R>
                        </TtlCtgProps>
                      </TtlCtg>
                      <ShpNmes>
                        <ShpNme>
                          <ShpNmeProps>
                            <ELI>1,1,23</ELI>
                            <COSTN>0</COSTN>
                            <ST>3</ST>
                            <SNPT>2</SNPT>
                            <N><![CDATA[bpmShapeFs_Sum1]]></N>
                            <SHN>13</SHN>
                            <SHTN>1</SHTN>
                          </ShpNmeProps>
                        </ShpNme>
                        <ShpNme>
                          <ShpNmeProps>
                            <ELI>1,1,23</ELI>
                            <COSTN>0</COSTN>
                            <ST>3</ST>
                            <SNPT>2</SNPT>
                            <N><![CDATA[bpmShapeFs_Sum2]]></N>
                            <SHN>14</SHN>
                            <SHTN>2</SHTN>
                          </ShpNmeProps>
                        </ShpNme>
                      </ShpNmes>
                    </Elmt>
                    <Elmt>
                      <ElmtProps>
                        <CPT>2</CPT>
                      </ElmtProps>
                      <ClmnBlks>
                        <ClmnBlk>
                          <ClmnBlkProps>
                            <FCPT>0</FCPT>
                            <FCN>2</FCN>
                            <LCPT>0</LCPT>
                            <LCN>2</LCN>
                          </ClmnBlkProps>
                          <ClmnBlkPts>
                            <ClmnBlkPt>
                              <ClmnBlkPtProps>
                                <CBPT>5</CBPT>
                                <ST>40</ST>
                                <SON>3</SON>
                                <VOFFF><![CDATA[NPAT / Revenue (%)]]></VOFFF>
                              </ClmnBlkPtProps>
                            </ClmnBlkPt>
                          </ClmnBlkPts>
                        </ClmnBlk>
                        <ClmnBlk>
                          <ClmnBlkProps>
                            <FCPT>0</FCPT>
                            <FCN>5</FCN>
                            <LCPT>0</LCPT>
                            <LCN>16</LCN>
                          </ClmnBlkProps>
                          <ClmnBlkPts>
                            <ClmnBlkPt>
                              <ClmnBlkPtProps>
                                <CBPT>5</CBPT>
                                <ST>43</ST>
                                <SON>28</SON>
                                <VOFFF><![CDATA[=IF(§A¿0,1,0,1,7,2,1,-1,0,0,FALSE,FALSE§Z¿=0,0,§A¿0,1,0,1,23,2,1,-1,0,0,FALSE,FALSE§Z¿/§A¿0,1,0,1,7,2,1,-1,0,0,FALSE,FALSE§Z¿)]]></VOFFF>
                              </ClmnBlkPtProps>
                            </ClmnBlkPt>
                          </ClmnBlkPts>
                        </ClmnBlk>
                        <ClmnBlk>
                          <ClmnBlkProps>
                            <FCPT>0</FCPT>
                            <FCN>17</FCN>
                            <LCPT>0</LCPT>
                            <LCN>17</LCN>
                          </ClmnBlkProps>
                          <ClmnBlkPts>
                            <ClmnBlkPt>
                              <ClmnBlkPtProps>
                                <CBPT>5</CBPT>
                                <ST>43</ST>
                                <SON>29</SON>
                                <VOFFF><![CDATA[=IF(§A¿0,1,0,1,7,3,1,-1,0,0,FALSE,FALSE§Z¿=0,0,§A¿0,1,0,1,23,3,1,-1,0,0,FALSE,FALSE§Z¿/§A¿0,1,0,1,7,3,1,-1,0,0,FALSE,FALSE§Z¿)]]></VOFFF>
                              </ClmnBlkPtProps>
                            </ClmnBlkPt>
                          </ClmnBlkPts>
                        </ClmnBlk>
                        <ClmnBlk>
                          <ClmnBlkProps>
                            <FCPT>0</FCPT>
                            <FCN>19</FCN>
                            <LCPT>0</LCPT>
                            <LCN>24</LCN>
                          </ClmnBlkProps>
                          <ClmnBlkPts>
                            <ClmnBlkPt>
                              <ClmnBlkPtProps>
                                <CBPT>5</CBPT>
                                <ST>38</ST>
                                <SON>5</SON>
                                <MC>True</MC>
                                <VOFFF><![CDATA[Profitability]]></VOFFF>
                              </ClmnBlkPtProps>
                            </ClmnBlkPt>
                          </ClmnBlkPts>
                        </ClmnBlk>
                        <ClmnBlk>
                          <ClmnBlkProps>
                            <FCPT>0</FCPT>
                            <FCN>25</FCN>
                            <LCPT>0</LCPT>
                            <LCN>29</LCN>
                          </ClmnBlkProps>
                          <ClmnBlkPts>
                            <ClmnBlkPt>
                              <ClmnBlkPtProps>
                                <CBPT>5</CBPT>
                                <ST>38</ST>
                                <SON>5</SON>
                                <MC>True</MC>
                                <VOFFF><![CDATA[       Revenue Summary]]></VOFFF>
                              </ClmnBlkPtProps>
                            </ClmnBlkPt>
                          </ClmnBlkPts>
                        </ClmnBlk>
                        <ClmnBlk>
                          <ClmnBlkProps>
                            <FCPT>0</FCPT>
                            <FCN>30</FCN>
                            <LCPT>0</LCPT>
                            <LCN>34</LCN>
                          </ClmnBlkProps>
                          <ClmnBlkPts>
                            <ClmnBlkPt>
                              <ClmnBlkPtProps>
                                <CBPT>5</CBPT>
                                <ST>38</ST>
                                <SON>5</SON>
                                <MC>True</MC>
                                <VOFFF><![CDATA[       Expenses Summary]]></VOFFF>
                              </ClmnBlkPtProps>
                            </ClmnBlkPt>
                          </ClmnBlkPts>
                        </ClmnBlk>
                      </ClmnBlks>
                      <TtlCtg>
                        <TtlCtgProps>
                          <R>3</R>
                        </TtlCtgProps>
                      </TtlCtg>
                      <ShpNmes>
                        <ShpNme>
                          <ShpNmeProps>
                            <ELI>1,1,24</ELI>
                            <COSTN>0</COSTN>
                            <ST>2</ST>
                            <SNPT>2</SNPT>
                            <N><![CDATA[bpmChartFs_Sum19]]></N>
                            <SHN>12</SHN>
                            <SHTN>10</SHTN>
                          </ShpNmeProps>
                        </ShpNme>
                      </ShpNmes>
                    </Elmt>
                    <Elmt>
                      <ElmtProps>
                        <CPT>2</CPT>
                      </ElmtProps>
                      <TtlCtg>
                        <TtlCtgProps>
                          <R>3</R>
                        </TtlCtgProps>
                      </TtlCtg>
                      <ShpNmes>
                        <ShpNme>
                          <ShpNmeProps>
                            <ELI>1,1,25</ELI>
                            <COSTN>0</COSTN>
                            <ST>2</ST>
                            <SNPT>2</SNPT>
                            <N><![CDATA[bpmChartFs_Sum16]]></N>
                            <SHN>9</SHN>
                            <SHTN>7</SHTN>
                          </ShpNmeProps>
                        </ShpNme>
                        <ShpNme>
                          <ShpNmeProps>
                            <ELI>1,1,25</ELI>
                            <COSTN>0</COSTN>
                            <ST>2</ST>
                            <SNPT>2</SNPT>
                            <N><![CDATA[bpmChartFs_Sum17]]></N>
                            <SHN>10</SHN>
                            <SHTN>8</SHTN>
                          </ShpNmeProps>
                        </ShpNme>
                      </ShpNmes>
                    </Elmt>
                    <Elmt>
                      <ElmtProps>
                        <CPT>2</CPT>
                      </ElmtProps>
                      <ClmnBlks>
                        <ClmnBlk>
                          <ClmnBlkProps>
                            <FCPT>0</FCPT>
                            <FCN>2</FCN>
                            <LCPT>0</LCPT>
                            <LCN>17</LCN>
                          </ClmnBlkProps>
                          <ClmnBlkPts>
                            <ClmnBlkPt>
                              <ClmnBlkPtProps>
                                <CBPT>5</CBPT>
                                <ST>38</ST>
                                <SON>5</SON>
                                <MC>True</MC>
                                <VOFFF><![CDATA[Balance Sheet]]></VOFFF>
                              </ClmnBlkPtProps>
                            </ClmnBlkPt>
                          </ClmnBlkPts>
                        </ClmnBlk>
                      </ClmnBlks>
                      <TtlCtg>
                        <TtlCtgProps>
                          <R>3</R>
                        </TtlCtgProps>
                      </TtlCtg>
                    </Elmt>
                    <Elmt>
                      <ElmtProps>
                        <CPT>2</CPT>
                      </ElmtProps>
                      <TtlCtg>
                        <TtlCtgProps>
                          <R>3</R>
                        </TtlCtgProps>
                      </TtlCtg>
                    </Elmt>
                    <Elmt>
                      <ElmtProps>
                        <CPT>2</CPT>
                      </ElmtProps>
                      <ClmnBlks>
                        <ClmnBlk>
                          <ClmnBlkProps>
                            <FCPT>0</FCPT>
                            <FCN>2</FCN>
                            <LCPT>0</LCPT>
                            <LCN>2</LCN>
                          </ClmnBlkProps>
                          <ClmnBlkPts>
                            <ClmnBlkPt>
                              <ClmnBlkPtProps>
                                <CBPT>5</CBPT>
                                <ST>39</ST>
                                <VOFFF><![CDATA[=§A¿0,1,0,1,93,1,1,-1,0,0,TRUE,FALSE§Z¿]]></VOFFF>
                              </ClmnBlkPtProps>
                            </ClmnBlkPt>
                          </ClmnBlkPts>
                        </ClmnBlk>
                        <ClmnBlk>
                          <ClmnBlkProps>
                            <FCPT>0</FCPT>
                            <FCN>5</FCN>
                            <LCPT>0</LCPT>
                            <LCN>16</LCN>
                          </ClmnBlkProps>
                          <ClmnBlkPts>
                            <ClmnBlkPt>
                              <ClmnBlkPtProps>
                                <CBPT>5</CBPT>
                                <ST>39</ST>
                                <SON>7</SON>
                                <VOFFF><![CDATA[=§A¿0,1,0,1,93,2,1,-1,0,0,TRUE,FALSE§Z¿]]></VOFFF>
                              </ClmnBlkPtProps>
                            </ClmnBlkPt>
                          </ClmnBlkPts>
                        </ClmnBlk>
                        <ClmnBlk>
                          <ClmnBlkProps>
                            <FCPT>0</FCPT>
                            <FCN>17</FCN>
                            <LCPT>0</LCPT>
                            <LCN>17</LCN>
                          </ClmnBlkProps>
                          <ClmnBlkPts>
                            <ClmnBlkPt>
                              <ClmnBlkPtProps>
                                <CBPT>5</CBPT>
                                <ST>39</ST>
                                <SON>10</SON>
                                <VOFFF><![CDATA[=§A¿0,1,0,1,28,2,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Cash]]></VOFFF>
                              </ClmnBlkPtProps>
                            </ClmnBlkPt>
                          </ClmnBlkPts>
                        </ClmnBlk>
                        <ClmnBlk>
                          <ClmnBlkProps>
                            <FCPT>0</FCPT>
                            <FCN>5</FCN>
                            <LCPT>0</LCPT>
                            <LCN>16</LCN>
                          </ClmnBlkProps>
                          <ClmnBlkPts>
                            <ClmnBlkPt>
                              <ClmnBlkPtProps>
                                <CBPT>5</CBPT>
                                <ST>42</ST>
                                <SON>22</SON>
                                <VOFFF><![CDATA[0]]></VOFFF>
                              </ClmnBlkPtProps>
                              <LnkInForms>
                                <LnkInForm>
                                  <LnkInFormProps>
                                    <CBPLI>1,1,29,2,1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29,2,1,-1,1,0,FALSE,FALSE§Z¿]]></VOFFF>
                              </ClmnBlkPtProps>
                            </ClmnBlkPt>
                          </ClmnBlkPts>
                        </ClmnBlk>
                      </ClmnBlks>
                      <TtlCtg>
                        <TtlCtgProps>
                          <R>3</R>
                        </TtlCtgProps>
                        <LnkIn>
                          <LnkInProps>
                            <MN>58</MN>
                            <CLI>1,1,29,True,0</CLI>
                            <ELN>1</ELN>
                            <LOOT>2</LOOT>
                            <LOMN>5</LOMN>
                            <LOMCN>1</LOMCN>
                            <LOSN>1</LOSN>
                            <LOEN>6</LOEN>
                            <LOCN>0</LOCN>
                          </LnkInProps>
                        </LnkIn>
                      </TtlCtg>
                      <ElmtLnksIn>
                        <ElmtLnk>
                          <ElmtLnkProps>
                            <ELI>1,1,29</ELI>
                            <ELN>1</ELN>
                            <ELGN>1</ELGN>
                            <MLG>94F7C237-741F-486A-887E-D225C751D340</MLG>
                            <ICBI>2</ICBI>
                            <ILBN/>
                            <LIBN>0</LIBN>
                          </ElmtLnkProps>
                        </ElmtLnk>
                      </ElmtLnksIn>
                    </Elmt>
                    <Elmt>
                      <ElmtProps>
                        <CPT>2</CPT>
                      </ElmtProps>
                      <ClmnBlks>
                        <ClmnBlk>
                          <ClmnBlkProps>
                            <FCPT>0</FCPT>
                            <FCN>2</FCN>
                            <LCPT>0</LCPT>
                            <LCN>2</LCN>
                          </ClmnBlkProps>
                          <ClmnBlkPts>
                            <ClmnBlkPt>
                              <ClmnBlkPtProps>
                                <CBPT>5</CBPT>
                                <ST>40</ST>
                                <VOFFF><![CDATA[Debtors]]></VOFFF>
                              </ClmnBlkPtProps>
                            </ClmnBlkPt>
                          </ClmnBlkPts>
                        </ClmnBlk>
                        <ClmnBlk>
                          <ClmnBlkProps>
                            <FCPT>0</FCPT>
                            <FCN>5</FCN>
                            <LCPT>0</LCPT>
                            <LCN>16</LCN>
                          </ClmnBlkProps>
                          <ClmnBlkPts>
                            <ClmnBlkPt>
                              <ClmnBlkPtProps>
                                <CBPT>5</CBPT>
                                <ST>42</ST>
                                <SON>22</SON>
                                <VOFFF><![CDATA[0]]></VOFFF>
                              </ClmnBlkPtProps>
                              <LnkInForms>
                                <LnkInForm>
                                  <LnkInFormProps>
                                    <CBPLI>1,1,30,2,1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30,2,1,-1,1,0,FALSE,FALSE§Z¿]]></VOFFF>
                              </ClmnBlkPtProps>
                            </ClmnBlkPt>
                          </ClmnBlkPts>
                        </ClmnBlk>
                      </ClmnBlks>
                      <TtlCtg>
                        <TtlCtgProps>
                          <R>3</R>
                        </TtlCtgProps>
                        <LnkIn>
                          <LnkInProps>
                            <MN>58</MN>
                            <CLI>1,1,30,True,0</CLI>
                            <ELN>1</ELN>
                            <LOOT>2</LOOT>
                            <LOMN>5</LOMN>
                            <LOMCN>1</LOMCN>
                            <LOSN>1</LOSN>
                            <LOEN>8</LOEN>
                            <LOCN>0</LOCN>
                          </LnkInProps>
                        </LnkIn>
                      </TtlCtg>
                      <ElmtLnksIn>
                        <ElmtLnk>
                          <ElmtLnkProps>
                            <ELI>1,1,30</ELI>
                            <ELN>1</ELN>
                            <ELGN>1</ELGN>
                            <MLG>EA227218-F29D-459B-AFFF-2D5E7E13C382</MLG>
                            <ICBI>2</ICBI>
                            <ILBN/>
                            <LIBN>0</LIBN>
                          </ElmtLnkProps>
                        </ElmtLnk>
                      </ElmtLnksIn>
                    </Elmt>
                    <Elmt>
                      <ElmtProps>
                        <CPT>2</CPT>
                      </ElmtProps>
                      <ClmnBlks>
                        <ClmnBlk>
                          <ClmnBlkProps>
                            <FCPT>0</FCPT>
                            <FCN>2</FCN>
                            <LCPT>0</LCPT>
                            <LCN>2</LCN>
                          </ClmnBlkProps>
                          <ClmnBlkPts>
                            <ClmnBlkPt>
                              <ClmnBlkPtProps>
                                <CBPT>5</CBPT>
                                <ST>40</ST>
                                <VOFFF><![CDATA[Inventory]]></VOFFF>
                              </ClmnBlkPtProps>
                            </ClmnBlkPt>
                          </ClmnBlkPts>
                        </ClmnBlk>
                        <ClmnBlk>
                          <ClmnBlkProps>
                            <FCPT>0</FCPT>
                            <FCN>5</FCN>
                            <LCPT>0</LCPT>
                            <LCN>16</LCN>
                          </ClmnBlkProps>
                          <ClmnBlkPts>
                            <ClmnBlkPt>
                              <ClmnBlkPtProps>
                                <CBPT>5</CBPT>
                                <ST>42</ST>
                                <SON>22</SON>
                                <VOFFF><![CDATA[0]]></VOFFF>
                              </ClmnBlkPtProps>
                              <LnkInForms>
                                <LnkInForm>
                                  <LnkInFormProps>
                                    <CBPLI>1,1,31,2,1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31,2,1,-1,1,0,FALSE,FALSE§Z¿]]></VOFFF>
                              </ClmnBlkPtProps>
                            </ClmnBlkPt>
                          </ClmnBlkPts>
                        </ClmnBlk>
                      </ClmnBlks>
                      <TtlCtg>
                        <TtlCtgProps>
                          <R>3</R>
                        </TtlCtgProps>
                        <LnkIn>
                          <LnkInProps>
                            <MN>58</MN>
                            <CLI>1,1,31,True,0</CLI>
                            <ELN>1</ELN>
                            <LOOT>2</LOOT>
                            <LOMN>5</LOMN>
                            <LOMCN>1</LOMCN>
                            <LOSN>1</LOSN>
                            <LOEN>10</LOEN>
                            <LOCN>0</LOCN>
                          </LnkInProps>
                        </LnkIn>
                      </TtlCtg>
                      <ElmtLnksIn>
                        <ElmtLnk>
                          <ElmtLnkProps>
                            <ELI>1,1,31</ELI>
                            <ELN>1</ELN>
                            <ELGN>1</ELGN>
                            <MLG>8105F9CC-76A6-40A9-BB4A-ECB994E3CC52</MLG>
                            <ICBI>2</ICBI>
                            <ILBN/>
                            <LIBN>0</LIBN>
                          </ElmtLnkProps>
                        </ElmtLnk>
                      </ElmtLnksIn>
                    </Elmt>
                    <Elmt>
                      <ElmtProps>
                        <CPT>2</CPT>
                      </ElmtProps>
                      <ClmnBlks>
                        <ClmnBlk>
                          <ClmnBlkProps>
                            <FCPT>0</FCPT>
                            <FCN>2</FCN>
                            <LCPT>0</LCPT>
                            <LCN>2</LCN>
                          </ClmnBlkProps>
                          <ClmnBlkPts>
                            <ClmnBlkPt>
                              <ClmnBlkPtProps>
                                <CBPT>5</CBPT>
                                <ST>40</ST>
                                <VOFFF><![CDATA[Other Current Assets]]></VOFFF>
                              </ClmnBlkPtProps>
                            </ClmnBlkPt>
                          </ClmnBlkPts>
                        </ClmnBlk>
                        <ClmnBlk>
                          <ClmnBlkProps>
                            <FCPT>0</FCPT>
                            <FCN>5</FCN>
                            <LCPT>0</LCPT>
                            <LCN>16</LCN>
                          </ClmnBlkProps>
                          <ClmnBlkPts>
                            <ClmnBlkPt>
                              <ClmnBlkPtProps>
                                <CBPT>5</CBPT>
                                <ST>42</ST>
                                <SON>24</SON>
                                <VOFFF><![CDATA[=§A¿0,1,0,1,33,2,1,-1,0,0,FALSE,FALSE§Z¿-SUM(§A¿0,1,1,1,29,2,1,-1,0,0,FALSE,FALSE,1,31,2,1,-1,0,0,FALSE,FALSE§Z¿)]]></VOFFF>
                              </ClmnBlkPtProps>
                            </ClmnBlkPt>
                          </ClmnBlkPts>
                        </ClmnBlk>
                        <ClmnBlk>
                          <ClmnBlkProps>
                            <FCPT>0</FCPT>
                            <FCN>17</FCN>
                            <LCPT>0</LCPT>
                            <LCN>17</LCN>
                          </ClmnBlkProps>
                          <ClmnBlkPts>
                            <ClmnBlkPt>
                              <ClmnBlkPtProps>
                                <CBPT>5</CBPT>
                                <ST>42</ST>
                                <SON>33</SON>
                                <VOFFF><![CDATA[=§A¿0,1,0,1,32,2,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40</ST>
                                <SON>9</SON>
                                <VOFFF><![CDATA[Current Assets]]></VOFFF>
                              </ClmnBlkPtProps>
                              <LnkInForms>
                                <LnkInForm>
                                  <LnkInFormProps>
                                    <CBPLI>1,1,33,1,1</CBPLI>
                                    <ELN>1</ELN>
                                    <FFF/>
                                  </LnkInFormProps>
                                </LnkInForm>
                              </LnkInForms>
                            </ClmnBlkPt>
                          </ClmnBlkPts>
                        </ClmnBlk>
                        <ClmnBlk>
                          <ClmnBlkProps>
                            <FCPT>0</FCPT>
                            <FCN>5</FCN>
                            <LCPT>0</LCPT>
                            <LCN>16</LCN>
                          </ClmnBlkProps>
                          <ClmnBlkPts>
                            <ClmnBlkPt>
                              <ClmnBlkPtProps>
                                <CBPT>5</CBPT>
                                <ST>42</ST>
                                <SON>25</SON>
                                <VOFFF><![CDATA[0]]></VOFFF>
                              </ClmnBlkPtProps>
                              <LnkInForms>
                                <LnkInForm>
                                  <LnkInFormProps>
                                    <CBPLI>1,1,33,2,1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32</SON>
                                <VOFFF><![CDATA[=§A¿0,1,0,1,33,2,1,-1,1,0,FALSE,FALSE§Z¿]]></VOFFF>
                                <UDAV><![CDATA[0]]></UDAV>
                              </ClmnBlkPtProps>
                              <LnkInForms>
                                <LnkInForm>
                                  <LnkInFormProps>
                                    <CBPLI>1,1,33,3,1</CBPLI>
                                    <ELN>1</ELN>
                                    <FFF/>
                                  </LnkInFormProps>
                                </LnkInForm>
                              </LnkInForms>
                            </ClmnBlkPt>
                          </ClmnBlkPts>
                        </ClmnBlk>
                      </ClmnBlks>
                      <TtlCtg>
                        <TtlCtgProps>
                          <R>3</R>
                        </TtlCtgProps>
                        <LnkIn>
                          <LnkInProps>
                            <MN>58</MN>
                            <CLI>1,1,33,True,0</CLI>
                            <ELN>1</ELN>
                            <LOOT>2</LOOT>
                            <LOMN>5</LOMN>
                            <LOMCN>1</LOMCN>
                            <LOSN>1</LOSN>
                            <LOEN>14</LOEN>
                            <LOCN>0</LOCN>
                          </LnkInProps>
                        </LnkIn>
                      </TtlCtg>
                      <ElmtLnksIn>
                        <ElmtLnk>
                          <ElmtLnkProps>
                            <ELI>1,1,33</ELI>
                            <ELN>1</ELN>
                            <ELGN>1</ELGN>
                            <MLG>05669348-3946-4025-8A8C-5E6839DA7E46</MLG>
                            <ICBI>2</ICBI>
                            <ILBN/>
                            <LIBN>0</LIBN>
                          </ElmtLnkProps>
                        </ElmtLnk>
                      </ElmtLnksIn>
                    </Elmt>
                    <Elmt>
                      <ElmtProps>
                        <CPT>2</CPT>
                      </ElmtProps>
                      <ClmnBlks>
                        <ClmnBlk>
                          <ClmnBlkProps>
                            <FCPT>0</FCPT>
                            <FCN>2</FCN>
                            <LCPT>0</LCPT>
                            <LCN>2</LCN>
                          </ClmnBlkProps>
                          <ClmnBlkPts>
                            <ClmnBlkPt>
                              <ClmnBlkPtProps>
                                <CBPT>5</CBPT>
                                <ST>40</ST>
                                <VOFFF><![CDATA[Fixed Assets]]></VOFFF>
                              </ClmnBlkPtProps>
                            </ClmnBlkPt>
                          </ClmnBlkPts>
                        </ClmnBlk>
                        <ClmnBlk>
                          <ClmnBlkProps>
                            <FCPT>0</FCPT>
                            <FCN>5</FCN>
                            <LCPT>0</LCPT>
                            <LCN>16</LCN>
                          </ClmnBlkProps>
                          <ClmnBlkPts>
                            <ClmnBlkPt>
                              <ClmnBlkPtProps>
                                <CBPT>5</CBPT>
                                <ST>42</ST>
                                <SON>22</SON>
                                <VOFFF><![CDATA[0]]></VOFFF>
                              </ClmnBlkPtProps>
                              <LnkInForms>
                                <LnkInForm>
                                  <LnkInFormProps>
                                    <CBPLI>1,1,34,2,1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34,2,1,-1,1,0,FALSE,FALSE§Z¿]]></VOFFF>
                              </ClmnBlkPtProps>
                            </ClmnBlkPt>
                          </ClmnBlkPts>
                        </ClmnBlk>
                      </ClmnBlks>
                      <TtlCtg>
                        <TtlCtgProps>
                          <R>3</R>
                        </TtlCtgProps>
                        <LnkIn>
                          <LnkInProps>
                            <MN>58</MN>
                            <CLI>1,1,34,True,0</CLI>
                            <ELN>1</ELN>
                            <LOOT>2</LOOT>
                            <LOMN>5</LOMN>
                            <LOMCN>1</LOMCN>
                            <LOSN>1</LOSN>
                            <LOEN>16</LOEN>
                            <LOCN>0</LOCN>
                          </LnkInProps>
                        </LnkIn>
                      </TtlCtg>
                      <ElmtLnksIn>
                        <ElmtLnk>
                          <ElmtLnkProps>
                            <ELI>1,1,34</ELI>
                            <ELN>1</ELN>
                            <ELGN>1</ELGN>
                            <MLG>2D06CAA3-9F23-4722-8801-31E1A3DE3C87</MLG>
                            <ICBI>2</ICBI>
                            <ILBN/>
                            <LIBN>0</LIBN>
                          </ElmtLnkProps>
                        </ElmtLnk>
                      </ElmtLnksIn>
                    </Elmt>
                    <Elmt>
                      <ElmtProps>
                        <CPT>2</CPT>
                      </ElmtProps>
                      <ClmnBlks>
                        <ClmnBlk>
                          <ClmnBlkProps>
                            <FCPT>0</FCPT>
                            <FCN>2</FCN>
                            <LCPT>0</LCPT>
                            <LCN>2</LCN>
                          </ClmnBlkProps>
                          <ClmnBlkPts>
                            <ClmnBlkPt>
                              <ClmnBlkPtProps>
                                <CBPT>5</CBPT>
                                <ST>40</ST>
                                <VOFFF><![CDATA[Other Non-Current Assets]]></VOFFF>
                              </ClmnBlkPtProps>
                            </ClmnBlkPt>
                          </ClmnBlkPts>
                        </ClmnBlk>
                        <ClmnBlk>
                          <ClmnBlkProps>
                            <FCPT>0</FCPT>
                            <FCN>5</FCN>
                            <LCPT>0</LCPT>
                            <LCN>16</LCN>
                          </ClmnBlkProps>
                          <ClmnBlkPts>
                            <ClmnBlkPt>
                              <ClmnBlkPtProps>
                                <CBPT>5</CBPT>
                                <ST>42</ST>
                                <SON>24</SON>
                                <VOFFF><![CDATA[=§A¿0,1,0,1,36,2,1,-1,0,0,FALSE,FALSE§Z¿-§A¿0,1,0,1,34,2,1,-1,0,0,FALSE,FALSE§Z¿]]></VOFFF>
                              </ClmnBlkPtProps>
                            </ClmnBlkPt>
                          </ClmnBlkPts>
                        </ClmnBlk>
                        <ClmnBlk>
                          <ClmnBlkProps>
                            <FCPT>0</FCPT>
                            <FCN>17</FCN>
                            <LCPT>0</LCPT>
                            <LCN>17</LCN>
                          </ClmnBlkProps>
                          <ClmnBlkPts>
                            <ClmnBlkPt>
                              <ClmnBlkPtProps>
                                <CBPT>5</CBPT>
                                <ST>42</ST>
                                <SON>33</SON>
                                <VOFFF><![CDATA[=§A¿0,1,0,1,35,2,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39</ST>
                                <VOFFF><![CDATA[Non-Current Assets]]></VOFFF>
                              </ClmnBlkPtProps>
                              <LnkInForms>
                                <LnkInForm>
                                  <LnkInFormProps>
                                    <CBPLI>1,1,36,1,1</CBPLI>
                                    <ELN>1</ELN>
                                    <FFF/>
                                  </LnkInFormProps>
                                </LnkInForm>
                              </LnkInForms>
                            </ClmnBlkPt>
                          </ClmnBlkPts>
                        </ClmnBlk>
                        <ClmnBlk>
                          <ClmnBlkProps>
                            <FCPT>0</FCPT>
                            <FCN>5</FCN>
                            <LCPT>0</LCPT>
                            <LCN>16</LCN>
                          </ClmnBlkProps>
                          <ClmnBlkPts>
                            <ClmnBlkPt>
                              <ClmnBlkPtProps>
                                <CBPT>5</CBPT>
                                <ST>42</ST>
                                <SON>36</SON>
                                <VOFFF><![CDATA[0]]></VOFFF>
                              </ClmnBlkPtProps>
                              <LnkInForms>
                                <LnkInForm>
                                  <LnkInFormProps>
                                    <CBPLI>1,1,36,2,1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37</SON>
                                <VOFFF><![CDATA[=§A¿0,1,0,1,36,2,1,-1,1,0,FALSE,FALSE§Z¿]]></VOFFF>
                                <UDAV><![CDATA[0]]></UDAV>
                              </ClmnBlkPtProps>
                              <LnkInForms>
                                <LnkInForm>
                                  <LnkInFormProps>
                                    <CBPLI>1,1,36,3,1</CBPLI>
                                    <ELN>1</ELN>
                                    <FFF/>
                                  </LnkInFormProps>
                                </LnkInForm>
                              </LnkInForms>
                            </ClmnBlkPt>
                          </ClmnBlkPts>
                        </ClmnBlk>
                      </ClmnBlks>
                      <TtlCtg>
                        <TtlCtgProps>
                          <R>3</R>
                        </TtlCtgProps>
                        <LnkIn>
                          <LnkInProps>
                            <MN>58</MN>
                            <CLI>1,1,36,True,0</CLI>
                            <ELN>1</ELN>
                            <LOOT>2</LOOT>
                            <LOMN>5</LOMN>
                            <LOMCN>1</LOMCN>
                            <LOSN>1</LOSN>
                            <LOEN>20</LOEN>
                            <LOCN>0</LOCN>
                          </LnkInProps>
                        </LnkIn>
                      </TtlCtg>
                      <ElmtLnksIn>
                        <ElmtLnk>
                          <ElmtLnkProps>
                            <ELI>1,1,36</ELI>
                            <ELN>1</ELN>
                            <ELGN>1</ELGN>
                            <MLG>8D4D7E57-F13B-4D83-B1BB-8A242EC8FC85</MLG>
                            <ICBI>2</ICBI>
                            <ILBN/>
                            <LIBN>0</LIBN>
                          </ElmtLnkProps>
                        </ElmtLnk>
                      </ElmtLnksIn>
                    </Elmt>
                    <Elmt>
                      <ElmtProps>
                        <CPT>2</CPT>
                      </ElmtProps>
                      <ClmnBlks>
                        <ClmnBlk>
                          <ClmnBlkProps>
                            <FCPT>0</FCPT>
                            <FCN>2</FCN>
                            <LCPT>0</LCPT>
                            <LCN>2</LCN>
                          </ClmnBlkProps>
                          <ClmnBlkPts>
                            <ClmnBlkPt>
                              <ClmnBlkPtProps>
                                <CBPT>5</CBPT>
                                <ST>39</ST>
                                <VOFFF><![CDATA[Total Assets]]></VOFFF>
                              </ClmnBlkPtProps>
                            </ClmnBlkPt>
                          </ClmnBlkPts>
                        </ClmnBlk>
                        <ClmnBlk>
                          <ClmnBlkProps>
                            <FCPT>0</FCPT>
                            <FCN>5</FCN>
                            <LCPT>0</LCPT>
                            <LCN>16</LCN>
                          </ClmnBlkProps>
                          <ClmnBlkPts>
                            <ClmnBlkPt>
                              <ClmnBlkPtProps>
                                <CBPT>5</CBPT>
                                <ST>42</ST>
                                <SON>34</SON>
                                <VOFFF><![CDATA[=§A¿0,1,0,1,33,2,1,-1,0,0,FALSE,FALSE§Z¿+§A¿0,1,0,1,36,2,1,-1,0,0,FALSE,FALSE§Z¿]]></VOFFF>
                              </ClmnBlkPtProps>
                            </ClmnBlkPt>
                          </ClmnBlkPts>
                        </ClmnBlk>
                        <ClmnBlk>
                          <ClmnBlkProps>
                            <FCPT>0</FCPT>
                            <FCN>17</FCN>
                            <LCPT>0</LCPT>
                            <LCN>17</LCN>
                          </ClmnBlkProps>
                          <ClmnBlkPts>
                            <ClmnBlkPt>
                              <ClmnBlkPtProps>
                                <CBPT>5</CBPT>
                                <ST>42</ST>
                                <SON>35</SON>
                                <VOFFF><![CDATA[=§A¿0,1,0,1,37,2,1,-1,1,0,FALSE,FALSE§Z¿]]></VOFFF>
                                <UDAV><![CDATA[0]]></UDAV>
                              </ClmnBlkPtProps>
                            </ClmnBlkPt>
                          </ClmnBlkPts>
                        </ClmnBlk>
                      </ClmnBlks>
                      <TtlCtg>
                        <TtlCtgProps>
                          <R>3</R>
                        </TtlCtgProps>
                      </TtlCtg>
                    </Elmt>
                    <Elmt>
                      <ElmtProps>
                        <CPT>2</CPT>
                      </ElmtProps>
                      <ClmnBlks>
                        <ClmnBlk>
                          <ClmnBlkProps>
                            <FCPT>0</FCPT>
                            <FCN>2</FCN>
                            <LCPT>0</LCPT>
                            <LCN>2</LCN>
                          </ClmnBlkProps>
                          <ClmnBlkPts>
                            <ClmnBlkPt>
                              <ClmnBlkPtProps>
                                <CBPT>5</CBPT>
                                <ST>40</ST>
                                <VOFFF><![CDATA[Accounts Payable]]></VOFFF>
                              </ClmnBlkPtProps>
                            </ClmnBlkPt>
                          </ClmnBlkPts>
                        </ClmnBlk>
                        <ClmnBlk>
                          <ClmnBlkProps>
                            <FCPT>0</FCPT>
                            <FCN>5</FCN>
                            <LCPT>0</LCPT>
                            <LCN>16</LCN>
                          </ClmnBlkProps>
                          <ClmnBlkPts>
                            <ClmnBlkPt>
                              <ClmnBlkPtProps>
                                <CBPT>5</CBPT>
                                <ST>42</ST>
                                <SON>22</SON>
                                <VOFFF><![CDATA[0]]></VOFFF>
                              </ClmnBlkPtProps>
                              <LnkInForms>
                                <LnkInForm>
                                  <LnkInFormProps>
                                    <CBPLI>1,1,38,2,1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38,2,1,-1,1,0,FALSE,FALSE§Z¿]]></VOFFF>
                              </ClmnBlkPtProps>
                            </ClmnBlkPt>
                          </ClmnBlkPts>
                        </ClmnBlk>
                      </ClmnBlks>
                      <TtlCtg>
                        <TtlCtgProps>
                          <R>3</R>
                        </TtlCtgProps>
                        <LnkIn>
                          <LnkInProps>
                            <MN>58</MN>
                            <CLI>1,1,38,True,0</CLI>
                            <ELN>1</ELN>
                            <LOOT>2</LOOT>
                            <LOMN>5</LOMN>
                            <LOMCN>1</LOMCN>
                            <LOSN>1</LOSN>
                            <LOEN>28</LOEN>
                            <LOCN>0</LOCN>
                          </LnkInProps>
                        </LnkIn>
                      </TtlCtg>
                      <ElmtLnksIn>
                        <ElmtLnk>
                          <ElmtLnkProps>
                            <ELI>1,1,38</ELI>
                            <ELN>1</ELN>
                            <ELGN>1</ELGN>
                            <MLG>BC8B1426-5FBA-4B7D-AFF1-518FB6BEED51</MLG>
                            <ICBI>2</ICBI>
                            <ILBN/>
                            <LIBN>0</LIBN>
                          </ElmtLnkProps>
                        </ElmtLnk>
                      </ElmtLnksIn>
                    </Elmt>
                    <Elmt>
                      <ElmtProps>
                        <CPT>2</CPT>
                      </ElmtProps>
                      <ClmnBlks>
                        <ClmnBlk>
                          <ClmnBlkProps>
                            <FCPT>0</FCPT>
                            <FCN>2</FCN>
                            <LCPT>0</LCPT>
                            <LCN>2</LCN>
                          </ClmnBlkProps>
                          <ClmnBlkPts>
                            <ClmnBlkPt>
                              <ClmnBlkPtProps>
                                <CBPT>5</CBPT>
                                <ST>40</ST>
                                <VOFFF><![CDATA[VAT Payable]]></VOFFF>
                              </ClmnBlkPtProps>
                            </ClmnBlkPt>
                          </ClmnBlkPts>
                        </ClmnBlk>
                        <ClmnBlk>
                          <ClmnBlkProps>
                            <FCPT>0</FCPT>
                            <FCN>5</FCN>
                            <LCPT>0</LCPT>
                            <LCN>16</LCN>
                          </ClmnBlkProps>
                          <ClmnBlkPts>
                            <ClmnBlkPt>
                              <ClmnBlkPtProps>
                                <CBPT>5</CBPT>
                                <ST>42</ST>
                                <SON>22</SON>
                                <VOFFF><![CDATA[0]]></VOFFF>
                              </ClmnBlkPtProps>
                              <LnkInForms>
                                <LnkInForm>
                                  <LnkInFormProps>
                                    <CBPLI>1,1,39,2,1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39,2,1,-1,1,0,FALSE,FALSE§Z¿]]></VOFFF>
                              </ClmnBlkPtProps>
                            </ClmnBlkPt>
                          </ClmnBlkPts>
                        </ClmnBlk>
                      </ClmnBlks>
                      <TtlCtg>
                        <TtlCtgProps>
                          <R>3</R>
                        </TtlCtgProps>
                        <LnkIn>
                          <LnkInProps>
                            <MN>58</MN>
                            <CLI>1,1,39,True,0</CLI>
                            <ELN>1</ELN>
                            <LOOT>2</LOOT>
                            <LOMN>5</LOMN>
                            <LOMCN>1</LOMCN>
                            <LOSN>1</LOSN>
                            <LOEN>30</LOEN>
                            <LOCN>0</LOCN>
                          </LnkInProps>
                        </LnkIn>
                      </TtlCtg>
                      <ElmtLnksIn>
                        <ElmtLnk>
                          <ElmtLnkProps>
                            <ELI>1,1,39</ELI>
                            <ELN>1</ELN>
                            <ELGN>1</ELGN>
                            <MLG>7B323F1A-39A9-4B60-BCEE-A78B98DA5752</MLG>
                            <ICBI>2</ICBI>
                            <ILBN/>
                            <LIBN>0</LIBN>
                          </ElmtLnkProps>
                        </ElmtLnk>
                      </ElmtLnksIn>
                    </Elmt>
                    <Elmt>
                      <ElmtProps>
                        <CPT>2</CPT>
                      </ElmtProps>
                      <ClmnBlks>
                        <ClmnBlk>
                          <ClmnBlkProps>
                            <FCPT>0</FCPT>
                            <FCN>2</FCN>
                            <LCPT>0</LCPT>
                            <LCN>2</LCN>
                          </ClmnBlkProps>
                          <ClmnBlkPts>
                            <ClmnBlkPt>
                              <ClmnBlkPtProps>
                                <CBPT>5</CBPT>
                                <ST>40</ST>
                                <VOFFF><![CDATA[Corporate Tax Payable]]></VOFFF>
                              </ClmnBlkPtProps>
                            </ClmnBlkPt>
                          </ClmnBlkPts>
                        </ClmnBlk>
                        <ClmnBlk>
                          <ClmnBlkProps>
                            <FCPT>0</FCPT>
                            <FCN>5</FCN>
                            <LCPT>0</LCPT>
                            <LCN>16</LCN>
                          </ClmnBlkProps>
                          <ClmnBlkPts>
                            <ClmnBlkPt>
                              <ClmnBlkPtProps>
                                <CBPT>5</CBPT>
                                <ST>42</ST>
                                <SON>22</SON>
                                <VOFFF><![CDATA[0]]></VOFFF>
                              </ClmnBlkPtProps>
                              <LnkInForms>
                                <LnkInForm>
                                  <LnkInFormProps>
                                    <CBPLI>1,1,40,2,1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40,2,1,-1,1,0,FALSE,FALSE§Z¿]]></VOFFF>
                              </ClmnBlkPtProps>
                            </ClmnBlkPt>
                          </ClmnBlkPts>
                        </ClmnBlk>
                      </ClmnBlks>
                      <TtlCtg>
                        <TtlCtgProps>
                          <R>3</R>
                        </TtlCtgProps>
                        <LnkIn>
                          <LnkInProps>
                            <MN>58</MN>
                            <CLI>1,1,40,True,0</CLI>
                            <ELN>1</ELN>
                            <LOOT>2</LOOT>
                            <LOMN>5</LOMN>
                            <LOMCN>1</LOMCN>
                            <LOSN>1</LOSN>
                            <LOEN>32</LOEN>
                            <LOCN>0</LOCN>
                          </LnkInProps>
                        </LnkIn>
                      </TtlCtg>
                      <ElmtLnksIn>
                        <ElmtLnk>
                          <ElmtLnkProps>
                            <ELI>1,1,40</ELI>
                            <ELN>1</ELN>
                            <ELGN>1</ELGN>
                            <MLG>0B5692E0-B3EC-485C-A17F-A34930ACC896</MLG>
                            <ICBI>2</ICBI>
                            <ILBN/>
                            <LIBN>0</LIBN>
                          </ElmtLnkProps>
                        </ElmtLnk>
                      </ElmtLnksIn>
                    </Elmt>
                    <Elmt>
                      <ElmtProps>
                        <CPT>2</CPT>
                      </ElmtProps>
                      <ClmnBlks>
                        <ClmnBlk>
                          <ClmnBlkProps>
                            <FCPT>0</FCPT>
                            <FCN>2</FCN>
                            <LCPT>0</LCPT>
                            <LCN>2</LCN>
                          </ClmnBlkProps>
                          <ClmnBlkPts>
                            <ClmnBlkPt>
                              <ClmnBlkPtProps>
                                <CBPT>5</CBPT>
                                <ST>40</ST>
                                <VOFFF><![CDATA[Interest Payable]]></VOFFF>
                              </ClmnBlkPtProps>
                            </ClmnBlkPt>
                          </ClmnBlkPts>
                        </ClmnBlk>
                        <ClmnBlk>
                          <ClmnBlkProps>
                            <FCPT>0</FCPT>
                            <FCN>5</FCN>
                            <LCPT>0</LCPT>
                            <LCN>16</LCN>
                          </ClmnBlkProps>
                          <ClmnBlkPts>
                            <ClmnBlkPt>
                              <ClmnBlkPtProps>
                                <CBPT>5</CBPT>
                                <ST>42</ST>
                                <SON>22</SON>
                                <VOFFF><![CDATA[0]]></VOFFF>
                              </ClmnBlkPtProps>
                              <LnkInForms>
                                <LnkInForm>
                                  <LnkInFormProps>
                                    <CBPLI>1,1,41,2,1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41,2,1,-1,1,0,FALSE,FALSE§Z¿]]></VOFFF>
                              </ClmnBlkPtProps>
                            </ClmnBlkPt>
                          </ClmnBlkPts>
                        </ClmnBlk>
                      </ClmnBlks>
                      <TtlCtg>
                        <TtlCtgProps>
                          <R>3</R>
                        </TtlCtgProps>
                        <LnkIn>
                          <LnkInProps>
                            <MN>58</MN>
                            <CLI>1,1,41,True,0</CLI>
                            <ELN>1</ELN>
                            <LOOT>2</LOOT>
                            <LOMN>5</LOMN>
                            <LOMCN>1</LOMCN>
                            <LOSN>1</LOSN>
                            <LOEN>38</LOEN>
                            <LOCN>0</LOCN>
                          </LnkInProps>
                        </LnkIn>
                      </TtlCtg>
                      <ShpNmes>
                        <ShpNme>
                          <ShpNmeProps>
                            <ELI>1,1,41</ELI>
                            <COSTN>0</COSTN>
                            <ST>3</ST>
                            <SNPT>2</SNPT>
                            <N><![CDATA[bpmShapeFs_Sum3]]></N>
                            <SHN>15</SHN>
                            <SHTN>3</SHTN>
                          </ShpNmeProps>
                        </ShpNme>
                        <ShpNme>
                          <ShpNmeProps>
                            <ELI>1,1,41</ELI>
                            <COSTN>0</COSTN>
                            <ST>3</ST>
                            <SNPT>2</SNPT>
                            <N><![CDATA[bpmShapeFs_Sum4]]></N>
                            <SHN>16</SHN>
                            <SHTN>4</SHTN>
                          </ShpNmeProps>
                        </ShpNme>
                      </ShpNmes>
                      <ElmtLnksIn>
                        <ElmtLnk>
                          <ElmtLnkProps>
                            <ELI>1,1,41</ELI>
                            <ELN>1</ELN>
                            <ELGN>1</ELGN>
                            <MLG>822F62BE-B2D4-4BB2-80E9-F023BC0D7783</MLG>
                            <ICBI>2</ICBI>
                            <ILBN/>
                            <LIBN>0</LIBN>
                          </ElmtLnkProps>
                        </ElmtLnk>
                      </ElmtLnksIn>
                    </Elmt>
                    <Elmt>
                      <ElmtProps>
                        <CPT>2</CPT>
                      </ElmtProps>
                      <ClmnBlks>
                        <ClmnBlk>
                          <ClmnBlkProps>
                            <FCPT>0</FCPT>
                            <FCN>2</FCN>
                            <LCPT>0</LCPT>
                            <LCN>2</LCN>
                          </ClmnBlkProps>
                          <ClmnBlkPts>
                            <ClmnBlkPt>
                              <ClmnBlkPtProps>
                                <CBPT>5</CBPT>
                                <ST>40</ST>
                                <VOFFF><![CDATA[Dividends Payable]]></VOFFF>
                              </ClmnBlkPtProps>
                            </ClmnBlkPt>
                          </ClmnBlkPts>
                        </ClmnBlk>
                        <ClmnBlk>
                          <ClmnBlkProps>
                            <FCPT>0</FCPT>
                            <FCN>5</FCN>
                            <LCPT>0</LCPT>
                            <LCN>16</LCN>
                          </ClmnBlkProps>
                          <ClmnBlkPts>
                            <ClmnBlkPt>
                              <ClmnBlkPtProps>
                                <CBPT>5</CBPT>
                                <ST>42</ST>
                                <SON>22</SON>
                                <VOFFF><![CDATA[0]]></VOFFF>
                              </ClmnBlkPtProps>
                              <LnkInForms>
                                <LnkInForm>
                                  <LnkInFormProps>
                                    <CBPLI>1,1,42,2,1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42,2,1,-1,1,0,FALSE,FALSE§Z¿]]></VOFFF>
                              </ClmnBlkPtProps>
                            </ClmnBlkPt>
                          </ClmnBlkPts>
                        </ClmnBlk>
                        <ClmnBlk>
                          <ClmnBlkProps>
                            <FCPT>0</FCPT>
                            <FCN>19</FCN>
                            <LCPT>0</LCPT>
                            <LCN>24</LCN>
                          </ClmnBlkProps>
                          <ClmnBlkPts>
                            <ClmnBlkPt>
                              <ClmnBlkPtProps>
                                <CBPT>5</CBPT>
                                <ST>38</ST>
                                <SON>5</SON>
                                <MC>True</MC>
                                <VOFFF><![CDATA[Net Assets]]></VOFFF>
                              </ClmnBlkPtProps>
                            </ClmnBlkPt>
                          </ClmnBlkPts>
                        </ClmnBlk>
                        <ClmnBlk>
                          <ClmnBlkProps>
                            <FCPT>0</FCPT>
                            <FCN>25</FCN>
                            <LCPT>0</LCPT>
                            <LCN>29</LCN>
                          </ClmnBlkProps>
                          <ClmnBlkPts>
                            <ClmnBlkPt>
                              <ClmnBlkPtProps>
                                <CBPT>5</CBPT>
                                <ST>38</ST>
                                <SON>5</SON>
                                <MC>True</MC>
                                <VOFFF><![CDATA[="       Net Assets Reconciliation - "&§A¿0,1,0,1,28,3,1,-1,0,0,FALSE,FALSE§Z¿]]></VOFFF>
                              </ClmnBlkPtProps>
                            </ClmnBlkPt>
                          </ClmnBlkPts>
                        </ClmnBlk>
                        <ClmnBlk>
                          <ClmnBlkProps>
                            <FCPT>0</FCPT>
                            <FCN>30</FCN>
                            <LCPT>0</LCPT>
                            <LCN>34</LCN>
                          </ClmnBlkProps>
                          <ClmnBlkPts>
                            <ClmnBlkPt>
                              <ClmnBlkPtProps>
                                <CBPT>5</CBPT>
                                <ST>38</ST>
                                <SON>5</SON>
                                <MC>True</MC>
                                <VOFFF><![CDATA[       Revenue Depth]]></VOFFF>
                              </ClmnBlkPtProps>
                            </ClmnBlkPt>
                          </ClmnBlkPts>
                        </ClmnBlk>
                      </ClmnBlks>
                      <TtlCtg>
                        <TtlCtgProps>
                          <R>3</R>
                        </TtlCtgProps>
                        <LnkIn>
                          <LnkInProps>
                            <MN>58</MN>
                            <CLI>1,1,42,True,0</CLI>
                            <ELN>1</ELN>
                            <LOOT>2</LOOT>
                            <LOMN>5</LOMN>
                            <LOMCN>1</LOMCN>
                            <LOSN>1</LOSN>
                            <LOEN>40</LOEN>
                            <LOCN>0</LOCN>
                          </LnkInProps>
                        </LnkIn>
                      </TtlCtg>
                      <ShpNmes>
                        <ShpNme>
                          <ShpNmeProps>
                            <ELI>1,1,42</ELI>
                            <COSTN>0</COSTN>
                            <ST>2</ST>
                            <SNPT>2</SNPT>
                            <N><![CDATA[bpmChartFs_Sum13]]></N>
                            <SHN>6</SHN>
                            <SHTN>4</SHTN>
                          </ShpNmeProps>
                        </ShpNme>
                      </ShpNmes>
                      <ElmtLnksIn>
                        <ElmtLnk>
                          <ElmtLnkProps>
                            <ELI>1,1,42</ELI>
                            <ELN>1</ELN>
                            <ELGN>1</ELGN>
                            <MLG>55EBCC8E-00C6-4799-B8BF-901FC935C2B8</MLG>
                            <ICBI>2</ICBI>
                            <ILBN/>
                            <LIBN>0</LIBN>
                          </ElmtLnkProps>
                        </ElmtLnk>
                      </ElmtLnksIn>
                    </Elmt>
                    <Elmt>
                      <ElmtProps>
                        <CPT>2</CPT>
                      </ElmtProps>
                      <ClmnBlks>
                        <ClmnBlk>
                          <ClmnBlkProps>
                            <FCPT>0</FCPT>
                            <FCN>2</FCN>
                            <LCPT>0</LCPT>
                            <LCN>2</LCN>
                          </ClmnBlkProps>
                          <ClmnBlkPts>
                            <ClmnBlkPt>
                              <ClmnBlkPtProps>
                                <CBPT>5</CBPT>
                                <ST>40</ST>
                                <VOFFF><![CDATA[Other Current Liabilities]]></VOFFF>
                              </ClmnBlkPtProps>
                            </ClmnBlkPt>
                          </ClmnBlkPts>
                        </ClmnBlk>
                        <ClmnBlk>
                          <ClmnBlkProps>
                            <FCPT>0</FCPT>
                            <FCN>5</FCN>
                            <LCPT>0</LCPT>
                            <LCN>16</LCN>
                          </ClmnBlkProps>
                          <ClmnBlkPts>
                            <ClmnBlkPt>
                              <ClmnBlkPtProps>
                                <CBPT>5</CBPT>
                                <ST>42</ST>
                                <SON>24</SON>
                                <VOFFF><![CDATA[=§A¿0,1,0,1,44,2,1,-1,0,0,FALSE,FALSE§Z¿-SUM(§A¿0,1,1,1,38,2,1,-1,0,0,FALSE,FALSE,1,42,2,1,-1,0,0,FALSE,FALSE§Z¿)]]></VOFFF>
                              </ClmnBlkPtProps>
                            </ClmnBlkPt>
                          </ClmnBlkPts>
                        </ClmnBlk>
                        <ClmnBlk>
                          <ClmnBlkProps>
                            <FCPT>0</FCPT>
                            <FCN>17</FCN>
                            <LCPT>0</LCPT>
                            <LCN>17</LCN>
                          </ClmnBlkProps>
                          <ClmnBlkPts>
                            <ClmnBlkPt>
                              <ClmnBlkPtProps>
                                <CBPT>5</CBPT>
                                <ST>42</ST>
                                <SON>33</SON>
                                <VOFFF><![CDATA[=§A¿0,1,0,1,43,2,1,-1,1,0,FALSE,FALSE§Z¿]]></VOFFF>
                              </ClmnBlkPtProps>
                            </ClmnBlkPt>
                          </ClmnBlkPts>
                        </ClmnBlk>
                      </ClmnBlks>
                      <TtlCtg>
                        <TtlCtgProps>
                          <R>3</R>
                        </TtlCtgProps>
                      </TtlCtg>
                      <ShpNmes>
                        <ShpNme>
                          <ShpNmeProps>
                            <ELI>1,1,43</ELI>
                            <COSTN>0</COSTN>
                            <ST>2</ST>
                            <SNPT>2</SNPT>
                            <N><![CDATA[bpmChartFs_Sum11]]></N>
                            <SHN>4</SHN>
                            <SHTN>2</SHTN>
                          </ShpNmeProps>
                        </ShpNme>
                        <ShpNme>
                          <ShpNmeProps>
                            <ELI>1,1,43</ELI>
                            <COSTN>0</COSTN>
                            <ST>2</ST>
                            <SNPT>2</SNPT>
                            <N><![CDATA[bpmChartFs_Sum12]]></N>
                            <SHN>5</SHN>
                            <SHTN>3</SHTN>
                          </ShpNmeProps>
                        </ShpNme>
                      </ShpNmes>
                    </Elmt>
                    <Elmt>
                      <ElmtProps>
                        <CPT>2</CPT>
                      </ElmtProps>
                      <ClmnBlks>
                        <ClmnBlk>
                          <ClmnBlkProps>
                            <FCPT>0</FCPT>
                            <FCN>2</FCN>
                            <LCPT>0</LCPT>
                            <LCN>2</LCN>
                          </ClmnBlkProps>
                          <ClmnBlkPts>
                            <ClmnBlkPt>
                              <ClmnBlkPtProps>
                                <CBPT>5</CBPT>
                                <ST>40</ST>
                                <SON>9</SON>
                                <VOFFF><![CDATA[Current Liabilities]]></VOFFF>
                              </ClmnBlkPtProps>
                              <LnkInForms>
                                <LnkInForm>
                                  <LnkInFormProps>
                                    <CBPLI>1,1,44,1,1</CBPLI>
                                    <ELN>1</ELN>
                                    <FFF/>
                                  </LnkInFormProps>
                                </LnkInForm>
                              </LnkInForms>
                            </ClmnBlkPt>
                          </ClmnBlkPts>
                        </ClmnBlk>
                        <ClmnBlk>
                          <ClmnBlkProps>
                            <FCPT>0</FCPT>
                            <FCN>5</FCN>
                            <LCPT>0</LCPT>
                            <LCN>16</LCN>
                          </ClmnBlkProps>
                          <ClmnBlkPts>
                            <ClmnBlkPt>
                              <ClmnBlkPtProps>
                                <CBPT>5</CBPT>
                                <ST>42</ST>
                                <SON>25</SON>
                                <VOFFF><![CDATA[0]]></VOFFF>
                              </ClmnBlkPtProps>
                              <LnkInForms>
                                <LnkInForm>
                                  <LnkInFormProps>
                                    <CBPLI>1,1,44,2,1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32</SON>
                                <VOFFF><![CDATA[=§A¿0,1,0,1,44,2,1,-1,1,0,FALSE,FALSE§Z¿]]></VOFFF>
                              </ClmnBlkPtProps>
                              <LnkInForms>
                                <LnkInForm>
                                  <LnkInFormProps>
                                    <CBPLI>1,1,44,3,1</CBPLI>
                                    <ELN>1</ELN>
                                    <FFF/>
                                  </LnkInFormProps>
                                </LnkInForm>
                              </LnkInForms>
                            </ClmnBlkPt>
                          </ClmnBlkPts>
                        </ClmnBlk>
                      </ClmnBlks>
                      <TtlCtg>
                        <TtlCtgProps>
                          <R>3</R>
                        </TtlCtgProps>
                        <LnkIn>
                          <LnkInProps>
                            <MN>58</MN>
                            <CLI>1,1,44,True,0</CLI>
                            <ELN>1</ELN>
                            <LOOT>2</LOOT>
                            <LOMN>5</LOMN>
                            <LOMCN>1</LOMCN>
                            <LOSN>1</LOSN>
                            <LOEN>44</LOEN>
                            <LOCN>0</LOCN>
                          </LnkInProps>
                        </LnkIn>
                      </TtlCtg>
                      <ElmtLnksIn>
                        <ElmtLnk>
                          <ElmtLnkProps>
                            <ELI>1,1,44</ELI>
                            <ELN>1</ELN>
                            <ELGN>1</ELGN>
                            <MLG>FDFD081D-63E4-4865-AD83-37EF500C3698</MLG>
                            <ICBI>2</ICBI>
                            <ILBN/>
                            <LIBN>0</LIBN>
                          </ElmtLnkProps>
                        </ElmtLnk>
                      </ElmtLnksIn>
                    </Elmt>
                    <Elmt>
                      <ElmtProps>
                        <CPT>2</CPT>
                      </ElmtProps>
                      <ClmnBlks>
                        <ClmnBlk>
                          <ClmnBlkProps>
                            <FCPT>0</FCPT>
                            <FCN>2</FCN>
                            <LCPT>0</LCPT>
                            <LCN>2</LCN>
                          </ClmnBlkProps>
                          <ClmnBlkPts>
                            <ClmnBlkPt>
                              <ClmnBlkPtProps>
                                <CBPT>5</CBPT>
                                <ST>40</ST>
                                <VOFFF><![CDATA[Debt]]></VOFFF>
                              </ClmnBlkPtProps>
                              <LnkInForms>
                                <LnkInForm>
                                  <LnkInFormProps>
                                    <CBPLI>1,1,45,1,1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1,1,45,2,1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45,2,1,-1,1,0,FALSE,FALSE§Z¿]]></VOFFF>
                              </ClmnBlkPtProps>
                              <LnkInForms>
                                <LnkInForm>
                                  <LnkInFormProps>
                                    <CBPLI>1,1,45,3,1</CBPLI>
                                    <ELN>1</ELN>
                                    <FFF/>
                                  </LnkInFormProps>
                                </LnkInForm>
                              </LnkInForms>
                            </ClmnBlkPt>
                          </ClmnBlkPts>
                        </ClmnBlk>
                      </ClmnBlks>
                      <TtlCtg>
                        <TtlCtgProps>
                          <R>3</R>
                        </TtlCtgProps>
                        <LnkIn>
                          <LnkInProps>
                            <MN>58</MN>
                            <CLI>1,1,45,True,0</CLI>
                            <ELN>1</ELN>
                            <LOOT>2</LOOT>
                            <LOMN>5</LOMN>
                            <LOMCN>1</LOMCN>
                            <LOSN>1</LOSN>
                            <LOEN>46</LOEN>
                            <LOCN>0</LOCN>
                          </LnkInProps>
                        </LnkIn>
                      </TtlCtg>
                      <ElmtLnksIn>
                        <ElmtLnk>
                          <ElmtLnkProps>
                            <ELI>1,1,45</ELI>
                            <ELN>1</ELN>
                            <ELGN>1</ELGN>
                            <MLG>C73386E6-E79C-4FEC-8003-EEBB56F91C3B</MLG>
                            <ICBI>2</ICBI>
                            <ILBN/>
                            <LIBN>0</LIBN>
                          </ElmtLnkProps>
                        </ElmtLnk>
                      </ElmtLnksIn>
                    </Elmt>
                    <Elmt>
                      <ElmtProps>
                        <CPT>2</CPT>
                      </ElmtProps>
                      <ClmnBlks>
                        <ClmnBlk>
                          <ClmnBlkProps>
                            <FCPT>0</FCPT>
                            <FCN>2</FCN>
                            <LCPT>0</LCPT>
                            <LCN>2</LCN>
                          </ClmnBlkProps>
                          <ClmnBlkPts>
                            <ClmnBlkPt>
                              <ClmnBlkPtProps>
                                <CBPT>5</CBPT>
                                <ST>40</ST>
                                <VOFFF><![CDATA[Other Non-Current Liabilities]]></VOFFF>
                              </ClmnBlkPtProps>
                            </ClmnBlkPt>
                          </ClmnBlkPts>
                        </ClmnBlk>
                        <ClmnBlk>
                          <ClmnBlkProps>
                            <FCPT>0</FCPT>
                            <FCN>5</FCN>
                            <LCPT>0</LCPT>
                            <LCN>16</LCN>
                          </ClmnBlkProps>
                          <ClmnBlkPts>
                            <ClmnBlkPt>
                              <ClmnBlkPtProps>
                                <CBPT>5</CBPT>
                                <ST>42</ST>
                                <SON>24</SON>
                                <VOFFF><![CDATA[=§A¿0,1,0,1,47,2,1,-1,0,0,FALSE,FALSE§Z¿-§A¿0,1,0,1,45,2,1,-1,0,0,FALSE,FALSE§Z¿]]></VOFFF>
                              </ClmnBlkPtProps>
                            </ClmnBlkPt>
                          </ClmnBlkPts>
                        </ClmnBlk>
                        <ClmnBlk>
                          <ClmnBlkProps>
                            <FCPT>0</FCPT>
                            <FCN>17</FCN>
                            <LCPT>0</LCPT>
                            <LCN>17</LCN>
                          </ClmnBlkProps>
                          <ClmnBlkPts>
                            <ClmnBlkPt>
                              <ClmnBlkPtProps>
                                <CBPT>5</CBPT>
                                <ST>42</ST>
                                <SON>33</SON>
                                <VOFFF><![CDATA[=§A¿0,1,0,1,46,2,1,-1,1,0,FALSE,FALSE§Z¿]]></VOFFF>
                              </ClmnBlkPtProps>
                            </ClmnBlkPt>
                          </ClmnBlkPts>
                        </ClmnBlk>
                      </ClmnBlks>
                      <TtlCtg>
                        <TtlCtgProps>
                          <R>3</R>
                        </TtlCtgProps>
                      </TtlCtg>
                    </Elmt>
                    <Elmt>
                      <ElmtProps>
                        <CPT>2</CPT>
                      </ElmtProps>
                      <ClmnBlks>
                        <ClmnBlk>
                          <ClmnBlkProps>
                            <FCPT>0</FCPT>
                            <FCN>2</FCN>
                            <LCPT>0</LCPT>
                            <LCN>2</LCN>
                          </ClmnBlkProps>
                          <ClmnBlkPts>
                            <ClmnBlkPt>
                              <ClmnBlkPtProps>
                                <CBPT>5</CBPT>
                                <ST>39</ST>
                                <VOFFF><![CDATA[Non-Current Liabilities]]></VOFFF>
                              </ClmnBlkPtProps>
                              <LnkInForms>
                                <LnkInForm>
                                  <LnkInFormProps>
                                    <CBPLI>1,1,47,1,1</CBPLI>
                                    <ELN>1</ELN>
                                    <FFF/>
                                  </LnkInFormProps>
                                </LnkInForm>
                              </LnkInForms>
                            </ClmnBlkPt>
                          </ClmnBlkPts>
                        </ClmnBlk>
                        <ClmnBlk>
                          <ClmnBlkProps>
                            <FCPT>0</FCPT>
                            <FCN>5</FCN>
                            <LCPT>0</LCPT>
                            <LCN>16</LCN>
                          </ClmnBlkProps>
                          <ClmnBlkPts>
                            <ClmnBlkPt>
                              <ClmnBlkPtProps>
                                <CBPT>5</CBPT>
                                <ST>42</ST>
                                <SON>36</SON>
                                <VOFFF><![CDATA[0]]></VOFFF>
                              </ClmnBlkPtProps>
                              <LnkInForms>
                                <LnkInForm>
                                  <LnkInFormProps>
                                    <CBPLI>1,1,47,2,1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37</SON>
                                <VOFFF><![CDATA[=§A¿0,1,0,1,47,2,1,-1,1,0,FALSE,FALSE§Z¿]]></VOFFF>
                              </ClmnBlkPtProps>
                              <LnkInForms>
                                <LnkInForm>
                                  <LnkInFormProps>
                                    <CBPLI>1,1,47,3,1</CBPLI>
                                    <ELN>1</ELN>
                                    <FFF/>
                                  </LnkInFormProps>
                                </LnkInForm>
                              </LnkInForms>
                            </ClmnBlkPt>
                          </ClmnBlkPts>
                        </ClmnBlk>
                      </ClmnBlks>
                      <TtlCtg>
                        <TtlCtgProps>
                          <R>3</R>
                        </TtlCtgProps>
                        <LnkIn>
                          <LnkInProps>
                            <MN>58</MN>
                            <CLI>1,1,47,True,0</CLI>
                            <ELN>1</ELN>
                            <LOOT>2</LOOT>
                            <LOMN>5</LOMN>
                            <LOMCN>1</LOMCN>
                            <LOSN>1</LOSN>
                            <LOEN>50</LOEN>
                            <LOCN>0</LOCN>
                          </LnkInProps>
                        </LnkIn>
                      </TtlCtg>
                      <ElmtLnksIn>
                        <ElmtLnk>
                          <ElmtLnkProps>
                            <ELI>1,1,47</ELI>
                            <ELN>1</ELN>
                            <ELGN>1</ELGN>
                            <MLG>6BE3DB01-D0C5-4F86-96EB-88ECF1514223</MLG>
                            <ICBI>2</ICBI>
                            <ILBN/>
                            <LIBN>0</LIBN>
                          </ElmtLnkProps>
                        </ElmtLnk>
                      </ElmtLnksIn>
                    </Elmt>
                    <Elmt>
                      <ElmtProps>
                        <CPT>2</CPT>
                      </ElmtProps>
                      <ClmnBlks>
                        <ClmnBlk>
                          <ClmnBlkProps>
                            <FCPT>0</FCPT>
                            <FCN>2</FCN>
                            <LCPT>0</LCPT>
                            <LCN>2</LCN>
                          </ClmnBlkProps>
                          <ClmnBlkPts>
                            <ClmnBlkPt>
                              <ClmnBlkPtProps>
                                <CBPT>5</CBPT>
                                <ST>39</ST>
                                <VOFFF><![CDATA[Total Liabilities]]></VOFFF>
                              </ClmnBlkPtProps>
                            </ClmnBlkPt>
                          </ClmnBlkPts>
                        </ClmnBlk>
                        <ClmnBlk>
                          <ClmnBlkProps>
                            <FCPT>0</FCPT>
                            <FCN>5</FCN>
                            <LCPT>0</LCPT>
                            <LCN>16</LCN>
                          </ClmnBlkProps>
                          <ClmnBlkPts>
                            <ClmnBlkPt>
                              <ClmnBlkPtProps>
                                <CBPT>5</CBPT>
                                <ST>42</ST>
                                <SON>25</SON>
                                <VOFFF><![CDATA[=§A¿0,1,0,1,44,2,1,-1,0,0,FALSE,FALSE§Z¿+§A¿0,1,0,1,47,2,1,-1,0,0,FALSE,FALSE§Z¿]]></VOFFF>
                              </ClmnBlkPtProps>
                            </ClmnBlkPt>
                          </ClmnBlkPts>
                        </ClmnBlk>
                        <ClmnBlk>
                          <ClmnBlkProps>
                            <FCPT>0</FCPT>
                            <FCN>17</FCN>
                            <LCPT>0</LCPT>
                            <LCN>17</LCN>
                          </ClmnBlkProps>
                          <ClmnBlkPts>
                            <ClmnBlkPt>
                              <ClmnBlkPtProps>
                                <CBPT>5</CBPT>
                                <ST>42</ST>
                                <SON>32</SON>
                                <VOFFF><![CDATA[=§A¿0,1,0,1,48,2,1,-1,1,0,FALSE,FALSE§Z¿]]></VOFFF>
                                <UDAV><![CDATA[0]]></UDAV>
                              </ClmnBlkPtProps>
                            </ClmnBlkPt>
                          </ClmnBlkPts>
                        </ClmnBlk>
                      </ClmnBlks>
                      <TtlCtg>
                        <TtlCtgProps>
                          <R>3</R>
                        </TtlCtgProps>
                      </TtlCtg>
                    </Elmt>
                    <Elmt>
                      <ElmtProps>
                        <CPT>2</CPT>
                      </ElmtProps>
                      <ClmnBlks>
                        <ClmnBlk>
                          <ClmnBlkProps>
                            <FCPT>0</FCPT>
                            <FCN>2</FCN>
                            <LCPT>0</LCPT>
                            <LCN>2</LCN>
                          </ClmnBlkProps>
                          <ClmnBlkPts>
                            <ClmnBlkPt>
                              <ClmnBlkPtProps>
                                <CBPT>5</CBPT>
                                <ST>39</ST>
                                <VOFFF><![CDATA[Net Assets]]></VOFFF>
                              </ClmnBlkPtProps>
                            </ClmnBlkPt>
                          </ClmnBlkPts>
                        </ClmnBlk>
                        <ClmnBlk>
                          <ClmnBlkProps>
                            <FCPT>0</FCPT>
                            <FCN>5</FCN>
                            <LCPT>0</LCPT>
                            <LCN>16</LCN>
                          </ClmnBlkProps>
                          <ClmnBlkPts>
                            <ClmnBlkPt>
                              <ClmnBlkPtProps>
                                <CBPT>5</CBPT>
                                <ST>42</ST>
                                <SON>34</SON>
                                <VOFFF><![CDATA[=§A¿0,1,0,1,37,2,1,-1,0,0,FALSE,FALSE§Z¿-§A¿0,1,0,1,48,2,1,-1,0,0,FALSE,FALSE§Z¿]]></VOFFF>
                              </ClmnBlkPtProps>
                            </ClmnBlkPt>
                          </ClmnBlkPts>
                        </ClmnBlk>
                        <ClmnBlk>
                          <ClmnBlkProps>
                            <FCPT>0</FCPT>
                            <FCN>17</FCN>
                            <LCPT>0</LCPT>
                            <LCN>17</LCN>
                          </ClmnBlkProps>
                          <ClmnBlkPts>
                            <ClmnBlkPt>
                              <ClmnBlkPtProps>
                                <CBPT>5</CBPT>
                                <ST>42</ST>
                                <SON>35</SON>
                                <VOFFF><![CDATA[=§A¿0,1,0,1,49,2,1,-1,1,0,FALSE,FALSE§Z¿]]></VOFFF>
                                <UDAV><![CDATA[0]]></UDAV>
                              </ClmnBlkPtProps>
                            </ClmnBlkPt>
                          </ClmnBlkPts>
                        </ClmnBlk>
                      </ClmnBlks>
                      <TtlCtg>
                        <TtlCtgProps>
                          <R>3</R>
                        </TtlCtgProps>
                      </TtlCtg>
                    </Elmt>
                    <Elmt>
                      <ElmtProps>
                        <CPT>2</CPT>
                      </ElmtProps>
                      <ClmnBlks>
                        <ClmnBlk>
                          <ClmnBlkProps>
                            <FCPT>0</FCPT>
                            <FCN>2</FCN>
                            <LCPT>0</LCPT>
                            <LCN>2</LCN>
                          </ClmnBlkProps>
                          <ClmnBlkPts>
                            <ClmnBlkPt>
                              <ClmnBlkPtProps>
                                <CBPT>5</CBPT>
                                <ST>40</ST>
                                <VOFFF><![CDATA[Ordinary Equity]]></VOFFF>
                              </ClmnBlkPtProps>
                            </ClmnBlkPt>
                          </ClmnBlkPts>
                        </ClmnBlk>
                        <ClmnBlk>
                          <ClmnBlkProps>
                            <FCPT>0</FCPT>
                            <FCN>5</FCN>
                            <LCPT>0</LCPT>
                            <LCN>16</LCN>
                          </ClmnBlkProps>
                          <ClmnBlkPts>
                            <ClmnBlkPt>
                              <ClmnBlkPtProps>
                                <CBPT>5</CBPT>
                                <ST>42</ST>
                                <SON>22</SON>
                                <VOFFF><![CDATA[0]]></VOFFF>
                              </ClmnBlkPtProps>
                              <LnkInForms>
                                <LnkInForm>
                                  <LnkInFormProps>
                                    <CBPLI>1,1,50,2,1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50,2,1,-1,1,0,FALSE,FALSE§Z¿]]></VOFFF>
                                <UDAV><![CDATA[0]]></UDAV>
                              </ClmnBlkPtProps>
                            </ClmnBlkPt>
                          </ClmnBlkPts>
                        </ClmnBlk>
                      </ClmnBlks>
                      <TtlCtg>
                        <TtlCtgProps>
                          <R>3</R>
                        </TtlCtgProps>
                        <LnkIn>
                          <LnkInProps>
                            <MN>58</MN>
                            <CLI>1,1,50,True,0</CLI>
                            <ELN>1</ELN>
                            <LOOT>2</LOOT>
                            <LOMN>5</LOMN>
                            <LOMCN>1</LOMCN>
                            <LOSN>1</LOSN>
                            <LOEN>56</LOEN>
                            <LOCN>0</LOCN>
                          </LnkInProps>
                        </LnkIn>
                      </TtlCtg>
                      <ElmtLnksIn>
                        <ElmtLnk>
                          <ElmtLnkProps>
                            <ELI>1,1,50</ELI>
                            <ELN>1</ELN>
                            <ELGN>1</ELGN>
                            <MLG>6D7F01DC-4951-4B9F-9BAA-AF70EC07EE6C</MLG>
                            <ICBI>2</ICBI>
                            <ILBN/>
                            <LIBN>0</LIBN>
                          </ElmtLnkProps>
                        </ElmtLnk>
                      </ElmtLnksIn>
                    </Elmt>
                    <Elmt>
                      <ElmtProps>
                        <CPT>2</CPT>
                      </ElmtProps>
                      <ClmnBlks>
                        <ClmnBlk>
                          <ClmnBlkProps>
                            <FCPT>0</FCPT>
                            <FCN>2</FCN>
                            <LCPT>0</LCPT>
                            <LCN>2</LCN>
                          </ClmnBlkProps>
                          <ClmnBlkPts>
                            <ClmnBlkPt>
                              <ClmnBlkPtProps>
                                <CBPT>5</CBPT>
                                <ST>40</ST>
                                <VOFFF><![CDATA[Other Equity]]></VOFFF>
                              </ClmnBlkPtProps>
                              <LnkInForms>
                                <LnkInForm>
                                  <LnkInFormProps>
                                    <CBPLI>1,1,51,1,1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1,1,51,2,1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51,2,1,-1,1,0,FALSE,FALSE§Z¿]]></VOFFF>
                                <UDAV><![CDATA[0]]></UDAV>
                              </ClmnBlkPtProps>
                              <LnkInForms>
                                <LnkInForm>
                                  <LnkInFormProps>
                                    <CBPLI>1,1,51,3,1</CBPLI>
                                    <ELN>1</ELN>
                                    <FFF/>
                                  </LnkInFormProps>
                                </LnkInForm>
                              </LnkInForms>
                            </ClmnBlkPt>
                          </ClmnBlkPts>
                        </ClmnBlk>
                      </ClmnBlks>
                      <TtlCtg>
                        <TtlCtgProps>
                          <R>3</R>
                        </TtlCtgProps>
                        <LnkIn>
                          <LnkInProps>
                            <MN>58</MN>
                            <CLI>1,1,51,True,0</CLI>
                            <ELN>1</ELN>
                            <LOOT>2</LOOT>
                            <LOMN>5</LOMN>
                            <LOMCN>1</LOMCN>
                            <LOSN>1</LOSN>
                            <LOEN>58</LOEN>
                            <LOCN>0</LOCN>
                          </LnkInProps>
                        </LnkIn>
                      </TtlCtg>
                      <ElmtLnksIn>
                        <ElmtLnk>
                          <ElmtLnkProps>
                            <ELI>1,1,51</ELI>
                            <ELN>1</ELN>
                            <ELGN>1</ELGN>
                            <MLG>FE8176DD-A50E-4F8C-98FB-C23D5A7C19B3</MLG>
                            <ICBI>2</ICBI>
                            <ILBN/>
                            <LIBN>0</LIBN>
                          </ElmtLnkProps>
                        </ElmtLnk>
                      </ElmtLnksIn>
                    </Elmt>
                    <Elmt>
                      <ElmtProps>
                        <CPT>2</CPT>
                      </ElmtProps>
                      <ClmnBlks>
                        <ClmnBlk>
                          <ClmnBlkProps>
                            <FCPT>0</FCPT>
                            <FCN>2</FCN>
                            <LCPT>0</LCPT>
                            <LCN>2</LCN>
                          </ClmnBlkProps>
                          <ClmnBlkPts>
                            <ClmnBlkPt>
                              <ClmnBlkPtProps>
                                <CBPT>5</CBPT>
                                <ST>40</ST>
                                <VOFFF><![CDATA[Retained Profits]]></VOFFF>
                              </ClmnBlkPtProps>
                              <LnkInForms>
                                <LnkInForm>
                                  <LnkInFormProps>
                                    <CBPLI>1,1,52,1,1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1,1,52,2,1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A¿0,1,0,1,52,2,1,-1,1,0,FALSE,FALSE§Z¿]]></VOFFF>
                                <UDAV><![CDATA[0]]></UDAV>
                              </ClmnBlkPtProps>
                              <LnkInForms>
                                <LnkInForm>
                                  <LnkInFormProps>
                                    <CBPLI>1,1,52,3,1</CBPLI>
                                    <ELN>1</ELN>
                                    <FFF/>
                                  </LnkInFormProps>
                                </LnkInForm>
                              </LnkInForms>
                            </ClmnBlkPt>
                          </ClmnBlkPts>
                        </ClmnBlk>
                      </ClmnBlks>
                      <TtlCtg>
                        <TtlCtgProps>
                          <R>3</R>
                        </TtlCtgProps>
                        <LnkIn>
                          <LnkInProps>
                            <MN>58</MN>
                            <CLI>1,1,52,True,0</CLI>
                            <ELN>1</ELN>
                            <LOOT>2</LOOT>
                            <LOMN>5</LOMN>
                            <LOMCN>1</LOMCN>
                            <LOSN>1</LOSN>
                            <LOEN>63</LOEN>
                            <LOCN>0</LOCN>
                          </LnkInProps>
                        </LnkIn>
                      </TtlCtg>
                      <ElmtLnksIn>
                        <ElmtLnk>
                          <ElmtLnkProps>
                            <ELI>1,1,52</ELI>
                            <ELN>1</ELN>
                            <ELGN>1</ELGN>
                            <MLG>72D95012-9941-4636-8EA1-927B11C79392</MLG>
                            <ICBI>2</ICBI>
                            <ILBN/>
                            <LIBN>0</LIBN>
                          </ElmtLnkProps>
                        </ElmtLnk>
                      </ElmtLnksIn>
                    </Elmt>
                    <Elmt>
                      <ElmtProps>
                        <CPT>2</CPT>
                      </ElmtProps>
                      <ClmnBlks>
                        <ClmnBlk>
                          <ClmnBlkProps>
                            <FCPT>0</FCPT>
                            <FCN>2</FCN>
                            <LCPT>0</LCPT>
                            <LCN>2</LCN>
                          </ClmnBlkProps>
                          <ClmnBlkPts>
                            <ClmnBlkPt>
                              <ClmnBlkPtProps>
                                <CBPT>5</CBPT>
                                <ST>39</ST>
                                <VOFFF><![CDATA[Total Equity]]></VOFFF>
                              </ClmnBlkPtProps>
                            </ClmnBlkPt>
                          </ClmnBlkPts>
                        </ClmnBlk>
                        <ClmnBlk>
                          <ClmnBlkProps>
                            <FCPT>0</FCPT>
                            <FCN>5</FCN>
                            <LCPT>0</LCPT>
                            <LCN>16</LCN>
                          </ClmnBlkProps>
                          <ClmnBlkPts>
                            <ClmnBlkPt>
                              <ClmnBlkPtProps>
                                <CBPT>5</CBPT>
                                <ST>42</ST>
                                <SON>34</SON>
                                <VOFFF><![CDATA[=SUM(§A¿0,1,1,1,50,2,1,-1,0,0,FALSE,FALSE,1,52,2,1,-1,0,0,FALSE,FALSE§Z¿)]]></VOFFF>
                              </ClmnBlkPtProps>
                            </ClmnBlkPt>
                          </ClmnBlkPts>
                        </ClmnBlk>
                        <ClmnBlk>
                          <ClmnBlkProps>
                            <FCPT>0</FCPT>
                            <FCN>17</FCN>
                            <LCPT>0</LCPT>
                            <LCN>17</LCN>
                          </ClmnBlkProps>
                          <ClmnBlkPts>
                            <ClmnBlkPt>
                              <ClmnBlkPtProps>
                                <CBPT>5</CBPT>
                                <ST>42</ST>
                                <SON>35</SON>
                                <VOFFF><![CDATA[=§A¿0,1,0,1,53,2,1,-1,1,0,FALSE,FALSE§Z¿]]></VOFFF>
                                <UDAV><![CDATA[0]]></UDAV>
                              </ClmnBlkPtProps>
                            </ClmnBlkPt>
                          </ClmnBlkPts>
                        </ClmnBlk>
                      </ClmnBlks>
                      <TtlCtg>
                        <TtlCtgProps>
                          <R>3</R>
                        </TtlCtgProps>
                      </TtlCtg>
                      <ShpNmes>
                        <ShpNme>
                          <ShpNmeProps>
                            <ELI>1,1,53</ELI>
                            <COSTN>0</COSTN>
                            <ST>3</ST>
                            <SNPT>2</SNPT>
                            <N><![CDATA[bpmShapeFs_Sum5]]></N>
                            <SHN>17</SHN>
                            <SHTN>5</SHTN>
                          </ShpNmeProps>
                        </ShpNme>
                      </ShpNmes>
                    </Elmt>
                    <Elmt>
                      <ElmtProps>
                        <CPT>2</CPT>
                      </ElmtProps>
                      <ClmnBlks>
                        <ClmnBlk>
                          <ClmnBlkProps>
                            <FCPT>0</FCPT>
                            <FCN>30</FCN>
                            <LCPT>0</LCPT>
                            <LCN>34</LCN>
                          </ClmnBlkProps>
                          <ClmnBlkPts>
                            <ClmnBlkPt>
                              <ClmnBlkPtProps>
                                <CBPT>5</CBPT>
                                <ST>38</ST>
                                <SON>5</SON>
                                <MC>True</MC>
                                <VOFFF><![CDATA[      Expenses Depth]]></VOFFF>
                              </ClmnBlkPtProps>
                            </ClmnBlkPt>
                          </ClmnBlkPts>
                        </ClmnBlk>
                      </ClmnBlks>
                      <TtlCtg>
                        <TtlCtgProps>
                          <R>3</R>
                        </TtlCtgProps>
                      </TtlCtg>
                    </Elmt>
                    <Elmt>
                      <ElmtProps>
                        <CPT>2</CPT>
                      </ElmtProps>
                      <ClmnBlks>
                        <ClmnBlk>
                          <ClmnBlkProps>
                            <FCPT>0</FCPT>
                            <FCN>2</FCN>
                            <LCPT>0</LCPT>
                            <LCN>17</LCN>
                          </ClmnBlkProps>
                          <ClmnBlkPts>
                            <ClmnBlkPt>
                              <ClmnBlkPtProps>
                                <CBPT>5</CBPT>
                                <ST>38</ST>
                                <SON>5</SON>
                                <MC>True</MC>
                                <VOFFF><![CDATA[Cash Flow Statement]]></VOFFF>
                              </ClmnBlkPtProps>
                            </ClmnBlkPt>
                          </ClmnBlkPts>
                        </ClmnBlk>
                      </ClmnBlks>
                      <TtlCtg>
                        <TtlCtgProps>
                          <R>3</R>
                        </TtlCtgProps>
                      </TtlCtg>
                      <ShpNmes>
                        <ShpNme>
                          <ShpNmeProps>
                            <ELI>1,1,55</ELI>
                            <COSTN>0</COSTN>
                            <ST>2</ST>
                            <SNPT>2</SNPT>
                            <N><![CDATA[bpmChartFs_Sum10]]></N>
                            <SHN>3</SHN>
                            <SHTN>1</SHTN>
                          </ShpNmeProps>
                        </ShpNme>
                      </ShpNmes>
                    </Elmt>
                    <Elmt>
                      <ElmtProps>
                        <CPT>2</CPT>
                      </ElmtProps>
                      <TtlCtg>
                        <TtlCtgProps>
                          <R>3</R>
                        </TtlCtgProps>
                      </TtlCtg>
                    </Elmt>
                    <Elmt>
                      <ElmtProps>
                        <CPT>2</CPT>
                      </ElmtProps>
                      <ClmnBlks>
                        <ClmnBlk>
                          <ClmnBlkProps>
                            <FCPT>0</FCPT>
                            <FCN>2</FCN>
                            <LCPT>0</LCPT>
                            <LCN>2</LCN>
                          </ClmnBlkProps>
                          <ClmnBlkPts>
                            <ClmnBlkPt>
                              <ClmnBlkPtProps>
                                <CBPT>5</CBPT>
                                <ST>39</ST>
                                <VOFFF><![CDATA[=§A¿0,1,0,1,93,1,1,-1,0,0,TRUE,FALSE§Z¿]]></VOFFF>
                              </ClmnBlkPtProps>
                            </ClmnBlkPt>
                          </ClmnBlkPts>
                        </ClmnBlk>
                        <ClmnBlk>
                          <ClmnBlkProps>
                            <FCPT>0</FCPT>
                            <FCN>5</FCN>
                            <LCPT>0</LCPT>
                            <LCN>16</LCN>
                          </ClmnBlkProps>
                          <ClmnBlkPts>
                            <ClmnBlkPt>
                              <ClmnBlkPtProps>
                                <CBPT>5</CBPT>
                                <ST>39</ST>
                                <SON>7</SON>
                                <VOFFF><![CDATA[=§A¿0,1,0,1,93,2,1,-1,0,0,TRUE,FALSE§Z¿]]></VOFFF>
                              </ClmnBlkPtProps>
                            </ClmnBlkPt>
                          </ClmnBlkPts>
                        </ClmnBlk>
                        <ClmnBlk>
                          <ClmnBlkProps>
                            <FCPT>0</FCPT>
                            <FCN>17</FCN>
                            <LCPT>0</LCPT>
                            <LCN>17</LCN>
                          </ClmnBlkProps>
                          <ClmnBlkPts>
                            <ClmnBlkPt>
                              <ClmnBlkPtProps>
                                <CBPT>5</CBPT>
                                <ST>39</ST>
                                <SON>10</SON>
                                <VOFFF><![CDATA[Total]]></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Revenue]]></VOFFF>
                              </ClmnBlkPtProps>
                              <LnkInForms>
                                <LnkInForm>
                                  <LnkInFormProps>
                                    <CBPLI>1,1,58,1,1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1,1,58,2,1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58,2,1,-1,0,0,FALSE,FALSE,1,58,2,1,-1,1,0,FALSE,FALSE§Z¿)]]></VOFFF>
                              </ClmnBlkPtProps>
                              <LnkInForms>
                                <LnkInForm>
                                  <LnkInFormProps>
                                    <CBPLI>1,1,58,3,1</CBPLI>
                                    <ELN>1</ELN>
                                    <FFF/>
                                  </LnkInFormProps>
                                </LnkInForm>
                              </LnkInForms>
                            </ClmnBlkPt>
                          </ClmnBlkPts>
                        </ClmnBlk>
                      </ClmnBlks>
                      <TtlCtg>
                        <TtlCtgProps>
                          <R>3</R>
                        </TtlCtgProps>
                        <LnkIn>
                          <LnkInProps>
                            <MN>58</MN>
                            <CLI>1,1,58,True,0</CLI>
                            <ELN>1</ELN>
                            <LOOT>2</LOOT>
                            <LOMN>6</LOMN>
                            <LOMCN>1</LOMCN>
                            <LOSN>1</LOSN>
                            <LOEN>6</LOEN>
                            <LOCN>0</LOCN>
                          </LnkInProps>
                        </LnkIn>
                      </TtlCtg>
                      <ElmtLnksIn>
                        <ElmtLnk>
                          <ElmtLnkProps>
                            <ELI>1,1,58</ELI>
                            <ELN>1</ELN>
                            <ELGN>1</ELGN>
                            <MLG>5E6A10DE-3A56-4D76-9307-C82657D20850</MLG>
                            <ICBI>2</ICBI>
                            <ILBN/>
                            <LIBN>0</LIBN>
                          </ElmtLnkProps>
                        </ElmtLnk>
                      </ElmtLnksIn>
                    </Elmt>
                    <Elmt>
                      <ElmtProps>
                        <CPT>2</CPT>
                      </ElmtProps>
                      <ClmnBlks>
                        <ClmnBlk>
                          <ClmnBlkProps>
                            <FCPT>0</FCPT>
                            <FCN>2</FCN>
                            <LCPT>0</LCPT>
                            <LCN>2</LCN>
                          </ClmnBlkProps>
                          <ClmnBlkPts>
                            <ClmnBlkPt>
                              <ClmnBlkPtProps>
                                <CBPT>5</CBPT>
                                <ST>40</ST>
                                <VOFFF><![CDATA[Decrease in Debtors]]></VOFFF>
                              </ClmnBlkPtProps>
                              <LnkInForms>
                                <LnkInForm>
                                  <LnkInFormProps>
                                    <CBPLI>1,1,59,1,1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1,1,59,2,1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59,2,1,-1,0,0,FALSE,FALSE,1,59,2,1,-1,1,0,FALSE,FALSE§Z¿)]]></VOFFF>
                              </ClmnBlkPtProps>
                              <LnkInForms>
                                <LnkInForm>
                                  <LnkInFormProps>
                                    <CBPLI>1,1,59,3,1</CBPLI>
                                    <ELN>1</ELN>
                                    <FFF/>
                                  </LnkInFormProps>
                                </LnkInForm>
                              </LnkInForms>
                            </ClmnBlkPt>
                          </ClmnBlkPts>
                        </ClmnBlk>
                        <ClmnBlk>
                          <ClmnBlkProps>
                            <FCPT>0</FCPT>
                            <FCN>19</FCN>
                            <LCPT>0</LCPT>
                            <LCN>29</LCN>
                          </ClmnBlkProps>
                          <ClmnBlkPts>
                            <ClmnBlkPt>
                              <ClmnBlkPtProps>
                                <CBPT>5</CBPT>
                                <ST>38</ST>
                                <SON>5</SON>
                                <MC>True</MC>
                                <VOFFF><![CDATA[Cashcade]]></VOFFF>
                              </ClmnBlkPtProps>
                            </ClmnBlkPt>
                          </ClmnBlkPts>
                        </ClmnBlk>
                      </ClmnBlks>
                      <TtlCtg>
                        <TtlCtgProps>
                          <R>3</R>
                        </TtlCtgProps>
                        <LnkIn>
                          <LnkInProps>
                            <MN>58</MN>
                            <CLI>1,1,59,True,0</CLI>
                            <ELN>1</ELN>
                            <LOOT>2</LOOT>
                            <LOMN>6</LOMN>
                            <LOMCN>1</LOMCN>
                            <LOSN>1</LOSN>
                            <LOEN>8</LOEN>
                            <LOCN>0</LOCN>
                          </LnkInProps>
                        </LnkIn>
                      </TtlCtg>
                      <ElmtLnksIn>
                        <ElmtLnk>
                          <ElmtLnkProps>
                            <ELI>1,1,59</ELI>
                            <ELN>1</ELN>
                            <ELGN>1</ELGN>
                            <MLG>1AF96CF6-91F3-4CAF-A226-E5F1FAB9359F</MLG>
                            <ICBI>2</ICBI>
                            <ILBN/>
                            <LIBN>0</LIBN>
                          </ElmtLnkProps>
                        </ElmtLnk>
                      </ElmtLnksIn>
                    </Elmt>
                    <Elmt>
                      <ElmtProps>
                        <CPT>2</CPT>
                      </ElmtProps>
                      <ClmnBlks>
                        <ClmnBlk>
                          <ClmnBlkProps>
                            <FCPT>0</FCPT>
                            <FCN>2</FCN>
                            <LCPT>0</LCPT>
                            <LCN>2</LCN>
                          </ClmnBlkProps>
                          <ClmnBlkPts>
                            <ClmnBlkPt>
                              <ClmnBlkPtProps>
                                <CBPT>5</CBPT>
                                <ST>40</ST>
                                <VOFFF><![CDATA[Other Cash Receipts]]></VOFFF>
                              </ClmnBlkPtProps>
                            </ClmnBlkPt>
                          </ClmnBlkPts>
                        </ClmnBlk>
                        <ClmnBlk>
                          <ClmnBlkProps>
                            <FCPT>0</FCPT>
                            <FCN>5</FCN>
                            <LCPT>0</LCPT>
                            <LCN>16</LCN>
                          </ClmnBlkProps>
                          <ClmnBlkPts>
                            <ClmnBlkPt>
                              <ClmnBlkPtProps>
                                <CBPT>5</CBPT>
                                <ST>42</ST>
                                <SON>30</SON>
                                <VOFFF><![CDATA[=§A¿0,1,0,1,61,2,1,-1,0,0,FALSE,FALSE§Z¿-SUM(§A¿0,1,1,1,58,2,1,-1,0,0,FALSE,FALSE,1,59,2,1,-1,0,0,FALSE,FALSE§Z¿)]]></VOFFF>
                              </ClmnBlkPtProps>
                            </ClmnBlkPt>
                          </ClmnBlkPts>
                        </ClmnBlk>
                        <ClmnBlk>
                          <ClmnBlkProps>
                            <FCPT>0</FCPT>
                            <FCN>17</FCN>
                            <LCPT>0</LCPT>
                            <LCN>17</LCN>
                          </ClmnBlkProps>
                          <ClmnBlkPts>
                            <ClmnBlkPt>
                              <ClmnBlkPtProps>
                                <CBPT>5</CBPT>
                                <ST>42</ST>
                                <SON>31</SON>
                                <VOFFF><![CDATA[=SUM(§A¿0,1,1,1,60,2,1,-1,0,0,FALSE,FALSE,1,60,2,1,-1,1,0,FALSE,FALSE§Z¿)]]></VOFFF>
                              </ClmnBlkPtProps>
                            </ClmnBlkPt>
                          </ClmnBlkPts>
                        </ClmnBlk>
                      </ClmnBlks>
                      <TtlCtg>
                        <TtlCtgProps>
                          <R>3</R>
                        </TtlCtgProps>
                      </TtlCtg>
                      <ShpNmes>
                        <ShpNme>
                          <ShpNmeProps>
                            <ELI>1,1,60</ELI>
                            <COSTN>0</COSTN>
                            <ST>2</ST>
                            <SNPT>2</SNPT>
                            <N><![CDATA[bpmChartFs_Sum15]]></N>
                            <SHN>8</SHN>
                            <SHTN>6</SHTN>
                          </ShpNmeProps>
                        </ShpNme>
                      </ShpNmes>
                    </Elmt>
                    <Elmt>
                      <ElmtProps>
                        <CPT>2</CPT>
                      </ElmtProps>
                      <ClmnBlks>
                        <ClmnBlk>
                          <ClmnBlkProps>
                            <FCPT>0</FCPT>
                            <FCN>2</FCN>
                            <LCPT>0</LCPT>
                            <LCN>2</LCN>
                          </ClmnBlkProps>
                          <ClmnBlkPts>
                            <ClmnBlkPt>
                              <ClmnBlkPtProps>
                                <CBPT>5</CBPT>
                                <ST>40</ST>
                                <VOFFF><![CDATA[Cash Receipts]]></VOFFF>
                              </ClmnBlkPtProps>
                            </ClmnBlkPt>
                          </ClmnBlkPts>
                        </ClmnBlk>
                        <ClmnBlk>
                          <ClmnBlkProps>
                            <FCPT>0</FCPT>
                            <FCN>5</FCN>
                            <LCPT>0</LCPT>
                            <LCN>16</LCN>
                          </ClmnBlkProps>
                          <ClmnBlkPts>
                            <ClmnBlkPt>
                              <ClmnBlkPtProps>
                                <CBPT>5</CBPT>
                                <ST>42</ST>
                                <SON>22</SON>
                                <VOFFF><![CDATA[0]]></VOFFF>
                              </ClmnBlkPtProps>
                              <LnkInForms>
                                <LnkInForm>
                                  <LnkInFormProps>
                                    <CBPLI>1,1,61,2,1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1,2,1,-1,0,0,FALSE,FALSE,1,61,2,1,-1,1,0,FALSE,FALSE§Z¿)]]></VOFFF>
                              </ClmnBlkPtProps>
                            </ClmnBlkPt>
                          </ClmnBlkPts>
                        </ClmnBlk>
                      </ClmnBlks>
                      <TtlCtg>
                        <TtlCtgProps>
                          <R>3</R>
                        </TtlCtgProps>
                        <LnkIn>
                          <LnkInProps>
                            <MN>58</MN>
                            <CLI>1,1,61,True,0</CLI>
                            <ELN>1</ELN>
                            <LOOT>2</LOOT>
                            <LOMN>6</LOMN>
                            <LOMCN>1</LOMCN>
                            <LOSN>1</LOSN>
                            <LOEN>12</LOEN>
                            <LOCN>0</LOCN>
                          </LnkInProps>
                        </LnkIn>
                      </TtlCtg>
                      <ElmtLnksIn>
                        <ElmtLnk>
                          <ElmtLnkProps>
                            <ELI>1,1,61</ELI>
                            <ELN>1</ELN>
                            <ELGN>1</ELGN>
                            <MLG>5F32D447-919E-4DCA-95D4-58483EE857FE</MLG>
                            <ICBI>2</ICBI>
                            <ILBN/>
                            <LIBN>0</LIBN>
                          </ElmtLnkProps>
                        </ElmtLnk>
                      </ElmtLnksIn>
                    </Elmt>
                    <Elmt>
                      <ElmtProps>
                        <CPT>2</CPT>
                      </ElmtProps>
                      <ClmnBlks>
                        <ClmnBlk>
                          <ClmnBlkProps>
                            <FCPT>0</FCPT>
                            <FCN>2</FCN>
                            <LCPT>0</LCPT>
                            <LCN>2</LCN>
                          </ClmnBlkProps>
                          <ClmnBlkPts>
                            <ClmnBlkPt>
                              <ClmnBlkPtProps>
                                <CBPT>5</CBPT>
                                <ST>40</ST>
                                <VOFFF><![CDATA[Cost of Goods Sold]]></VOFFF>
                              </ClmnBlkPtProps>
                              <LnkInForms>
                                <LnkInForm>
                                  <LnkInFormProps>
                                    <CBPLI>1,1,62,1,1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2,2,1,-1,0,0,FALSE,FALSE,1,62,2,1,-1,1,0,FALSE,FALSE§Z¿)]]></VOFFF>
                              </ClmnBlkPtProps>
                              <LnkInForms>
                                <LnkInForm>
                                  <LnkInFormProps>
                                    <CBPLI>1,1,62,3,1</CBPLI>
                                    <ELN>1</ELN>
                                    <FFF/>
                                  </LnkInFormProps>
                                </LnkInForm>
                              </LnkInForms>
                            </ClmnBlkPt>
                          </ClmnBlkPts>
                        </ClmnBlk>
                        <ClmnBlk>
                          <ClmnBlkProps>
                            <FCPT>0</FCPT>
                            <FCN>19</FCN>
                            <LCPT>0</LCPT>
                            <LCN>22</LCN>
                          </ClmnBlkProps>
                          <ClmnBlkPts>
                            <ClmnBlkPt>
                              <ClmnBlkPtProps>
                                <CBPT>5</CBPT>
                                <ST>39</ST>
                                <SON>2</SON>
                                <MC>True</MC>
                                <VOFFF><![CDATA[=IF(§A¿0,1,0,1,180,1,1,-1,0,0,FALSE,FALSE§Z¿,"Cash at Start","N/A")]]></VOFFF>
                              </ClmnBlkPtProps>
                            </ClmnBlkPt>
                          </ClmnBlkPts>
                        </ClmnBlk>
                        <ClmnBlk>
                          <ClmnBlkProps>
                            <FCPT>0</FCPT>
                            <FCN>23</FCN>
                            <LCPT>0</LCPT>
                            <LCN>23</LCN>
                          </ClmnBlkProps>
                          <ClmnBlkPts>
                            <ClmnBlkPt>
                              <ClmnBlkPtProps>
                                <CBPT>5</CBPT>
                                <ST>42</ST>
                                <SON>38</SON>
                                <VOFFF><![CDATA[=IF(§A¿0,1,0,1,180,1,1,-1,0,0,TRUE,TRUE§Z¿,§A¿0,1,0,1,176,2,1,-1,0,0,FALSE,FALSE§Z¿,0)]]></VOFFF>
                              </ClmnBlkPtProps>
                            </ClmnBlkPt>
                          </ClmnBlkPts>
                        </ClmnBlk>
                      </ClmnBlks>
                      <TtlCtg>
                        <TtlCtgProps>
                          <R>3</R>
                        </TtlCtgProps>
                        <LnkIn>
                          <LnkInProps>
                            <MN>58</MN>
                            <CLI>1,1,62,True,0</CLI>
                            <ELN>1</ELN>
                            <LOOT>2</LOOT>
                            <LOMN>6</LOMN>
                            <LOMCN>1</LOMCN>
                            <LOSN>1</LOSN>
                            <LOEN>14</LOEN>
                            <LOCN>0</LOCN>
                          </LnkInProps>
                        </LnkIn>
                      </TtlCtg>
                      <ElmtLnksIn>
                        <ElmtLnk>
                          <ElmtLnkProps>
                            <ELI>1,1,62</ELI>
                            <ELN>1</ELN>
                            <ELGN>1</ELGN>
                            <MLG>5969D340-77B8-4C16-9063-D39A7F3CEF19</MLG>
                            <ICBI>2</ICBI>
                            <ILBN/>
                            <LIBN>0</LIBN>
                          </ElmtLnkProps>
                        </ElmtLnk>
                      </ElmtLnksIn>
                    </Elmt>
                    <Elmt>
                      <ElmtProps>
                        <CPT>2</CPT>
                      </ElmtProps>
                      <ClmnBlks>
                        <ClmnBlk>
                          <ClmnBlkProps>
                            <FCPT>0</FCPT>
                            <FCN>2</FCN>
                            <LCPT>0</LCPT>
                            <LCN>2</LCN>
                          </ClmnBlkProps>
                          <ClmnBlkPts>
                            <ClmnBlkPt>
                              <ClmnBlkPtProps>
                                <CBPT>5</CBPT>
                                <ST>40</ST>
                                <VOFFF><![CDATA[Operating Expenditure]]></VOFFF>
                              </ClmnBlkPtProps>
                              <LnkInForms>
                                <LnkInForm>
                                  <LnkInFormProps>
                                    <CBPLI>1,1,63,1,1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1,1,63,2,1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3,2,1,-1,0,0,FALSE,FALSE,1,63,2,1,-1,1,0,FALSE,FALSE§Z¿)]]></VOFFF>
                              </ClmnBlkPtProps>
                              <LnkInForms>
                                <LnkInForm>
                                  <LnkInFormProps>
                                    <CBPLI>1,1,63,3,1</CBPLI>
                                    <ELN>1</ELN>
                                    <FFF/>
                                  </LnkInFormProps>
                                </LnkInForm>
                              </LnkInForms>
                            </ClmnBlkPt>
                          </ClmnBlkPts>
                        </ClmnBlk>
                        <ClmnBlk>
                          <ClmnBlkProps>
                            <FCPT>0</FCPT>
                            <FCN>19</FCN>
                            <LCPT>0</LCPT>
                            <LCN>22</LCN>
                          </ClmnBlkProps>
                          <ClmnBlkPts>
                            <ClmnBlkPt>
                              <ClmnBlkPtProps>
                                <CBPT>5</CBPT>
                                <ST>40</ST>
                                <SON>14</SON>
                                <MC>True</MC>
                                <VOFFF><![CDATA[=§A¿0,1,0,1,184,1,1,-1,0,0,FALSE,FALSE§Z¿]]></VOFFF>
                              </ClmnBlkPtProps>
                            </ClmnBlkPt>
                          </ClmnBlkPts>
                        </ClmnBlk>
                        <ClmnBlk>
                          <ClmnBlkProps>
                            <FCPT>0</FCPT>
                            <FCN>23</FCN>
                            <LCPT>0</LCPT>
                            <LCN>23</LCN>
                          </ClmnBlkProps>
                          <ClmnBlkPts>
                            <ClmnBlkPt>
                              <ClmnBlkPtProps>
                                <CBPT>5</CBPT>
                                <ST>42</ST>
                                <SON>8</SON>
                                <VOFFF><![CDATA[=§A¿0,1,0,1,184,2,1,-1,0,0,FALSE,FALSE§Z¿]]></VOFFF>
                              </ClmnBlkPtProps>
                            </ClmnBlkPt>
                          </ClmnBlkPts>
                        </ClmnBlk>
                        <ClmnBlk>
                          <ClmnBlkProps>
                            <FCPT>0</FCPT>
                            <FCN>24</FCN>
                            <LCPT>0</LCPT>
                            <LCN>29</LCN>
                          </ClmnBlkProps>
                          <ClmnBlkPts>
                            <ClmnBlkPt>
                              <ClmnBlkPtProps>
                                <CBPT>5</CBPT>
                                <ST>-1</ST>
                                <SON>15</SON>
                                <VOFFF/>
                              </ClmnBlkPtProps>
                            </ClmnBlkPt>
                          </ClmnBlkPts>
                        </ClmnBlk>
                      </ClmnBlks>
                      <TtlCtg>
                        <TtlCtgProps>
                          <R>3</R>
                        </TtlCtgProps>
                        <LnkIn>
                          <LnkInProps>
                            <MN>58</MN>
                            <CLI>1,1,63,True,0</CLI>
                            <ELN>1</ELN>
                            <LOOT>2</LOOT>
                            <LOMN>6</LOMN>
                            <LOMCN>1</LOMCN>
                            <LOSN>1</LOSN>
                            <LOEN>16</LOEN>
                            <LOCN>0</LOCN>
                          </LnkInProps>
                        </LnkIn>
                      </TtlCtg>
                      <ElmtLnksIn>
                        <ElmtLnk>
                          <ElmtLnkProps>
                            <ELI>1,1,63</ELI>
                            <ELN>1</ELN>
                            <ELGN>1</ELGN>
                            <MLG>2A2FA313-1418-4896-86EA-2145EC6E6A70</MLG>
                            <ICBI>2</ICBI>
                            <ILBN/>
                            <LIBN>0</LIBN>
                          </ElmtLnkProps>
                        </ElmtLnk>
                      </ElmtLnksIn>
                    </Elmt>
                    <Elmt>
                      <ElmtProps>
                        <CPT>2</CPT>
                      </ElmtProps>
                      <ClmnBlks>
                        <ClmnBlk>
                          <ClmnBlkProps>
                            <FCPT>0</FCPT>
                            <FCN>2</FCN>
                            <LCPT>0</LCPT>
                            <LCN>2</LCN>
                          </ClmnBlkProps>
                          <ClmnBlkPts>
                            <ClmnBlkPt>
                              <ClmnBlkPtProps>
                                <CBPT>5</CBPT>
                                <ST>40</ST>
                                <VOFFF><![CDATA[Decrease in Inventory]]></VOFFF>
                              </ClmnBlkPtProps>
                              <LnkInForms>
                                <LnkInForm>
                                  <LnkInFormProps>
                                    <CBPLI>1,1,64,1,1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1,1,64,2,1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4,2,1,-1,0,0,FALSE,FALSE,1,64,2,1,-1,1,0,FALSE,FALSE§Z¿)]]></VOFFF>
                              </ClmnBlkPtProps>
                              <LnkInForms>
                                <LnkInForm>
                                  <LnkInFormProps>
                                    <CBPLI>1,1,64,3,1</CBPLI>
                                    <ELN>1</ELN>
                                    <FFF/>
                                  </LnkInFormProps>
                                </LnkInForm>
                              </LnkInForms>
                            </ClmnBlkPt>
                          </ClmnBlkPts>
                        </ClmnBlk>
                        <ClmnBlk>
                          <ClmnBlkProps>
                            <FCPT>0</FCPT>
                            <FCN>19</FCN>
                            <LCPT>0</LCPT>
                            <LCN>22</LCN>
                          </ClmnBlkProps>
                          <ClmnBlkPts>
                            <ClmnBlkPt>
                              <ClmnBlkPtProps>
                                <CBPT>5</CBPT>
                                <ST>40</ST>
                                <SON>2</SON>
                                <MC>True</MC>
                                <VOFFF><![CDATA[=§A¿0,1,0,1,185,1,1,-1,0,0,FALSE,FALSE§Z¿]]></VOFFF>
                              </ClmnBlkPtProps>
                            </ClmnBlkPt>
                          </ClmnBlkPts>
                        </ClmnBlk>
                        <ClmnBlk>
                          <ClmnBlkProps>
                            <FCPT>0</FCPT>
                            <FCN>23</FCN>
                            <LCPT>0</LCPT>
                            <LCN>23</LCN>
                          </ClmnBlkProps>
                          <ClmnBlkPts>
                            <ClmnBlkPt>
                              <ClmnBlkPtProps>
                                <CBPT>5</CBPT>
                                <ST>42</ST>
                                <SON>22</SON>
                                <VOFFF><![CDATA[=§A¿0,1,0,1,185,2,1,-1,0,0,FALSE,FALSE§Z¿]]></VOFFF>
                              </ClmnBlkPtProps>
                            </ClmnBlkPt>
                          </ClmnBlkPts>
                        </ClmnBlk>
                      </ClmnBlks>
                      <TtlCtg>
                        <TtlCtgProps>
                          <R>3</R>
                        </TtlCtgProps>
                        <LnkIn>
                          <LnkInProps>
                            <MN>58</MN>
                            <CLI>1,1,64,True,0</CLI>
                            <ELN>1</ELN>
                            <LOOT>2</LOOT>
                            <LOMN>6</LOMN>
                            <LOMCN>1</LOMCN>
                            <LOSN>1</LOSN>
                            <LOEN>18</LOEN>
                            <LOCN>0</LOCN>
                          </LnkInProps>
                        </LnkIn>
                      </TtlCtg>
                      <ElmtLnksIn>
                        <ElmtLnk>
                          <ElmtLnkProps>
                            <ELI>1,1,64</ELI>
                            <ELN>1</ELN>
                            <ELGN>1</ELGN>
                            <MLG>1953B09E-F595-4181-A03B-A678D29D60E0</MLG>
                            <ICBI>2</ICBI>
                            <ILBN/>
                            <LIBN>0</LIBN>
                          </ElmtLnkProps>
                        </ElmtLnk>
                      </ElmtLnksIn>
                    </Elmt>
                    <Elmt>
                      <ElmtProps>
                        <CPT>2</CPT>
                      </ElmtProps>
                      <ClmnBlks>
                        <ClmnBlk>
                          <ClmnBlkProps>
                            <FCPT>0</FCPT>
                            <FCN>2</FCN>
                            <LCPT>0</LCPT>
                            <LCN>2</LCN>
                          </ClmnBlkProps>
                          <ClmnBlkPts>
                            <ClmnBlkPt>
                              <ClmnBlkPtProps>
                                <CBPT>5</CBPT>
                                <ST>40</ST>
                                <VOFFF><![CDATA[Increase in Creditors]]></VOFFF>
                              </ClmnBlkPtProps>
                              <LnkInForms>
                                <LnkInForm>
                                  <LnkInFormProps>
                                    <CBPLI>1,1,65,1,1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1,1,65,2,1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5,2,1,-1,0,0,FALSE,FALSE,1,65,2,1,-1,1,0,FALSE,FALSE§Z¿)]]></VOFFF>
                              </ClmnBlkPtProps>
                              <LnkInForms>
                                <LnkInForm>
                                  <LnkInFormProps>
                                    <CBPLI>1,1,65,3,1</CBPLI>
                                    <ELN>1</ELN>
                                    <FFF/>
                                  </LnkInFormProps>
                                </LnkInForm>
                              </LnkInForms>
                            </ClmnBlkPt>
                          </ClmnBlkPts>
                        </ClmnBlk>
                        <ClmnBlk>
                          <ClmnBlkProps>
                            <FCPT>0</FCPT>
                            <FCN>19</FCN>
                            <LCPT>0</LCPT>
                            <LCN>22</LCN>
                          </ClmnBlkProps>
                          <ClmnBlkPts>
                            <ClmnBlkPt>
                              <ClmnBlkPtProps>
                                <CBPT>5</CBPT>
                                <ST>40</ST>
                                <SON>2</SON>
                                <MC>True</MC>
                                <VOFFF><![CDATA[=§A¿0,1,0,1,186,1,1,-1,0,0,FALSE,FALSE§Z¿]]></VOFFF>
                              </ClmnBlkPtProps>
                            </ClmnBlkPt>
                          </ClmnBlkPts>
                        </ClmnBlk>
                        <ClmnBlk>
                          <ClmnBlkProps>
                            <FCPT>0</FCPT>
                            <FCN>23</FCN>
                            <LCPT>0</LCPT>
                            <LCN>23</LCN>
                          </ClmnBlkProps>
                          <ClmnBlkPts>
                            <ClmnBlkPt>
                              <ClmnBlkPtProps>
                                <CBPT>5</CBPT>
                                <ST>42</ST>
                                <SON>22</SON>
                                <VOFFF><![CDATA[=§A¿0,1,0,1,186,2,1,-1,0,0,FALSE,FALSE§Z¿]]></VOFFF>
                              </ClmnBlkPtProps>
                            </ClmnBlkPt>
                          </ClmnBlkPts>
                        </ClmnBlk>
                      </ClmnBlks>
                      <TtlCtg>
                        <TtlCtgProps>
                          <R>3</R>
                        </TtlCtgProps>
                        <LnkIn>
                          <LnkInProps>
                            <MN>58</MN>
                            <CLI>1,1,65,True,0</CLI>
                            <ELN>1</ELN>
                            <LOOT>2</LOOT>
                            <LOMN>6</LOMN>
                            <LOMCN>1</LOMCN>
                            <LOSN>1</LOSN>
                            <LOEN>20</LOEN>
                            <LOCN>0</LOCN>
                          </LnkInProps>
                        </LnkIn>
                      </TtlCtg>
                      <ElmtLnksIn>
                        <ElmtLnk>
                          <ElmtLnkProps>
                            <ELI>1,1,65</ELI>
                            <ELN>1</ELN>
                            <ELGN>1</ELGN>
                            <MLG>BA2FEF64-955C-4F2F-9625-28ED695D1E65</MLG>
                            <ICBI>2</ICBI>
                            <ILBN/>
                            <LIBN>0</LIBN>
                          </ElmtLnkProps>
                        </ElmtLnk>
                      </ElmtLnksIn>
                    </Elmt>
                    <Elmt>
                      <ElmtProps>
                        <CPT>2</CPT>
                      </ElmtProps>
                      <ClmnBlks>
                        <ClmnBlk>
                          <ClmnBlkProps>
                            <FCPT>0</FCPT>
                            <FCN>2</FCN>
                            <LCPT>0</LCPT>
                            <LCN>2</LCN>
                          </ClmnBlkProps>
                          <ClmnBlkPts>
                            <ClmnBlkPt>
                              <ClmnBlkPtProps>
                                <CBPT>5</CBPT>
                                <ST>40</ST>
                                <VOFFF><![CDATA[Increase in Inventory Payables]]></VOFFF>
                              </ClmnBlkPtProps>
                              <LnkInForms>
                                <LnkInForm>
                                  <LnkInFormProps>
                                    <CBPLI>1,1,66,1,1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1,1,66,2,1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6,2,1,-1,0,0,FALSE,FALSE,1,66,2,1,-1,1,0,FALSE,FALSE§Z¿)]]></VOFFF>
                              </ClmnBlkPtProps>
                              <LnkInForms>
                                <LnkInForm>
                                  <LnkInFormProps>
                                    <CBPLI>1,1,66,3,1</CBPLI>
                                    <ELN>1</ELN>
                                    <FFF/>
                                  </LnkInFormProps>
                                </LnkInForm>
                              </LnkInForms>
                            </ClmnBlkPt>
                          </ClmnBlkPts>
                        </ClmnBlk>
                        <ClmnBlk>
                          <ClmnBlkProps>
                            <FCPT>0</FCPT>
                            <FCN>19</FCN>
                            <LCPT>0</LCPT>
                            <LCN>22</LCN>
                          </ClmnBlkProps>
                          <ClmnBlkPts>
                            <ClmnBlkPt>
                              <ClmnBlkPtProps>
                                <CBPT>5</CBPT>
                                <ST>40</ST>
                                <SON>2</SON>
                                <MC>True</MC>
                                <VOFFF><![CDATA[=§A¿0,1,0,1,187,1,1,-1,0,0,FALSE,FALSE§Z¿]]></VOFFF>
                              </ClmnBlkPtProps>
                            </ClmnBlkPt>
                          </ClmnBlkPts>
                        </ClmnBlk>
                        <ClmnBlk>
                          <ClmnBlkProps>
                            <FCPT>0</FCPT>
                            <FCN>23</FCN>
                            <LCPT>0</LCPT>
                            <LCN>23</LCN>
                          </ClmnBlkProps>
                          <ClmnBlkPts>
                            <ClmnBlkPt>
                              <ClmnBlkPtProps>
                                <CBPT>5</CBPT>
                                <ST>42</ST>
                                <SON>22</SON>
                                <VOFFF><![CDATA[=§A¿0,1,0,1,187,2,1,-1,0,0,FALSE,FALSE§Z¿]]></VOFFF>
                              </ClmnBlkPtProps>
                            </ClmnBlkPt>
                          </ClmnBlkPts>
                        </ClmnBlk>
                      </ClmnBlks>
                      <TtlCtg>
                        <TtlCtgProps>
                          <R>3</R>
                        </TtlCtgProps>
                        <LnkIn>
                          <LnkInProps>
                            <MN>58</MN>
                            <CLI>1,1,66,True,0</CLI>
                            <ELN>1</ELN>
                            <LOOT>2</LOOT>
                            <LOMN>6</LOMN>
                            <LOMCN>1</LOMCN>
                            <LOSN>1</LOSN>
                            <LOEN>22</LOEN>
                            <LOCN>0</LOCN>
                          </LnkInProps>
                        </LnkIn>
                      </TtlCtg>
                      <ShpNmes>
                        <ShpNme>
                          <ShpNmeProps>
                            <ELI>1,1,66</ELI>
                            <COSTN>0</COSTN>
                            <ST>3</ST>
                            <SNPT>2</SNPT>
                            <N><![CDATA[bpmShapeFs_Sum6]]></N>
                            <SHN>18</SHN>
                            <SHTN>6</SHTN>
                          </ShpNmeProps>
                        </ShpNme>
                      </ShpNmes>
                      <ElmtLnksIn>
                        <ElmtLnk>
                          <ElmtLnkProps>
                            <ELI>1,1,66</ELI>
                            <ELN>1</ELN>
                            <ELGN>1</ELGN>
                            <MLG>65F90C28-D873-4276-9125-43817EB985EA</MLG>
                            <ICBI>2</ICBI>
                            <ILBN/>
                            <LIBN>0</LIBN>
                          </ElmtLnkProps>
                        </ElmtLnk>
                      </ElmtLnksIn>
                    </Elmt>
                    <Elmt>
                      <ElmtProps>
                        <CPT>2</CPT>
                      </ElmtProps>
                      <ClmnBlks>
                        <ClmnBlk>
                          <ClmnBlkProps>
                            <FCPT>0</FCPT>
                            <FCN>2</FCN>
                            <LCPT>0</LCPT>
                            <LCN>2</LCN>
                          </ClmnBlkProps>
                          <ClmnBlkPts>
                            <ClmnBlkPt>
                              <ClmnBlkPtProps>
                                <CBPT>5</CBPT>
                                <ST>40</ST>
                                <VOFFF><![CDATA[Other Cash Payments]]></VOFFF>
                              </ClmnBlkPtProps>
                            </ClmnBlkPt>
                          </ClmnBlkPts>
                        </ClmnBlk>
                        <ClmnBlk>
                          <ClmnBlkProps>
                            <FCPT>0</FCPT>
                            <FCN>5</FCN>
                            <LCPT>0</LCPT>
                            <LCN>16</LCN>
                          </ClmnBlkProps>
                          <ClmnBlkPts>
                            <ClmnBlkPt>
                              <ClmnBlkPtProps>
                                <CBPT>5</CBPT>
                                <ST>42</ST>
                                <SON>30</SON>
                                <VOFFF><![CDATA[=§A¿0,1,0,1,68,2,1,-1,0,0,FALSE,FALSE§Z¿-SUM(§A¿0,1,1,1,62,2,1,-1,0,0,FALSE,FALSE,1,66,2,1,-1,0,0,FALSE,FALSE§Z¿)]]></VOFFF>
                              </ClmnBlkPtProps>
                            </ClmnBlkPt>
                          </ClmnBlkPts>
                        </ClmnBlk>
                        <ClmnBlk>
                          <ClmnBlkProps>
                            <FCPT>0</FCPT>
                            <FCN>17</FCN>
                            <LCPT>0</LCPT>
                            <LCN>17</LCN>
                          </ClmnBlkProps>
                          <ClmnBlkPts>
                            <ClmnBlkPt>
                              <ClmnBlkPtProps>
                                <CBPT>5</CBPT>
                                <ST>42</ST>
                                <SON>31</SON>
                                <VOFFF><![CDATA[=SUM(§A¿0,1,1,1,67,2,1,-1,0,0,FALSE,FALSE,1,67,2,1,-1,1,0,FALSE,FALSE§Z¿)]]></VOFFF>
                              </ClmnBlkPtProps>
                            </ClmnBlkPt>
                          </ClmnBlkPts>
                        </ClmnBlk>
                        <ClmnBlk>
                          <ClmnBlkProps>
                            <FCPT>0</FCPT>
                            <FCN>19</FCN>
                            <LCPT>0</LCPT>
                            <LCN>22</LCN>
                          </ClmnBlkProps>
                          <ClmnBlkPts>
                            <ClmnBlkPt>
                              <ClmnBlkPtProps>
                                <CBPT>5</CBPT>
                                <ST>40</ST>
                                <SON>2</SON>
                                <MC>True</MC>
                                <VOFFF><![CDATA[=§A¿0,1,0,1,188,1,1,-1,0,0,FALSE,FALSE§Z¿]]></VOFFF>
                              </ClmnBlkPtProps>
                            </ClmnBlkPt>
                          </ClmnBlkPts>
                        </ClmnBlk>
                        <ClmnBlk>
                          <ClmnBlkProps>
                            <FCPT>0</FCPT>
                            <FCN>23</FCN>
                            <LCPT>0</LCPT>
                            <LCN>23</LCN>
                          </ClmnBlkProps>
                          <ClmnBlkPts>
                            <ClmnBlkPt>
                              <ClmnBlkPtProps>
                                <CBPT>5</CBPT>
                                <ST>42</ST>
                                <SON>22</SON>
                                <VOFFF><![CDATA[=§A¿0,1,0,1,188,2,1,-1,0,0,FALSE,FALSE§Z¿]]></VOFFF>
                              </ClmnBlkPtProps>
                            </ClmnBlkPt>
                          </ClmnBlkPts>
                        </ClmnBlk>
                        <ClmnBlk>
                          <ClmnBlkProps>
                            <FCPT>0</FCPT>
                            <FCN>30</FCN>
                            <LCPT>0</LCPT>
                            <LCN>34</LCN>
                          </ClmnBlkProps>
                          <ClmnBlkPts>
                            <ClmnBlkPt>
                              <ClmnBlkPtProps>
                                <CBPT>5</CBPT>
                                <ST>38</ST>
                                <SON>5</SON>
                                <MC>True</MC>
                                <VOFFF><![CDATA[       Main Cash Flows]]></VOFFF>
                              </ClmnBlkPtProps>
                            </ClmnBlkPt>
                          </ClmnBlkPts>
                        </ClmnBlk>
                      </ClmnBlks>
                      <TtlCtg>
                        <TtlCtgProps>
                          <R>3</R>
                        </TtlCtgProps>
                      </TtlCtg>
                    </Elmt>
                    <Elmt>
                      <ElmtProps>
                        <CPT>2</CPT>
                      </ElmtProps>
                      <ClmnBlks>
                        <ClmnBlk>
                          <ClmnBlkProps>
                            <FCPT>0</FCPT>
                            <FCN>2</FCN>
                            <LCPT>0</LCPT>
                            <LCN>2</LCN>
                          </ClmnBlkProps>
                          <ClmnBlkPts>
                            <ClmnBlkPt>
                              <ClmnBlkPtProps>
                                <CBPT>5</CBPT>
                                <ST>40</ST>
                                <VOFFF><![CDATA[Cash Payments]]></VOFFF>
                              </ClmnBlkPtProps>
                            </ClmnBlkPt>
                          </ClmnBlkPts>
                        </ClmnBlk>
                        <ClmnBlk>
                          <ClmnBlkProps>
                            <FCPT>0</FCPT>
                            <FCN>5</FCN>
                            <LCPT>0</LCPT>
                            <LCN>16</LCN>
                          </ClmnBlkProps>
                          <ClmnBlkPts>
                            <ClmnBlkPt>
                              <ClmnBlkPtProps>
                                <CBPT>5</CBPT>
                                <ST>42</ST>
                                <SON>22</SON>
                                <VOFFF><![CDATA[0]]></VOFFF>
                              </ClmnBlkPtProps>
                              <LnkInForms>
                                <LnkInForm>
                                  <LnkInFormProps>
                                    <CBPLI>1,1,68,2,1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8,2,1,-1,0,0,FALSE,FALSE,1,68,2,1,-1,1,0,FALSE,FALSE§Z¿)]]></VOFFF>
                              </ClmnBlkPtProps>
                            </ClmnBlkPt>
                          </ClmnBlkPts>
                        </ClmnBlk>
                        <ClmnBlk>
                          <ClmnBlkProps>
                            <FCPT>0</FCPT>
                            <FCN>19</FCN>
                            <LCPT>0</LCPT>
                            <LCN>22</LCN>
                          </ClmnBlkProps>
                          <ClmnBlkPts>
                            <ClmnBlkPt>
                              <ClmnBlkPtProps>
                                <CBPT>5</CBPT>
                                <ST>40</ST>
                                <SON>2</SON>
                                <MC>True</MC>
                                <VOFFF><![CDATA[=§A¿0,1,0,1,189,1,1,-1,0,0,FALSE,FALSE§Z¿]]></VOFFF>
                              </ClmnBlkPtProps>
                            </ClmnBlkPt>
                          </ClmnBlkPts>
                        </ClmnBlk>
                        <ClmnBlk>
                          <ClmnBlkProps>
                            <FCPT>0</FCPT>
                            <FCN>23</FCN>
                            <LCPT>0</LCPT>
                            <LCN>23</LCN>
                          </ClmnBlkProps>
                          <ClmnBlkPts>
                            <ClmnBlkPt>
                              <ClmnBlkPtProps>
                                <CBPT>5</CBPT>
                                <ST>42</ST>
                                <SON>22</SON>
                                <VOFFF><![CDATA[=§A¿0,1,0,1,189,2,1,-1,0,0,FALSE,FALSE§Z¿]]></VOFFF>
                              </ClmnBlkPtProps>
                            </ClmnBlkPt>
                          </ClmnBlkPts>
                        </ClmnBlk>
                      </ClmnBlks>
                      <TtlCtg>
                        <TtlCtgProps>
                          <R>3</R>
                        </TtlCtgProps>
                        <LnkIn>
                          <LnkInProps>
                            <MN>58</MN>
                            <CLI>1,1,68,True,0</CLI>
                            <ELN>1</ELN>
                            <LOOT>2</LOOT>
                            <LOMN>6</LOMN>
                            <LOMCN>1</LOMCN>
                            <LOSN>1</LOSN>
                            <LOEN>26</LOEN>
                            <LOCN>0</LOCN>
                          </LnkInProps>
                        </LnkIn>
                      </TtlCtg>
                      <ShpNmes>
                        <ShpNme>
                          <ShpNmeProps>
                            <ELI>1,1,68</ELI>
                            <COSTN>0</COSTN>
                            <ST>2</ST>
                            <SNPT>2</SNPT>
                            <N><![CDATA[bpmChartFs_Sum18]]></N>
                            <SHN>11</SHN>
                            <SHTN>9</SHTN>
                          </ShpNmeProps>
                        </ShpNme>
                      </ShpNmes>
                      <ElmtLnksIn>
                        <ElmtLnk>
                          <ElmtLnkProps>
                            <ELI>1,1,68</ELI>
                            <ELN>1</ELN>
                            <ELGN>1</ELGN>
                            <MLG>41096A03-BED5-4F39-B332-0A5E06ECEECF</MLG>
                            <ICBI>2</ICBI>
                            <ILBN/>
                            <LIBN>0</LIBN>
                          </ElmtLnkProps>
                        </ElmtLnk>
                      </ElmtLnksIn>
                    </Elmt>
                    <Elmt>
                      <ElmtProps>
                        <CPT>2</CPT>
                      </ElmtProps>
                      <ClmnBlks>
                        <ClmnBlk>
                          <ClmnBlkProps>
                            <FCPT>0</FCPT>
                            <FCN>2</FCN>
                            <LCPT>0</LCPT>
                            <LCN>2</LCN>
                          </ClmnBlkProps>
                          <ClmnBlkPts>
                            <ClmnBlkPt>
                              <ClmnBlkPtProps>
                                <CBPT>5</CBPT>
                                <ST>40</ST>
                                <VOFFF><![CDATA[Interest on Cash]]></VOFFF>
                              </ClmnBlkPtProps>
                              <LnkInForms>
                                <LnkInForm>
                                  <LnkInFormProps>
                                    <CBPLI>1,1,69,1,1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1,1,69,2,1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69,2,1,-1,0,0,FALSE,FALSE,1,69,2,1,-1,1,0,FALSE,FALSE§Z¿)]]></VOFFF>
                              </ClmnBlkPtProps>
                              <LnkInForms>
                                <LnkInForm>
                                  <LnkInFormProps>
                                    <CBPLI>1,1,69,3,1</CBPLI>
                                    <ELN>1</ELN>
                                    <FFF/>
                                  </LnkInFormProps>
                                </LnkInForm>
                              </LnkInForms>
                            </ClmnBlkPt>
                          </ClmnBlkPts>
                        </ClmnBlk>
                        <ClmnBlk>
                          <ClmnBlkProps>
                            <FCPT>0</FCPT>
                            <FCN>19</FCN>
                            <LCPT>0</LCPT>
                            <LCN>22</LCN>
                          </ClmnBlkProps>
                          <ClmnBlkPts>
                            <ClmnBlkPt>
                              <ClmnBlkPtProps>
                                <CBPT>5</CBPT>
                                <ST>40</ST>
                                <SON>2</SON>
                                <MC>True</MC>
                                <VOFFF><![CDATA[=§A¿0,1,0,1,190,1,1,-1,0,0,FALSE,FALSE§Z¿]]></VOFFF>
                              </ClmnBlkPtProps>
                            </ClmnBlkPt>
                          </ClmnBlkPts>
                        </ClmnBlk>
                        <ClmnBlk>
                          <ClmnBlkProps>
                            <FCPT>0</FCPT>
                            <FCN>23</FCN>
                            <LCPT>0</LCPT>
                            <LCN>23</LCN>
                          </ClmnBlkProps>
                          <ClmnBlkPts>
                            <ClmnBlkPt>
                              <ClmnBlkPtProps>
                                <CBPT>5</CBPT>
                                <ST>42</ST>
                                <SON>22</SON>
                                <VOFFF><![CDATA[=§A¿0,1,0,1,190,2,1,-1,0,0,FALSE,FALSE§Z¿]]></VOFFF>
                              </ClmnBlkPtProps>
                            </ClmnBlkPt>
                          </ClmnBlkPts>
                        </ClmnBlk>
                      </ClmnBlks>
                      <TtlCtg>
                        <TtlCtgProps>
                          <R>3</R>
                        </TtlCtgProps>
                        <LnkIn>
                          <LnkInProps>
                            <MN>58</MN>
                            <CLI>1,1,69,True,0</CLI>
                            <ELN>1</ELN>
                            <LOOT>2</LOOT>
                            <LOMN>6</LOMN>
                            <LOMCN>1</LOMCN>
                            <LOSN>1</LOSN>
                            <LOEN>28</LOEN>
                            <LOCN>0</LOCN>
                          </LnkInProps>
                        </LnkIn>
                      </TtlCtg>
                      <ElmtLnksIn>
                        <ElmtLnk>
                          <ElmtLnkProps>
                            <ELI>1,1,69</ELI>
                            <ELN>1</ELN>
                            <ELGN>1</ELGN>
                            <MLG>DC8796E1-E4E6-4D37-89C2-B6EA6B95070A</MLG>
                            <ICBI>2</ICBI>
                            <ILBN/>
                            <LIBN>0</LIBN>
                          </ElmtLnkProps>
                        </ElmtLnk>
                      </ElmtLnksIn>
                    </Elmt>
                    <Elmt>
                      <ElmtProps>
                        <CPT>2</CPT>
                      </ElmtProps>
                      <ClmnBlks>
                        <ClmnBlk>
                          <ClmnBlkProps>
                            <FCPT>0</FCPT>
                            <FCN>2</FCN>
                            <LCPT>0</LCPT>
                            <LCN>2</LCN>
                          </ClmnBlkProps>
                          <ClmnBlkPts>
                            <ClmnBlkPt>
                              <ClmnBlkPtProps>
                                <CBPT>5</CBPT>
                                <ST>40</ST>
                                <VOFFF><![CDATA[Increase in VAT Payable]]></VOFFF>
                              </ClmnBlkPtProps>
                              <LnkInForms>
                                <LnkInForm>
                                  <LnkInFormProps>
                                    <CBPLI>1,1,70,1,1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1,1,70,2,1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0,2,1,-1,0,0,FALSE,FALSE,1,70,2,1,-1,1,0,FALSE,FALSE§Z¿)]]></VOFFF>
                              </ClmnBlkPtProps>
                              <LnkInForms>
                                <LnkInForm>
                                  <LnkInFormProps>
                                    <CBPLI>1,1,70,3,1</CBPLI>
                                    <ELN>1</ELN>
                                    <FFF/>
                                  </LnkInFormProps>
                                </LnkInForm>
                              </LnkInForms>
                            </ClmnBlkPt>
                          </ClmnBlkPts>
                        </ClmnBlk>
                        <ClmnBlk>
                          <ClmnBlkProps>
                            <FCPT>0</FCPT>
                            <FCN>19</FCN>
                            <LCPT>0</LCPT>
                            <LCN>22</LCN>
                          </ClmnBlkProps>
                          <ClmnBlkPts>
                            <ClmnBlkPt>
                              <ClmnBlkPtProps>
                                <CBPT>5</CBPT>
                                <ST>40</ST>
                                <SON>2</SON>
                                <MC>True</MC>
                                <VOFFF><![CDATA[=§A¿0,1,0,1,191,1,1,-1,0,0,FALSE,FALSE§Z¿]]></VOFFF>
                              </ClmnBlkPtProps>
                            </ClmnBlkPt>
                          </ClmnBlkPts>
                        </ClmnBlk>
                        <ClmnBlk>
                          <ClmnBlkProps>
                            <FCPT>0</FCPT>
                            <FCN>23</FCN>
                            <LCPT>0</LCPT>
                            <LCN>23</LCN>
                          </ClmnBlkProps>
                          <ClmnBlkPts>
                            <ClmnBlkPt>
                              <ClmnBlkPtProps>
                                <CBPT>5</CBPT>
                                <ST>42</ST>
                                <SON>22</SON>
                                <VOFFF><![CDATA[=§A¿0,1,0,1,191,2,1,-1,0,0,FALSE,FALSE§Z¿]]></VOFFF>
                              </ClmnBlkPtProps>
                            </ClmnBlkPt>
                          </ClmnBlkPts>
                        </ClmnBlk>
                      </ClmnBlks>
                      <TtlCtg>
                        <TtlCtgProps>
                          <R>3</R>
                        </TtlCtgProps>
                        <LnkIn>
                          <LnkInProps>
                            <MN>58</MN>
                            <CLI>1,1,70,True,0</CLI>
                            <ELN>1</ELN>
                            <LOOT>2</LOOT>
                            <LOMN>6</LOMN>
                            <LOMCN>1</LOMCN>
                            <LOSN>1</LOSN>
                            <LOEN>32</LOEN>
                            <LOCN>0</LOCN>
                          </LnkInProps>
                        </LnkIn>
                      </TtlCtg>
                      <ElmtLnksIn>
                        <ElmtLnk>
                          <ElmtLnkProps>
                            <ELI>1,1,70</ELI>
                            <ELN>1</ELN>
                            <ELGN>1</ELGN>
                            <MLG>ADC1A17D-BB6C-41EF-9D3C-3E8C7B780954</MLG>
                            <ICBI>2</ICBI>
                            <ILBN/>
                            <LIBN>0</LIBN>
                          </ElmtLnkProps>
                        </ElmtLnk>
                      </ElmtLnksIn>
                    </Elmt>
                    <Elmt>
                      <ElmtProps>
                        <CPT>2</CPT>
                      </ElmtProps>
                      <ClmnBlks>
                        <ClmnBlk>
                          <ClmnBlkProps>
                            <FCPT>0</FCPT>
                            <FCN>2</FCN>
                            <LCPT>0</LCPT>
                            <LCN>2</LCN>
                          </ClmnBlkProps>
                          <ClmnBlkPts>
                            <ClmnBlkPt>
                              <ClmnBlkPtProps>
                                <CBPT>5</CBPT>
                                <ST>40</ST>
                                <VOFFF><![CDATA[Interest Paid]]></VOFFF>
                              </ClmnBlkPtProps>
                              <LnkInForms>
                                <LnkInForm>
                                  <LnkInFormProps>
                                    <CBPLI>1,1,71,1,1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1,1,71,2,1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1,2,1,-1,0,0,FALSE,FALSE,1,71,2,1,-1,1,0,FALSE,FALSE§Z¿)]]></VOFFF>
                              </ClmnBlkPtProps>
                              <LnkInForms>
                                <LnkInForm>
                                  <LnkInFormProps>
                                    <CBPLI>1,1,71,3,1</CBPLI>
                                    <ELN>1</ELN>
                                    <FFF/>
                                  </LnkInFormProps>
                                </LnkInForm>
                              </LnkInForms>
                            </ClmnBlkPt>
                          </ClmnBlkPts>
                        </ClmnBlk>
                        <ClmnBlk>
                          <ClmnBlkProps>
                            <FCPT>0</FCPT>
                            <FCN>19</FCN>
                            <LCPT>0</LCPT>
                            <LCN>22</LCN>
                          </ClmnBlkProps>
                          <ClmnBlkPts>
                            <ClmnBlkPt>
                              <ClmnBlkPtProps>
                                <CBPT>5</CBPT>
                                <ST>40</ST>
                                <SON>2</SON>
                                <MC>True</MC>
                                <VOFFF><![CDATA[=§A¿0,1,0,1,192,1,1,-1,0,0,FALSE,FALSE§Z¿]]></VOFFF>
                              </ClmnBlkPtProps>
                            </ClmnBlkPt>
                          </ClmnBlkPts>
                        </ClmnBlk>
                        <ClmnBlk>
                          <ClmnBlkProps>
                            <FCPT>0</FCPT>
                            <FCN>23</FCN>
                            <LCPT>0</LCPT>
                            <LCN>23</LCN>
                          </ClmnBlkProps>
                          <ClmnBlkPts>
                            <ClmnBlkPt>
                              <ClmnBlkPtProps>
                                <CBPT>5</CBPT>
                                <ST>42</ST>
                                <SON>22</SON>
                                <VOFFF><![CDATA[=§A¿0,1,0,1,192,2,1,-1,0,0,FALSE,FALSE§Z¿]]></VOFFF>
                              </ClmnBlkPtProps>
                            </ClmnBlkPt>
                          </ClmnBlkPts>
                        </ClmnBlk>
                      </ClmnBlks>
                      <TtlCtg>
                        <TtlCtgProps>
                          <R>3</R>
                        </TtlCtgProps>
                        <LnkIn>
                          <LnkInProps>
                            <MN>58</MN>
                            <CLI>1,1,71,True,0</CLI>
                            <ELN>1</ELN>
                            <LOOT>2</LOOT>
                            <LOMN>6</LOMN>
                            <LOMCN>1</LOMCN>
                            <LOSN>1</LOSN>
                            <LOEN>38</LOEN>
                            <LOCN>0</LOCN>
                          </LnkInProps>
                        </LnkIn>
                      </TtlCtg>
                      <ElmtLnksIn>
                        <ElmtLnk>
                          <ElmtLnkProps>
                            <ELI>1,1,71</ELI>
                            <ELN>1</ELN>
                            <ELGN>1</ELGN>
                            <MLG>3973D55B-B6D5-4474-B43E-AB076115D10E</MLG>
                            <ICBI>2</ICBI>
                            <ILBN/>
                            <LIBN>0</LIBN>
                          </ElmtLnkProps>
                        </ElmtLnk>
                      </ElmtLnksIn>
                    </Elmt>
                    <Elmt>
                      <ElmtProps>
                        <CPT>2</CPT>
                      </ElmtProps>
                      <ClmnBlks>
                        <ClmnBlk>
                          <ClmnBlkProps>
                            <FCPT>0</FCPT>
                            <FCN>2</FCN>
                            <LCPT>0</LCPT>
                            <LCN>2</LCN>
                          </ClmnBlkProps>
                          <ClmnBlkPts>
                            <ClmnBlkPt>
                              <ClmnBlkPtProps>
                                <CBPT>5</CBPT>
                                <ST>40</ST>
                                <VOFFF><![CDATA[Corporate Tax Paid]]></VOFFF>
                              </ClmnBlkPtProps>
                              <LnkInForms>
                                <LnkInForm>
                                  <LnkInFormProps>
                                    <CBPLI>1,1,72,1,1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1,1,72,2,1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2,2,1,-1,0,0,FALSE,FALSE,1,72,2,1,-1,1,0,FALSE,FALSE§Z¿)]]></VOFFF>
                              </ClmnBlkPtProps>
                              <LnkInForms>
                                <LnkInForm>
                                  <LnkInFormProps>
                                    <CBPLI>1,1,72,3,1</CBPLI>
                                    <ELN>1</ELN>
                                    <FFF/>
                                  </LnkInFormProps>
                                </LnkInForm>
                              </LnkInForms>
                            </ClmnBlkPt>
                          </ClmnBlkPts>
                        </ClmnBlk>
                        <ClmnBlk>
                          <ClmnBlkProps>
                            <FCPT>0</FCPT>
                            <FCN>19</FCN>
                            <LCPT>0</LCPT>
                            <LCN>22</LCN>
                          </ClmnBlkProps>
                          <ClmnBlkPts>
                            <ClmnBlkPt>
                              <ClmnBlkPtProps>
                                <CBPT>5</CBPT>
                                <ST>40</ST>
                                <SON>2</SON>
                                <MC>True</MC>
                                <VOFFF><![CDATA[=§A¿0,1,0,1,193,1,1,-1,0,0,FALSE,FALSE§Z¿]]></VOFFF>
                              </ClmnBlkPtProps>
                            </ClmnBlkPt>
                          </ClmnBlkPts>
                        </ClmnBlk>
                        <ClmnBlk>
                          <ClmnBlkProps>
                            <FCPT>0</FCPT>
                            <FCN>23</FCN>
                            <LCPT>0</LCPT>
                            <LCN>23</LCN>
                          </ClmnBlkProps>
                          <ClmnBlkPts>
                            <ClmnBlkPt>
                              <ClmnBlkPtProps>
                                <CBPT>5</CBPT>
                                <ST>42</ST>
                                <SON>22</SON>
                                <VOFFF><![CDATA[=§A¿0,1,0,1,193,2,1,-1,0,0,FALSE,FALSE§Z¿]]></VOFFF>
                              </ClmnBlkPtProps>
                            </ClmnBlkPt>
                          </ClmnBlkPts>
                        </ClmnBlk>
                      </ClmnBlks>
                      <TtlCtg>
                        <TtlCtgProps>
                          <R>3</R>
                        </TtlCtgProps>
                        <LnkIn>
                          <LnkInProps>
                            <MN>58</MN>
                            <CLI>1,1,72,True,0</CLI>
                            <ELN>1</ELN>
                            <LOOT>2</LOOT>
                            <LOMN>6</LOMN>
                            <LOMCN>1</LOMCN>
                            <LOSN>1</LOSN>
                            <LOEN>40</LOEN>
                            <LOCN>0</LOCN>
                          </LnkInProps>
                        </LnkIn>
                      </TtlCtg>
                      <ElmtLnksIn>
                        <ElmtLnk>
                          <ElmtLnkProps>
                            <ELI>1,1,72</ELI>
                            <ELN>1</ELN>
                            <ELGN>1</ELGN>
                            <MLG>0C47C8C0-92C6-48FB-AE5B-5743047E3656</MLG>
                            <ICBI>2</ICBI>
                            <ILBN/>
                            <LIBN>0</LIBN>
                          </ElmtLnkProps>
                        </ElmtLnk>
                      </ElmtLnksIn>
                    </Elmt>
                    <Elmt>
                      <ElmtProps>
                        <CPT>2</CPT>
                      </ElmtProps>
                      <ClmnBlks>
                        <ClmnBlk>
                          <ClmnBlkProps>
                            <FCPT>0</FCPT>
                            <FCN>2</FCN>
                            <LCPT>0</LCPT>
                            <LCN>2</LCN>
                          </ClmnBlkProps>
                          <ClmnBlkPts>
                            <ClmnBlkPt>
                              <ClmnBlkPtProps>
                                <CBPT>5</CBPT>
                                <ST>40</ST>
                                <VOFFF><![CDATA[Other Operating Cash Flows]]></VOFFF>
                              </ClmnBlkPtProps>
                            </ClmnBlkPt>
                          </ClmnBlkPts>
                        </ClmnBlk>
                        <ClmnBlk>
                          <ClmnBlkProps>
                            <FCPT>0</FCPT>
                            <FCN>5</FCN>
                            <LCPT>0</LCPT>
                            <LCN>16</LCN>
                          </ClmnBlkProps>
                          <ClmnBlkPts>
                            <ClmnBlkPt>
                              <ClmnBlkPtProps>
                                <CBPT>5</CBPT>
                                <ST>42</ST>
                                <SON>24</SON>
                                <VOFFF><![CDATA[=§A¿0,1,0,1,74,2,1,-1,0,0,FALSE,FALSE§Z¿-§A¿0,1,0,1,61,2,1,-1,0,0,FALSE,FALSE§Z¿-§A¿0,1,0,1,68,2,1,-1,0,0,FALSE,FALSE§Z¿-SUM(§A¿0,1,1,1,69,2,1,-1,0,0,FALSE,FALSE,1,72,2,1,-1,0,0,FALSE,FALSE§Z¿)]]></VOFFF>
                              </ClmnBlkPtProps>
                            </ClmnBlkPt>
                          </ClmnBlkPts>
                        </ClmnBlk>
                        <ClmnBlk>
                          <ClmnBlkProps>
                            <FCPT>0</FCPT>
                            <FCN>17</FCN>
                            <LCPT>0</LCPT>
                            <LCN>17</LCN>
                          </ClmnBlkProps>
                          <ClmnBlkPts>
                            <ClmnBlkPt>
                              <ClmnBlkPtProps>
                                <CBPT>5</CBPT>
                                <ST>42</ST>
                                <SON>33</SON>
                                <VOFFF><![CDATA[=SUM(§A¿0,1,1,1,73,2,1,-1,0,0,FALSE,FALSE,1,73,2,1,-1,1,0,FALSE,FALSE§Z¿)]]></VOFFF>
                              </ClmnBlkPtProps>
                            </ClmnBlkPt>
                          </ClmnBlkPts>
                        </ClmnBlk>
                        <ClmnBlk>
                          <ClmnBlkProps>
                            <FCPT>0</FCPT>
                            <FCN>19</FCN>
                            <LCPT>0</LCPT>
                            <LCN>22</LCN>
                          </ClmnBlkProps>
                          <ClmnBlkPts>
                            <ClmnBlkPt>
                              <ClmnBlkPtProps>
                                <CBPT>5</CBPT>
                                <ST>40</ST>
                                <SON>2</SON>
                                <MC>True</MC>
                                <VOFFF><![CDATA[=§A¿0,1,0,1,194,1,1,-1,0,0,FALSE,FALSE§Z¿]]></VOFFF>
                              </ClmnBlkPtProps>
                            </ClmnBlkPt>
                          </ClmnBlkPts>
                        </ClmnBlk>
                        <ClmnBlk>
                          <ClmnBlkProps>
                            <FCPT>0</FCPT>
                            <FCN>23</FCN>
                            <LCPT>0</LCPT>
                            <LCN>23</LCN>
                          </ClmnBlkProps>
                          <ClmnBlkPts>
                            <ClmnBlkPt>
                              <ClmnBlkPtProps>
                                <CBPT>5</CBPT>
                                <ST>42</ST>
                                <SON>22</SON>
                                <VOFFF><![CDATA[=§A¿0,1,0,1,194,2,1,-1,0,0,FALSE,FALSE§Z¿]]></VOFFF>
                              </ClmnBlkPtProps>
                            </ClmnBlkPt>
                          </ClmnBlkPts>
                        </ClmnBlk>
                      </ClmnBlks>
                      <TtlCtg>
                        <TtlCtgProps>
                          <R>3</R>
                        </TtlCtgProps>
                      </TtlCtg>
                    </Elmt>
                    <Elmt>
                      <ElmtProps>
                        <CPT>2</CPT>
                      </ElmtProps>
                      <ClmnBlks>
                        <ClmnBlk>
                          <ClmnBlkProps>
                            <FCPT>0</FCPT>
                            <FCN>2</FCN>
                            <LCPT>0</LCPT>
                            <LCN>2</LCN>
                          </ClmnBlkProps>
                          <ClmnBlkPts>
                            <ClmnBlkPt>
                              <ClmnBlkPtProps>
                                <CBPT>5</CBPT>
                                <ST>39</ST>
                                <VOFFF><![CDATA[Operating Cash Flows]]></VOFFF>
                              </ClmnBlkPtProps>
                              <LnkInForms>
                                <LnkInForm>
                                  <LnkInFormProps>
                                    <CBPLI>1,1,74,1,1</CBPLI>
                                    <ELN>1</ELN>
                                    <FFF/>
                                  </LnkInFormProps>
                                </LnkInForm>
                              </LnkInForms>
                            </ClmnBlkPt>
                          </ClmnBlkPts>
                        </ClmnBlk>
                        <ClmnBlk>
                          <ClmnBlkProps>
                            <FCPT>0</FCPT>
                            <FCN>5</FCN>
                            <LCPT>0</LCPT>
                            <LCN>16</LCN>
                          </ClmnBlkProps>
                          <ClmnBlkPts>
                            <ClmnBlkPt>
                              <ClmnBlkPtProps>
                                <CBPT>5</CBPT>
                                <ST>42</ST>
                                <SON>25</SON>
                                <VOFFF><![CDATA[0]]></VOFFF>
                              </ClmnBlkPtProps>
                              <LnkInForms>
                                <LnkInForm>
                                  <LnkInFormProps>
                                    <CBPLI>1,1,74,2,1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32</SON>
                                <VOFFF><![CDATA[=SUM(§A¿0,1,1,1,74,2,1,-1,0,0,FALSE,FALSE,1,74,2,1,-1,1,0,FALSE,FALSE§Z¿)]]></VOFFF>
                              </ClmnBlkPtProps>
                              <LnkInForms>
                                <LnkInForm>
                                  <LnkInFormProps>
                                    <CBPLI>1,1,74,3,1</CBPLI>
                                    <ELN>1</ELN>
                                    <FFF/>
                                  </LnkInFormProps>
                                </LnkInForm>
                              </LnkInForms>
                            </ClmnBlkPt>
                          </ClmnBlkPts>
                        </ClmnBlk>
                        <ClmnBlk>
                          <ClmnBlkProps>
                            <FCPT>0</FCPT>
                            <FCN>19</FCN>
                            <LCPT>0</LCPT>
                            <LCN>22</LCN>
                          </ClmnBlkProps>
                          <ClmnBlkPts>
                            <ClmnBlkPt>
                              <ClmnBlkPtProps>
                                <CBPT>5</CBPT>
                                <ST>40</ST>
                                <SON>2</SON>
                                <MC>True</MC>
                                <VOFFF><![CDATA[=§A¿0,1,0,1,195,1,1,-1,0,0,FALSE,FALSE§Z¿]]></VOFFF>
                              </ClmnBlkPtProps>
                            </ClmnBlkPt>
                          </ClmnBlkPts>
                        </ClmnBlk>
                        <ClmnBlk>
                          <ClmnBlkProps>
                            <FCPT>0</FCPT>
                            <FCN>23</FCN>
                            <LCPT>0</LCPT>
                            <LCN>23</LCN>
                          </ClmnBlkProps>
                          <ClmnBlkPts>
                            <ClmnBlkPt>
                              <ClmnBlkPtProps>
                                <CBPT>5</CBPT>
                                <ST>42</ST>
                                <SON>22</SON>
                                <VOFFF><![CDATA[=§A¿0,1,0,1,195,2,1,-1,0,0,FALSE,FALSE§Z¿]]></VOFFF>
                              </ClmnBlkPtProps>
                            </ClmnBlkPt>
                          </ClmnBlkPts>
                        </ClmnBlk>
                      </ClmnBlks>
                      <TtlCtg>
                        <TtlCtgProps>
                          <R>3</R>
                        </TtlCtgProps>
                        <LnkIn>
                          <LnkInProps>
                            <MN>58</MN>
                            <CLI>1,1,74,True,0</CLI>
                            <ELN>1</ELN>
                            <LOOT>2</LOOT>
                            <LOMN>6</LOMN>
                            <LOMCN>1</LOMCN>
                            <LOSN>1</LOSN>
                            <LOEN>44</LOEN>
                            <LOCN>0</LOCN>
                          </LnkInProps>
                        </LnkIn>
                      </TtlCtg>
                      <ElmtLnksIn>
                        <ElmtLnk>
                          <ElmtLnkProps>
                            <ELI>1,1,74</ELI>
                            <ELN>1</ELN>
                            <ELGN>1</ELGN>
                            <MLG>5A41D950-1C57-41C9-90EA-CB1F503F74A2</MLG>
                            <ICBI>2</ICBI>
                            <ILBN/>
                            <LIBN>0</LIBN>
                          </ElmtLnkProps>
                        </ElmtLnk>
                      </ElmtLnksIn>
                    </Elmt>
                    <Elmt>
                      <ElmtProps>
                        <CPT>2</CPT>
                      </ElmtProps>
                      <ClmnBlks>
                        <ClmnBlk>
                          <ClmnBlkProps>
                            <FCPT>0</FCPT>
                            <FCN>2</FCN>
                            <LCPT>0</LCPT>
                            <LCN>2</LCN>
                          </ClmnBlkProps>
                          <ClmnBlkPts>
                            <ClmnBlkPt>
                              <ClmnBlkPtProps>
                                <CBPT>5</CBPT>
                                <ST>40</ST>
                                <VOFFF><![CDATA[Fixed Assets Capital Expenditure]]></VOFFF>
                              </ClmnBlkPtProps>
                            </ClmnBlkPt>
                          </ClmnBlkPts>
                        </ClmnBlk>
                        <ClmnBlk>
                          <ClmnBlkProps>
                            <FCPT>0</FCPT>
                            <FCN>5</FCN>
                            <LCPT>0</LCPT>
                            <LCN>16</LCN>
                          </ClmnBlkProps>
                          <ClmnBlkPts>
                            <ClmnBlkPt>
                              <ClmnBlkPtProps>
                                <CBPT>5</CBPT>
                                <ST>42</ST>
                                <SON>22</SON>
                                <VOFFF><![CDATA[0]]></VOFFF>
                              </ClmnBlkPtProps>
                              <LnkInForms>
                                <LnkInForm>
                                  <LnkInFormProps>
                                    <CBPLI>1,1,75,2,1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5,2,1,-1,0,0,FALSE,FALSE,1,75,2,1,-1,1,0,FALSE,FALSE§Z¿)]]></VOFFF>
                              </ClmnBlkPtProps>
                            </ClmnBlkPt>
                          </ClmnBlkPts>
                        </ClmnBlk>
                        <ClmnBlk>
                          <ClmnBlkProps>
                            <FCPT>0</FCPT>
                            <FCN>19</FCN>
                            <LCPT>0</LCPT>
                            <LCN>22</LCN>
                          </ClmnBlkProps>
                          <ClmnBlkPts>
                            <ClmnBlkPt>
                              <ClmnBlkPtProps>
                                <CBPT>5</CBPT>
                                <ST>40</ST>
                                <SON>2</SON>
                                <MC>True</MC>
                                <VOFFF><![CDATA[=§A¿0,1,0,1,196,1,1,-1,0,0,FALSE,FALSE§Z¿]]></VOFFF>
                              </ClmnBlkPtProps>
                            </ClmnBlkPt>
                          </ClmnBlkPts>
                        </ClmnBlk>
                        <ClmnBlk>
                          <ClmnBlkProps>
                            <FCPT>0</FCPT>
                            <FCN>23</FCN>
                            <LCPT>0</LCPT>
                            <LCN>23</LCN>
                          </ClmnBlkProps>
                          <ClmnBlkPts>
                            <ClmnBlkPt>
                              <ClmnBlkPtProps>
                                <CBPT>5</CBPT>
                                <ST>42</ST>
                                <SON>22</SON>
                                <VOFFF><![CDATA[=§A¿0,1,0,1,196,2,1,-1,0,0,FALSE,FALSE§Z¿]]></VOFFF>
                              </ClmnBlkPtProps>
                            </ClmnBlkPt>
                          </ClmnBlkPts>
                        </ClmnBlk>
                      </ClmnBlks>
                      <TtlCtg>
                        <TtlCtgProps>
                          <R>3</R>
                        </TtlCtgProps>
                        <LnkIn>
                          <LnkInProps>
                            <MN>58</MN>
                            <CLI>1,1,75,True,0</CLI>
                            <ELN>1</ELN>
                            <LOOT>2</LOOT>
                            <LOMN>6</LOMN>
                            <LOMCN>1</LOMCN>
                            <LOSN>1</LOSN>
                            <LOEN>46</LOEN>
                            <LOCN>0</LOCN>
                          </LnkInProps>
                        </LnkIn>
                      </TtlCtg>
                      <ElmtLnksIn>
                        <ElmtLnk>
                          <ElmtLnkProps>
                            <ELI>1,1,75</ELI>
                            <ELN>1</ELN>
                            <ELGN>1</ELGN>
                            <MLG>2AD5CAB9-52E0-438F-B30F-03C7183B2165</MLG>
                            <ICBI>2</ICBI>
                            <ILBN/>
                            <LIBN>0</LIBN>
                          </ElmtLnkProps>
                        </ElmtLnk>
                      </ElmtLnksIn>
                    </Elmt>
                    <Elmt>
                      <ElmtProps>
                        <CPT>2</CPT>
                      </ElmtProps>
                      <ClmnBlks>
                        <ClmnBlk>
                          <ClmnBlkProps>
                            <FCPT>0</FCPT>
                            <FCN>2</FCN>
                            <LCPT>0</LCPT>
                            <LCN>2</LCN>
                          </ClmnBlkProps>
                          <ClmnBlkPts>
                            <ClmnBlkPt>
                              <ClmnBlkPtProps>
                                <CBPT>5</CBPT>
                                <ST>40</ST>
                                <VOFFF><![CDATA[Other Investing Cash Flows]]></VOFFF>
                              </ClmnBlkPtProps>
                            </ClmnBlkPt>
                          </ClmnBlkPts>
                        </ClmnBlk>
                        <ClmnBlk>
                          <ClmnBlkProps>
                            <FCPT>0</FCPT>
                            <FCN>5</FCN>
                            <LCPT>0</LCPT>
                            <LCN>16</LCN>
                          </ClmnBlkProps>
                          <ClmnBlkPts>
                            <ClmnBlkPt>
                              <ClmnBlkPtProps>
                                <CBPT>5</CBPT>
                                <ST>42</ST>
                                <SON>24</SON>
                                <VOFFF><![CDATA[=§A¿0,1,0,1,77,2,1,-1,0,0,FALSE,FALSE§Z¿-§A¿0,1,0,1,75,2,1,-1,0,0,FALSE,FALSE§Z¿]]></VOFFF>
                              </ClmnBlkPtProps>
                            </ClmnBlkPt>
                          </ClmnBlkPts>
                        </ClmnBlk>
                        <ClmnBlk>
                          <ClmnBlkProps>
                            <FCPT>0</FCPT>
                            <FCN>17</FCN>
                            <LCPT>0</LCPT>
                            <LCN>17</LCN>
                          </ClmnBlkProps>
                          <ClmnBlkPts>
                            <ClmnBlkPt>
                              <ClmnBlkPtProps>
                                <CBPT>5</CBPT>
                                <ST>42</ST>
                                <SON>33</SON>
                                <VOFFF><![CDATA[=SUM(§A¿0,1,1,1,76,2,1,-1,0,0,FALSE,FALSE,1,76,2,1,-1,1,0,FALSE,FALSE§Z¿)]]></VOFFF>
                              </ClmnBlkPtProps>
                            </ClmnBlkPt>
                          </ClmnBlkPts>
                        </ClmnBlk>
                        <ClmnBlk>
                          <ClmnBlkProps>
                            <FCPT>0</FCPT>
                            <FCN>19</FCN>
                            <LCPT>0</LCPT>
                            <LCN>22</LCN>
                          </ClmnBlkProps>
                          <ClmnBlkPts>
                            <ClmnBlkPt>
                              <ClmnBlkPtProps>
                                <CBPT>5</CBPT>
                                <ST>40</ST>
                                <SON>2</SON>
                                <MC>True</MC>
                                <VOFFF><![CDATA[=§A¿0,1,0,1,197,1,1,-1,0,0,FALSE,FALSE§Z¿]]></VOFFF>
                              </ClmnBlkPtProps>
                            </ClmnBlkPt>
                          </ClmnBlkPts>
                        </ClmnBlk>
                        <ClmnBlk>
                          <ClmnBlkProps>
                            <FCPT>0</FCPT>
                            <FCN>23</FCN>
                            <LCPT>0</LCPT>
                            <LCN>23</LCN>
                          </ClmnBlkProps>
                          <ClmnBlkPts>
                            <ClmnBlkPt>
                              <ClmnBlkPtProps>
                                <CBPT>5</CBPT>
                                <ST>42</ST>
                                <SON>22</SON>
                                <VOFFF><![CDATA[=§A¿0,1,0,1,197,2,1,-1,0,0,FALSE,FALSE§Z¿]]></VOFFF>
                              </ClmnBlkPtProps>
                            </ClmnBlkPt>
                          </ClmnBlkPts>
                        </ClmnBlk>
                        <ClmnBlk>
                          <ClmnBlkProps>
                            <FCPT>0</FCPT>
                            <FCN>24</FCN>
                            <LCPT>0</LCPT>
                            <LCN>29</LCN>
                          </ClmnBlkProps>
                          <ClmnBlkPts>
                            <ClmnBlkPt>
                              <ClmnBlkPtProps>
                                <CBPT>5</CBPT>
                                <ST>-1</ST>
                                <SON>16</SON>
                                <VOFFF/>
                              </ClmnBlkPtProps>
                            </ClmnBlkPt>
                          </ClmnBlkPts>
                        </ClmnBlk>
                      </ClmnBlks>
                      <TtlCtg>
                        <TtlCtgProps>
                          <R>3</R>
                        </TtlCtgProps>
                      </TtlCtg>
                    </Elmt>
                    <Elmt>
                      <ElmtProps>
                        <CPT>2</CPT>
                      </ElmtProps>
                      <ClmnBlks>
                        <ClmnBlk>
                          <ClmnBlkProps>
                            <FCPT>0</FCPT>
                            <FCN>2</FCN>
                            <LCPT>0</LCPT>
                            <LCN>2</LCN>
                          </ClmnBlkProps>
                          <ClmnBlkPts>
                            <ClmnBlkPt>
                              <ClmnBlkPtProps>
                                <CBPT>5</CBPT>
                                <ST>39</ST>
                                <VOFFF><![CDATA[Investing Cash Flows]]></VOFFF>
                              </ClmnBlkPtProps>
                              <LnkInForms>
                                <LnkInForm>
                                  <LnkInFormProps>
                                    <CBPLI>1,1,77,1,1</CBPLI>
                                    <ELN>1</ELN>
                                    <FFF/>
                                  </LnkInFormProps>
                                </LnkInForm>
                              </LnkInForms>
                            </ClmnBlkPt>
                          </ClmnBlkPts>
                        </ClmnBlk>
                        <ClmnBlk>
                          <ClmnBlkProps>
                            <FCPT>0</FCPT>
                            <FCN>5</FCN>
                            <LCPT>0</LCPT>
                            <LCN>16</LCN>
                          </ClmnBlkProps>
                          <ClmnBlkPts>
                            <ClmnBlkPt>
                              <ClmnBlkPtProps>
                                <CBPT>5</CBPT>
                                <ST>42</ST>
                                <SON>25</SON>
                                <VOFFF><![CDATA[0]]></VOFFF>
                              </ClmnBlkPtProps>
                              <LnkInForms>
                                <LnkInForm>
                                  <LnkInFormProps>
                                    <CBPLI>1,1,77,2,1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32</SON>
                                <VOFFF><![CDATA[=SUM(§A¿0,1,1,1,77,2,1,-1,0,0,FALSE,FALSE,1,77,2,1,-1,1,0,FALSE,FALSE§Z¿)]]></VOFFF>
                              </ClmnBlkPtProps>
                              <LnkInForms>
                                <LnkInForm>
                                  <LnkInFormProps>
                                    <CBPLI>1,1,77,3,1</CBPLI>
                                    <ELN>1</ELN>
                                    <FFF/>
                                  </LnkInFormProps>
                                </LnkInForm>
                              </LnkInForms>
                            </ClmnBlkPt>
                          </ClmnBlkPts>
                        </ClmnBlk>
                        <ClmnBlk>
                          <ClmnBlkProps>
                            <FCPT>0</FCPT>
                            <FCN>19</FCN>
                            <LCPT>0</LCPT>
                            <LCN>22</LCN>
                          </ClmnBlkProps>
                          <ClmnBlkPts>
                            <ClmnBlkPt>
                              <ClmnBlkPtProps>
                                <CBPT>5</CBPT>
                                <ST>40</ST>
                                <SON>14</SON>
                                <MC>True</MC>
                                <VOFFF><![CDATA[=§A¿0,1,0,1,198,1,1,-1,0,0,FALSE,FALSE§Z¿]]></VOFFF>
                              </ClmnBlkPtProps>
                            </ClmnBlkPt>
                          </ClmnBlkPts>
                        </ClmnBlk>
                        <ClmnBlk>
                          <ClmnBlkProps>
                            <FCPT>0</FCPT>
                            <FCN>23</FCN>
                            <LCPT>0</LCPT>
                            <LCN>23</LCN>
                          </ClmnBlkProps>
                          <ClmnBlkPts>
                            <ClmnBlkPt>
                              <ClmnBlkPtProps>
                                <CBPT>5</CBPT>
                                <ST>42</ST>
                                <SON>8</SON>
                                <VOFFF><![CDATA[=§A¿0,1,0,1,198,2,1,-1,0,0,FALSE,FALSE§Z¿]]></VOFFF>
                              </ClmnBlkPtProps>
                            </ClmnBlkPt>
                          </ClmnBlkPts>
                        </ClmnBlk>
                      </ClmnBlks>
                      <TtlCtg>
                        <TtlCtgProps>
                          <R>3</R>
                        </TtlCtgProps>
                        <LnkIn>
                          <LnkInProps>
                            <MN>58</MN>
                            <CLI>1,1,77,True,0</CLI>
                            <ELN>1</ELN>
                            <LOOT>2</LOOT>
                            <LOMN>6</LOMN>
                            <LOMCN>1</LOMCN>
                            <LOSN>1</LOSN>
                            <LOEN>50</LOEN>
                            <LOCN>0</LOCN>
                          </LnkInProps>
                        </LnkIn>
                      </TtlCtg>
                      <ElmtLnksIn>
                        <ElmtLnk>
                          <ElmtLnkProps>
                            <ELI>1,1,77</ELI>
                            <ELN>1</ELN>
                            <ELGN>1</ELGN>
                            <MLG>010063FA-2719-4482-BDA4-0199C6E8E506</MLG>
                            <ICBI>2</ICBI>
                            <ILBN/>
                            <LIBN>0</LIBN>
                          </ElmtLnkProps>
                        </ElmtLnk>
                      </ElmtLnksIn>
                    </Elmt>
                    <Elmt>
                      <ElmtProps>
                        <CPT>2</CPT>
                      </ElmtProps>
                      <ClmnBlks>
                        <ClmnBlk>
                          <ClmnBlkProps>
                            <FCPT>0</FCPT>
                            <FCN>2</FCN>
                            <LCPT>0</LCPT>
                            <LCN>2</LCN>
                          </ClmnBlkProps>
                          <ClmnBlkPts>
                            <ClmnBlkPt>
                              <ClmnBlkPtProps>
                                <CBPT>5</CBPT>
                                <ST>40</ST>
                                <VOFFF><![CDATA[Debt Drawdowns]]></VOFFF>
                              </ClmnBlkPtProps>
                            </ClmnBlkPt>
                          </ClmnBlkPts>
                        </ClmnBlk>
                        <ClmnBlk>
                          <ClmnBlkProps>
                            <FCPT>0</FCPT>
                            <FCN>5</FCN>
                            <LCPT>0</LCPT>
                            <LCN>16</LCN>
                          </ClmnBlkProps>
                          <ClmnBlkPts>
                            <ClmnBlkPt>
                              <ClmnBlkPtProps>
                                <CBPT>5</CBPT>
                                <ST>42</ST>
                                <SON>22</SON>
                                <VOFFF><![CDATA[0]]></VOFFF>
                              </ClmnBlkPtProps>
                              <LnkInForms>
                                <LnkInForm>
                                  <LnkInFormProps>
                                    <CBPLI>1,1,78,2,1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8,2,1,-1,0,0,FALSE,FALSE,1,78,2,1,-1,1,0,FALSE,FALSE§Z¿)]]></VOFFF>
                              </ClmnBlkPtProps>
                            </ClmnBlkPt>
                          </ClmnBlkPts>
                        </ClmnBlk>
                        <ClmnBlk>
                          <ClmnBlkProps>
                            <FCPT>0</FCPT>
                            <FCN>19</FCN>
                            <LCPT>0</LCPT>
                            <LCN>22</LCN>
                          </ClmnBlkProps>
                          <ClmnBlkPts>
                            <ClmnBlkPt>
                              <ClmnBlkPtProps>
                                <CBPT>5</CBPT>
                                <ST>40</ST>
                                <SON>2</SON>
                                <MC>True</MC>
                                <VOFFF><![CDATA[=§A¿0,1,0,1,199,1,1,-1,0,0,FALSE,FALSE§Z¿]]></VOFFF>
                              </ClmnBlkPtProps>
                            </ClmnBlkPt>
                          </ClmnBlkPts>
                        </ClmnBlk>
                        <ClmnBlk>
                          <ClmnBlkProps>
                            <FCPT>0</FCPT>
                            <FCN>23</FCN>
                            <LCPT>0</LCPT>
                            <LCN>23</LCN>
                          </ClmnBlkProps>
                          <ClmnBlkPts>
                            <ClmnBlkPt>
                              <ClmnBlkPtProps>
                                <CBPT>5</CBPT>
                                <ST>42</ST>
                                <SON>22</SON>
                                <VOFFF><![CDATA[=§A¿0,1,0,1,199,2,1,-1,0,0,FALSE,FALSE§Z¿]]></VOFFF>
                              </ClmnBlkPtProps>
                            </ClmnBlkPt>
                          </ClmnBlkPts>
                        </ClmnBlk>
                        <ClmnBlk>
                          <ClmnBlkProps>
                            <FCPT>0</FCPT>
                            <FCN>24</FCN>
                            <LCPT>0</LCPT>
                            <LCN>29</LCN>
                          </ClmnBlkProps>
                          <ClmnBlkPts>
                            <ClmnBlkPt>
                              <ClmnBlkPtProps>
                                <CBPT>5</CBPT>
                                <ST>-1</ST>
                                <SON>16</SON>
                                <VOFFF/>
                              </ClmnBlkPtProps>
                            </ClmnBlkPt>
                          </ClmnBlkPts>
                        </ClmnBlk>
                      </ClmnBlks>
                      <TtlCtg>
                        <TtlCtgProps>
                          <R>3</R>
                        </TtlCtgProps>
                        <LnkIn>
                          <LnkInProps>
                            <MN>58</MN>
                            <CLI>1,1,78,True,0</CLI>
                            <ELN>1</ELN>
                            <LOOT>2</LOOT>
                            <LOMN>6</LOMN>
                            <LOMCN>1</LOMCN>
                            <LOSN>1</LOSN>
                            <LOEN>52</LOEN>
                            <LOCN>0</LOCN>
                          </LnkInProps>
                        </LnkIn>
                      </TtlCtg>
                      <ShpNmes>
                        <ShpNme>
                          <ShpNmeProps>
                            <ELI>1,1,78</ELI>
                            <COSTN>0</COSTN>
                            <ST>3</ST>
                            <SNPT>2</SNPT>
                            <N><![CDATA[bpmShapeFs_Sum7]]></N>
                            <SHN>19</SHN>
                            <SHTN>7</SHTN>
                          </ShpNmeProps>
                        </ShpNme>
                      </ShpNmes>
                      <ElmtLnksIn>
                        <ElmtLnk>
                          <ElmtLnkProps>
                            <ELI>1,1,78</ELI>
                            <ELN>1</ELN>
                            <ELGN>1</ELGN>
                            <MLG>16038B07-05D5-4FFC-9566-57A68BDAA93B</MLG>
                            <ICBI>2</ICBI>
                            <ILBN/>
                            <LIBN>0</LIBN>
                          </ElmtLnkProps>
                        </ElmtLnk>
                      </ElmtLnksIn>
                    </Elmt>
                    <Elmt>
                      <ElmtProps>
                        <CPT>2</CPT>
                      </ElmtProps>
                      <ClmnBlks>
                        <ClmnBlk>
                          <ClmnBlkProps>
                            <FCPT>0</FCPT>
                            <FCN>2</FCN>
                            <LCPT>0</LCPT>
                            <LCN>2</LCN>
                          </ClmnBlkProps>
                          <ClmnBlkPts>
                            <ClmnBlkPt>
                              <ClmnBlkPtProps>
                                <CBPT>5</CBPT>
                                <ST>40</ST>
                                <VOFFF><![CDATA[Debt Repayments]]></VOFFF>
                              </ClmnBlkPtProps>
                            </ClmnBlkPt>
                          </ClmnBlkPts>
                        </ClmnBlk>
                        <ClmnBlk>
                          <ClmnBlkProps>
                            <FCPT>0</FCPT>
                            <FCN>5</FCN>
                            <LCPT>0</LCPT>
                            <LCN>16</LCN>
                          </ClmnBlkProps>
                          <ClmnBlkPts>
                            <ClmnBlkPt>
                              <ClmnBlkPtProps>
                                <CBPT>5</CBPT>
                                <ST>42</ST>
                                <SON>22</SON>
                                <VOFFF><![CDATA[0]]></VOFFF>
                              </ClmnBlkPtProps>
                              <LnkInForms>
                                <LnkInForm>
                                  <LnkInFormProps>
                                    <CBPLI>1,1,79,2,1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79,2,1,-1,0,0,FALSE,FALSE,1,79,2,1,-1,1,0,FALSE,FALSE§Z¿)]]></VOFFF>
                              </ClmnBlkPtProps>
                            </ClmnBlkPt>
                          </ClmnBlkPts>
                        </ClmnBlk>
                        <ClmnBlk>
                          <ClmnBlkProps>
                            <FCPT>0</FCPT>
                            <FCN>19</FCN>
                            <LCPT>0</LCPT>
                            <LCN>22</LCN>
                          </ClmnBlkProps>
                          <ClmnBlkPts>
                            <ClmnBlkPt>
                              <ClmnBlkPtProps>
                                <CBPT>5</CBPT>
                                <ST>40</ST>
                                <SON>14</SON>
                                <MC>True</MC>
                                <VOFFF><![CDATA[=§A¿0,1,0,1,200,1,1,-1,0,0,FALSE,FALSE§Z¿]]></VOFFF>
                              </ClmnBlkPtProps>
                            </ClmnBlkPt>
                          </ClmnBlkPts>
                        </ClmnBlk>
                        <ClmnBlk>
                          <ClmnBlkProps>
                            <FCPT>0</FCPT>
                            <FCN>23</FCN>
                            <LCPT>0</LCPT>
                            <LCN>23</LCN>
                          </ClmnBlkProps>
                          <ClmnBlkPts>
                            <ClmnBlkPt>
                              <ClmnBlkPtProps>
                                <CBPT>5</CBPT>
                                <ST>42</ST>
                                <SON>8</SON>
                                <VOFFF><![CDATA[=§A¿0,1,0,1,200,2,1,-1,0,0,FALSE,FALSE§Z¿]]></VOFFF>
                              </ClmnBlkPtProps>
                            </ClmnBlkPt>
                          </ClmnBlkPts>
                        </ClmnBlk>
                        <ClmnBlk>
                          <ClmnBlkProps>
                            <FCPT>0</FCPT>
                            <FCN>30</FCN>
                            <LCPT>0</LCPT>
                            <LCN>34</LCN>
                          </ClmnBlkProps>
                          <ClmnBlkPts>
                            <ClmnBlkPt>
                              <ClmnBlkPtProps>
                                <CBPT>5</CBPT>
                                <ST>38</ST>
                                <SON>5</SON>
                                <MC>True</MC>
                                <VOFFF><![CDATA[       Total Cash Flows]]></VOFFF>
                              </ClmnBlkPtProps>
                            </ClmnBlkPt>
                          </ClmnBlkPts>
                        </ClmnBlk>
                      </ClmnBlks>
                      <TtlCtg>
                        <TtlCtgProps>
                          <R>3</R>
                        </TtlCtgProps>
                        <LnkIn>
                          <LnkInProps>
                            <MN>58</MN>
                            <CLI>1,1,79,True,0</CLI>
                            <ELN>1</ELN>
                            <LOOT>2</LOOT>
                            <LOMN>6</LOMN>
                            <LOMCN>1</LOMCN>
                            <LOSN>1</LOSN>
                            <LOEN>54</LOEN>
                            <LOCN>0</LOCN>
                          </LnkInProps>
                        </LnkIn>
                      </TtlCtg>
                      <ElmtLnksIn>
                        <ElmtLnk>
                          <ElmtLnkProps>
                            <ELI>1,1,79</ELI>
                            <ELN>1</ELN>
                            <ELGN>1</ELGN>
                            <MLG>9BAC1506-CC42-43A7-B973-56612F0A3F07</MLG>
                            <ICBI>2</ICBI>
                            <ILBN/>
                            <LIBN>0</LIBN>
                          </ElmtLnkProps>
                        </ElmtLnk>
                      </ElmtLnksIn>
                    </Elmt>
                    <Elmt>
                      <ElmtProps>
                        <CPT>2</CPT>
                      </ElmtProps>
                      <ClmnBlks>
                        <ClmnBlk>
                          <ClmnBlkProps>
                            <FCPT>0</FCPT>
                            <FCN>2</FCN>
                            <LCPT>0</LCPT>
                            <LCN>2</LCN>
                          </ClmnBlkProps>
                          <ClmnBlkPts>
                            <ClmnBlkPt>
                              <ClmnBlkPtProps>
                                <CBPT>5</CBPT>
                                <ST>40</ST>
                                <VOFFF><![CDATA[Ordinary Equity Raisings]]></VOFFF>
                              </ClmnBlkPtProps>
                            </ClmnBlkPt>
                          </ClmnBlkPts>
                        </ClmnBlk>
                        <ClmnBlk>
                          <ClmnBlkProps>
                            <FCPT>0</FCPT>
                            <FCN>5</FCN>
                            <LCPT>0</LCPT>
                            <LCN>16</LCN>
                          </ClmnBlkProps>
                          <ClmnBlkPts>
                            <ClmnBlkPt>
                              <ClmnBlkPtProps>
                                <CBPT>5</CBPT>
                                <ST>42</ST>
                                <SON>22</SON>
                                <VOFFF><![CDATA[0]]></VOFFF>
                              </ClmnBlkPtProps>
                              <LnkInForms>
                                <LnkInForm>
                                  <LnkInFormProps>
                                    <CBPLI>1,1,80,2,1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80,2,1,-1,0,0,FALSE,FALSE,1,80,2,1,-1,1,0,FALSE,FALSE§Z¿)]]></VOFFF>
                              </ClmnBlkPtProps>
                            </ClmnBlkPt>
                          </ClmnBlkPts>
                        </ClmnBlk>
                        <ClmnBlk>
                          <ClmnBlkProps>
                            <FCPT>0</FCPT>
                            <FCN>19</FCN>
                            <LCPT>0</LCPT>
                            <LCN>22</LCN>
                          </ClmnBlkProps>
                          <ClmnBlkPts>
                            <ClmnBlkPt>
                              <ClmnBlkPtProps>
                                <CBPT>5</CBPT>
                                <ST>40</ST>
                                <SON>2</SON>
                                <MC>True</MC>
                                <VOFFF><![CDATA[=§A¿0,1,0,1,201,1,1,-1,0,0,FALSE,FALSE§Z¿]]></VOFFF>
                              </ClmnBlkPtProps>
                            </ClmnBlkPt>
                          </ClmnBlkPts>
                        </ClmnBlk>
                        <ClmnBlk>
                          <ClmnBlkProps>
                            <FCPT>0</FCPT>
                            <FCN>23</FCN>
                            <LCPT>0</LCPT>
                            <LCN>23</LCN>
                          </ClmnBlkProps>
                          <ClmnBlkPts>
                            <ClmnBlkPt>
                              <ClmnBlkPtProps>
                                <CBPT>5</CBPT>
                                <ST>42</ST>
                                <SON>22</SON>
                                <VOFFF><![CDATA[=§A¿0,1,0,1,201,2,1,-1,0,0,FALSE,FALSE§Z¿]]></VOFFF>
                              </ClmnBlkPtProps>
                            </ClmnBlkPt>
                          </ClmnBlkPts>
                        </ClmnBlk>
                      </ClmnBlks>
                      <TtlCtg>
                        <TtlCtgProps>
                          <R>3</R>
                        </TtlCtgProps>
                        <LnkIn>
                          <LnkInProps>
                            <MN>58</MN>
                            <CLI>1,1,80,True,0</CLI>
                            <ELN>1</ELN>
                            <LOOT>2</LOOT>
                            <LOMN>6</LOMN>
                            <LOMCN>1</LOMCN>
                            <LOSN>1</LOSN>
                            <LOEN>56</LOEN>
                            <LOCN>0</LOCN>
                          </LnkInProps>
                        </LnkIn>
                      </TtlCtg>
                      <ShpNmes>
                        <ShpNme>
                          <ShpNmeProps>
                            <ELI>1,1,80</ELI>
                            <COSTN>0</COSTN>
                            <ST>2</ST>
                            <SNPT>2</SNPT>
                            <N><![CDATA[bpmChartFs_Sum14]]></N>
                            <SHN>7</SHN>
                            <SHTN>5</SHTN>
                          </ShpNmeProps>
                        </ShpNme>
                      </ShpNmes>
                      <ElmtLnksIn>
                        <ElmtLnk>
                          <ElmtLnkProps>
                            <ELI>1,1,80</ELI>
                            <ELN>1</ELN>
                            <ELGN>1</ELGN>
                            <MLG>3D7E1EF9-2F98-420D-8FD6-4C106C474F44</MLG>
                            <ICBI>2</ICBI>
                            <ILBN/>
                            <LIBN>0</LIBN>
                          </ElmtLnkProps>
                        </ElmtLnk>
                      </ElmtLnksIn>
                    </Elmt>
                    <Elmt>
                      <ElmtProps>
                        <CPT>2</CPT>
                      </ElmtProps>
                      <ClmnBlks>
                        <ClmnBlk>
                          <ClmnBlkProps>
                            <FCPT>0</FCPT>
                            <FCN>2</FCN>
                            <LCPT>0</LCPT>
                            <LCN>2</LCN>
                          </ClmnBlkProps>
                          <ClmnBlkPts>
                            <ClmnBlkPt>
                              <ClmnBlkPtProps>
                                <CBPT>5</CBPT>
                                <ST>40</ST>
                                <VOFFF><![CDATA[Ordinary Equity Buybacks]]></VOFFF>
                              </ClmnBlkPtProps>
                            </ClmnBlkPt>
                          </ClmnBlkPts>
                        </ClmnBlk>
                        <ClmnBlk>
                          <ClmnBlkProps>
                            <FCPT>0</FCPT>
                            <FCN>5</FCN>
                            <LCPT>0</LCPT>
                            <LCN>16</LCN>
                          </ClmnBlkProps>
                          <ClmnBlkPts>
                            <ClmnBlkPt>
                              <ClmnBlkPtProps>
                                <CBPT>5</CBPT>
                                <ST>42</ST>
                                <SON>22</SON>
                                <VOFFF><![CDATA[0]]></VOFFF>
                              </ClmnBlkPtProps>
                              <LnkInForms>
                                <LnkInForm>
                                  <LnkInFormProps>
                                    <CBPLI>1,1,81,2,1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81,2,1,-1,0,0,FALSE,FALSE,1,81,2,1,-1,1,0,FALSE,FALSE§Z¿)]]></VOFFF>
                              </ClmnBlkPtProps>
                            </ClmnBlkPt>
                          </ClmnBlkPts>
                        </ClmnBlk>
                        <ClmnBlk>
                          <ClmnBlkProps>
                            <FCPT>0</FCPT>
                            <FCN>19</FCN>
                            <LCPT>0</LCPT>
                            <LCN>22</LCN>
                          </ClmnBlkProps>
                          <ClmnBlkPts>
                            <ClmnBlkPt>
                              <ClmnBlkPtProps>
                                <CBPT>5</CBPT>
                                <ST>40</ST>
                                <SON>2</SON>
                                <MC>True</MC>
                                <VOFFF><![CDATA[=§A¿0,1,0,1,202,1,1,-1,0,0,FALSE,FALSE§Z¿]]></VOFFF>
                              </ClmnBlkPtProps>
                            </ClmnBlkPt>
                          </ClmnBlkPts>
                        </ClmnBlk>
                        <ClmnBlk>
                          <ClmnBlkProps>
                            <FCPT>0</FCPT>
                            <FCN>23</FCN>
                            <LCPT>0</LCPT>
                            <LCN>23</LCN>
                          </ClmnBlkProps>
                          <ClmnBlkPts>
                            <ClmnBlkPt>
                              <ClmnBlkPtProps>
                                <CBPT>5</CBPT>
                                <ST>42</ST>
                                <SON>22</SON>
                                <VOFFF><![CDATA[=§A¿0,1,0,1,202,2,1,-1,0,0,FALSE,FALSE§Z¿]]></VOFFF>
                              </ClmnBlkPtProps>
                            </ClmnBlkPt>
                          </ClmnBlkPts>
                        </ClmnBlk>
                      </ClmnBlks>
                      <TtlCtg>
                        <TtlCtgProps>
                          <R>3</R>
                        </TtlCtgProps>
                        <LnkIn>
                          <LnkInProps>
                            <MN>58</MN>
                            <CLI>1,1,81,True,0</CLI>
                            <ELN>1</ELN>
                            <LOOT>2</LOOT>
                            <LOMN>6</LOMN>
                            <LOMCN>1</LOMCN>
                            <LOSN>1</LOSN>
                            <LOEN>58</LOEN>
                            <LOCN>0</LOCN>
                          </LnkInProps>
                        </LnkIn>
                      </TtlCtg>
                      <ElmtLnksIn>
                        <ElmtLnk>
                          <ElmtLnkProps>
                            <ELI>1,1,81</ELI>
                            <ELN>1</ELN>
                            <ELGN>1</ELGN>
                            <MLG>DBB678FE-8F79-44C7-8ED7-AFB588E3FB74</MLG>
                            <ICBI>2</ICBI>
                            <ILBN/>
                            <LIBN>0</LIBN>
                          </ElmtLnkProps>
                        </ElmtLnk>
                      </ElmtLnksIn>
                    </Elmt>
                    <Elmt>
                      <ElmtProps>
                        <CPT>2</CPT>
                      </ElmtProps>
                      <ClmnBlks>
                        <ClmnBlk>
                          <ClmnBlkProps>
                            <FCPT>0</FCPT>
                            <FCN>2</FCN>
                            <LCPT>0</LCPT>
                            <LCN>2</LCN>
                          </ClmnBlkProps>
                          <ClmnBlkPts>
                            <ClmnBlkPt>
                              <ClmnBlkPtProps>
                                <CBPT>5</CBPT>
                                <ST>40</ST>
                                <VOFFF><![CDATA[Ordinary Equity Dividends Paid]]></VOFFF>
                              </ClmnBlkPtProps>
                              <LnkInForms>
                                <LnkInForm>
                                  <LnkInFormProps>
                                    <CBPLI>1,1,82,1,1</CBPLI>
                                    <ELN>1</ELN>
                                    <FFF/>
                                  </LnkInFormProps>
                                </LnkInForm>
                              </LnkInForms>
                            </ClmnBlkPt>
                          </ClmnBlkPts>
                        </ClmnBlk>
                        <ClmnBlk>
                          <ClmnBlkProps>
                            <FCPT>0</FCPT>
                            <FCN>5</FCN>
                            <LCPT>0</LCPT>
                            <LCN>16</LCN>
                          </ClmnBlkProps>
                          <ClmnBlkPts>
                            <ClmnBlkPt>
                              <ClmnBlkPtProps>
                                <CBPT>5</CBPT>
                                <ST>42</ST>
                                <SON>22</SON>
                                <VOFFF><![CDATA[0]]></VOFFF>
                              </ClmnBlkPtProps>
                              <LnkInForms>
                                <LnkInForm>
                                  <LnkInFormProps>
                                    <CBPLI>1,1,82,2,1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26</SON>
                                <VOFFF><![CDATA[=SUM(§A¿0,1,1,1,82,2,1,-1,0,0,FALSE,FALSE,1,82,2,1,-1,1,0,FALSE,FALSE§Z¿)]]></VOFFF>
                              </ClmnBlkPtProps>
                              <LnkInForms>
                                <LnkInForm>
                                  <LnkInFormProps>
                                    <CBPLI>1,1,82,3,1</CBPLI>
                                    <ELN>1</ELN>
                                    <FFF/>
                                  </LnkInFormProps>
                                </LnkInForm>
                              </LnkInForms>
                            </ClmnBlkPt>
                          </ClmnBlkPts>
                        </ClmnBlk>
                        <ClmnBlk>
                          <ClmnBlkProps>
                            <FCPT>0</FCPT>
                            <FCN>19</FCN>
                            <LCPT>0</LCPT>
                            <LCN>22</LCN>
                          </ClmnBlkProps>
                          <ClmnBlkPts>
                            <ClmnBlkPt>
                              <ClmnBlkPtProps>
                                <CBPT>5</CBPT>
                                <ST>40</ST>
                                <SON>2</SON>
                                <MC>True</MC>
                                <VOFFF><![CDATA[=§A¿0,1,0,1,203,1,1,-1,0,0,FALSE,FALSE§Z¿]]></VOFFF>
                              </ClmnBlkPtProps>
                            </ClmnBlkPt>
                          </ClmnBlkPts>
                        </ClmnBlk>
                        <ClmnBlk>
                          <ClmnBlkProps>
                            <FCPT>0</FCPT>
                            <FCN>23</FCN>
                            <LCPT>0</LCPT>
                            <LCN>23</LCN>
                          </ClmnBlkProps>
                          <ClmnBlkPts>
                            <ClmnBlkPt>
                              <ClmnBlkPtProps>
                                <CBPT>5</CBPT>
                                <ST>42</ST>
                                <SON>22</SON>
                                <VOFFF><![CDATA[=§A¿0,1,0,1,203,2,1,-1,0,0,FALSE,FALSE§Z¿]]></VOFFF>
                              </ClmnBlkPtProps>
                            </ClmnBlkPt>
                          </ClmnBlkPts>
                        </ClmnBlk>
                        <ClmnBlk>
                          <ClmnBlkProps>
                            <FCPT>0</FCPT>
                            <FCN>30</FCN>
                            <LCPT>0</LCPT>
                            <LCN>30</LCN>
                          </ClmnBlkProps>
                          <ClmnBlkPts>
                            <ClmnBlkPt>
                              <ClmnBlkPtProps>
                                <CBPT>5</CBPT>
                                <ST>40</ST>
                                <SON>19</SON>
                                <VOFFF><![CDATA[=§A¿0,1,0,1,209,1,1,-1,0,0,FALSE,FALSE§Z¿]]></VOFFF>
                              </ClmnBlkPtProps>
                            </ClmnBlkPt>
                          </ClmnBlkPts>
                        </ClmnBlk>
                      </ClmnBlks>
                      <TtlCtg>
                        <TtlCtgProps>
                          <R>3</R>
                        </TtlCtgProps>
                        <LnkIn>
                          <LnkInProps>
                            <MN>58</MN>
                            <CLI>1,1,82,True,0</CLI>
                            <ELN>1</ELN>
                            <LOOT>2</LOOT>
                            <LOMN>6</LOMN>
                            <LOMCN>1</LOMCN>
                            <LOSN>1</LOSN>
                            <LOEN>60</LOEN>
                            <LOCN>0</LOCN>
                          </LnkInProps>
                        </LnkIn>
                      </TtlCtg>
                      <ElmtLnksIn>
                        <ElmtLnk>
                          <ElmtLnkProps>
                            <ELI>1,1,82</ELI>
                            <ELN>1</ELN>
                            <ELGN>1</ELGN>
                            <MLG>92F43D09-F8AF-4D78-846C-35FA77DD9ECB</MLG>
                            <ICBI>2</ICBI>
                            <ILBN/>
                            <LIBN>0</LIBN>
                          </ElmtLnkProps>
                        </ElmtLnk>
                      </ElmtLnksIn>
                    </Elmt>
                    <Elmt>
                      <ElmtProps>
                        <CPT>2</CPT>
                      </ElmtProps>
                      <ClmnBlks>
                        <ClmnBlk>
                          <ClmnBlkProps>
                            <FCPT>0</FCPT>
                            <FCN>2</FCN>
                            <LCPT>0</LCPT>
                            <LCN>2</LCN>
                          </ClmnBlkProps>
                          <ClmnBlkPts>
                            <ClmnBlkPt>
                              <ClmnBlkPtProps>
                                <CBPT>5</CBPT>
                                <ST>40</ST>
                                <VOFFF><![CDATA[Other Financing Cash Flows]]></VOFFF>
                              </ClmnBlkPtProps>
                            </ClmnBlkPt>
                          </ClmnBlkPts>
                        </ClmnBlk>
                        <ClmnBlk>
                          <ClmnBlkProps>
                            <FCPT>0</FCPT>
                            <FCN>5</FCN>
                            <LCPT>0</LCPT>
                            <LCN>16</LCN>
                          </ClmnBlkProps>
                          <ClmnBlkPts>
                            <ClmnBlkPt>
                              <ClmnBlkPtProps>
                                <CBPT>5</CBPT>
                                <ST>42</ST>
                                <SON>24</SON>
                                <VOFFF><![CDATA[=§A¿0,1,0,1,84,2,1,-1,0,0,FALSE,FALSE§Z¿-SUM(§A¿0,1,1,1,78,2,1,-1,0,0,FALSE,FALSE,1,82,2,1,-1,0,0,FALSE,FALSE§Z¿)]]></VOFFF>
                              </ClmnBlkPtProps>
                            </ClmnBlkPt>
                          </ClmnBlkPts>
                        </ClmnBlk>
                        <ClmnBlk>
                          <ClmnBlkProps>
                            <FCPT>0</FCPT>
                            <FCN>17</FCN>
                            <LCPT>0</LCPT>
                            <LCN>17</LCN>
                          </ClmnBlkProps>
                          <ClmnBlkPts>
                            <ClmnBlkPt>
                              <ClmnBlkPtProps>
                                <CBPT>5</CBPT>
                                <ST>42</ST>
                                <SON>33</SON>
                                <VOFFF><![CDATA[=SUM(§A¿0,1,1,1,83,2,1,-1,0,0,FALSE,FALSE,1,83,2,1,-1,1,0,FALSE,FALSE§Z¿)]]></VOFFF>
                              </ClmnBlkPtProps>
                            </ClmnBlkPt>
                          </ClmnBlkPts>
                        </ClmnBlk>
                        <ClmnBlk>
                          <ClmnBlkProps>
                            <FCPT>0</FCPT>
                            <FCN>19</FCN>
                            <LCPT>0</LCPT>
                            <LCN>22</LCN>
                          </ClmnBlkProps>
                          <ClmnBlkPts>
                            <ClmnBlkPt>
                              <ClmnBlkPtProps>
                                <CBPT>5</CBPT>
                                <ST>40</ST>
                                <SON>2</SON>
                                <MC>True</MC>
                                <VOFFF><![CDATA[=§A¿0,1,0,1,204,1,1,-1,0,0,FALSE,FALSE§Z¿]]></VOFFF>
                              </ClmnBlkPtProps>
                            </ClmnBlkPt>
                          </ClmnBlkPts>
                        </ClmnBlk>
                        <ClmnBlk>
                          <ClmnBlkProps>
                            <FCPT>0</FCPT>
                            <FCN>23</FCN>
                            <LCPT>0</LCPT>
                            <LCN>23</LCN>
                          </ClmnBlkProps>
                          <ClmnBlkPts>
                            <ClmnBlkPt>
                              <ClmnBlkPtProps>
                                <CBPT>5</CBPT>
                                <ST>42</ST>
                                <SON>22</SON>
                                <VOFFF><![CDATA[=§A¿0,1,0,1,204,2,1,-1,0,0,FALSE,FALSE§Z¿]]></VOFFF>
                              </ClmnBlkPtProps>
                            </ClmnBlkPt>
                          </ClmnBlkPts>
                        </ClmnBlk>
                        <ClmnBlk>
                          <ClmnBlkProps>
                            <FCPT>0</FCPT>
                            <FCN>30</FCN>
                            <LCPT>0</LCPT>
                            <LCN>30</LCN>
                          </ClmnBlkProps>
                          <ClmnBlkPts>
                            <ClmnBlkPt>
                              <ClmnBlkPtProps>
                                <CBPT>5</CBPT>
                                <ST>40</ST>
                                <SON>19</SON>
                                <VOFFF><![CDATA[=§A¿0,1,0,1,210,1,1,-1,0,0,FALSE,FALSE§Z¿]]></VOFFF>
                              </ClmnBlkPtProps>
                            </ClmnBlkPt>
                          </ClmnBlkPts>
                        </ClmnBlk>
                      </ClmnBlks>
                      <TtlCtg>
                        <TtlCtgProps>
                          <R>3</R>
                        </TtlCtgProps>
                      </TtlCtg>
                    </Elmt>
                    <Elmt>
                      <ElmtProps>
                        <CPT>2</CPT>
                      </ElmtProps>
                      <ClmnBlks>
                        <ClmnBlk>
                          <ClmnBlkProps>
                            <FCPT>0</FCPT>
                            <FCN>2</FCN>
                            <LCPT>0</LCPT>
                            <LCN>2</LCN>
                          </ClmnBlkProps>
                          <ClmnBlkPts>
                            <ClmnBlkPt>
                              <ClmnBlkPtProps>
                                <CBPT>5</CBPT>
                                <ST>39</ST>
                                <VOFFF><![CDATA[Financing Cash Flows]]></VOFFF>
                              </ClmnBlkPtProps>
                              <LnkInForms>
                                <LnkInForm>
                                  <LnkInFormProps>
                                    <CBPLI>1,1,84,1,1</CBPLI>
                                    <ELN>1</ELN>
                                    <FFF/>
                                  </LnkInFormProps>
                                </LnkInForm>
                              </LnkInForms>
                            </ClmnBlkPt>
                          </ClmnBlkPts>
                        </ClmnBlk>
                        <ClmnBlk>
                          <ClmnBlkProps>
                            <FCPT>0</FCPT>
                            <FCN>5</FCN>
                            <LCPT>0</LCPT>
                            <LCN>16</LCN>
                          </ClmnBlkProps>
                          <ClmnBlkPts>
                            <ClmnBlkPt>
                              <ClmnBlkPtProps>
                                <CBPT>5</CBPT>
                                <ST>42</ST>
                                <SON>36</SON>
                                <VOFFF><![CDATA[0]]></VOFFF>
                              </ClmnBlkPtProps>
                              <LnkInForms>
                                <LnkInForm>
                                  <LnkInFormProps>
                                    <CBPLI>1,1,84,2,1</CBPLI>
                                    <ELN>1</ELN>
                                    <FFF><![CDATA[=IF(§A¿0,1,0,1,95,2,1,-1,0,0,TRUE,FALSE§Z¿,OFFSET(§A¿10,FALSE,0,2,0,FALSE§Z¿,0,§A¿0,1,0,1,90,2,1,-1,0,0,TRUE,TRUE§Z¿),0)]]></FFF>
                                  </LnkInFormProps>
                                </LnkInForm>
                              </LnkInForms>
                            </ClmnBlkPt>
                          </ClmnBlkPts>
                        </ClmnBlk>
                        <ClmnBlk>
                          <ClmnBlkProps>
                            <FCPT>0</FCPT>
                            <FCN>17</FCN>
                            <LCPT>0</LCPT>
                            <LCN>17</LCN>
                          </ClmnBlkProps>
                          <ClmnBlkPts>
                            <ClmnBlkPt>
                              <ClmnBlkPtProps>
                                <CBPT>5</CBPT>
                                <ST>42</ST>
                                <SON>37</SON>
                                <VOFFF><![CDATA[=SUM(§A¿0,1,1,1,84,2,1,-1,0,0,FALSE,FALSE,1,84,2,1,-1,1,0,FALSE,FALSE§Z¿)]]></VOFFF>
                              </ClmnBlkPtProps>
                              <LnkInForms>
                                <LnkInForm>
                                  <LnkInFormProps>
                                    <CBPLI>1,1,84,3,1</CBPLI>
                                    <ELN>1</ELN>
                                    <FFF/>
                                  </LnkInFormProps>
                                </LnkInForm>
                              </LnkInForms>
                            </ClmnBlkPt>
                          </ClmnBlkPts>
                        </ClmnBlk>
                        <ClmnBlk>
                          <ClmnBlkProps>
                            <FCPT>0</FCPT>
                            <FCN>19</FCN>
                            <LCPT>0</LCPT>
                            <LCN>22</LCN>
                          </ClmnBlkProps>
                          <ClmnBlkPts>
                            <ClmnBlkPt>
                              <ClmnBlkPtProps>
                                <CBPT>5</CBPT>
                                <ST>40</ST>
                                <SON>2</SON>
                                <MC>True</MC>
                                <VOFFF><![CDATA[=§A¿0,1,0,1,205,1,1,-1,0,0,FALSE,FALSE§Z¿]]></VOFFF>
                              </ClmnBlkPtProps>
                            </ClmnBlkPt>
                          </ClmnBlkPts>
                        </ClmnBlk>
                        <ClmnBlk>
                          <ClmnBlkProps>
                            <FCPT>0</FCPT>
                            <FCN>23</FCN>
                            <LCPT>0</LCPT>
                            <LCN>23</LCN>
                          </ClmnBlkProps>
                          <ClmnBlkPts>
                            <ClmnBlkPt>
                              <ClmnBlkPtProps>
                                <CBPT>5</CBPT>
                                <ST>42</ST>
                                <SON>22</SON>
                                <VOFFF><![CDATA[=§A¿0,1,0,1,205,2,1,-1,0,0,FALSE,FALSE§Z¿]]></VOFFF>
                              </ClmnBlkPtProps>
                            </ClmnBlkPt>
                          </ClmnBlkPts>
                        </ClmnBlk>
                        <ClmnBlk>
                          <ClmnBlkProps>
                            <FCPT>0</FCPT>
                            <FCN>30</FCN>
                            <LCPT>0</LCPT>
                            <LCN>30</LCN>
                          </ClmnBlkProps>
                          <ClmnBlkPts>
                            <ClmnBlkPt>
                              <ClmnBlkPtProps>
                                <CBPT>5</CBPT>
                                <ST>40</ST>
                                <SON>19</SON>
                                <VOFFF><![CDATA[=§A¿0,1,0,1,211,1,1,-1,0,0,FALSE,FALSE§Z¿]]></VOFFF>
                              </ClmnBlkPtProps>
                            </ClmnBlkPt>
                          </ClmnBlkPts>
                        </ClmnBlk>
                      </ClmnBlks>
                      <TtlCtg>
                        <TtlCtgProps>
                          <R>3</R>
                        </TtlCtgProps>
                        <LnkIn>
                          <LnkInProps>
                            <MN>58</MN>
                            <CLI>1,1,84,True,0</CLI>
                            <ELN>1</ELN>
                            <LOOT>2</LOOT>
                            <LOMN>6</LOMN>
                            <LOMCN>1</LOMCN>
                            <LOSN>1</LOSN>
                            <LOEN>64</LOEN>
                            <LOCN>0</LOCN>
                          </LnkInProps>
                        </LnkIn>
                      </TtlCtg>
                      <ElmtLnksIn>
                        <ElmtLnk>
                          <ElmtLnkProps>
                            <ELI>1,1,84</ELI>
                            <ELN>1</ELN>
                            <ELGN>1</ELGN>
                            <MLG>756FDCAB-CC4D-446A-B013-D0F853A20904</MLG>
                            <ICBI>2</ICBI>
                            <ILBN/>
                            <LIBN>0</LIBN>
                          </ElmtLnkProps>
                        </ElmtLnk>
                      </ElmtLnksIn>
                    </Elmt>
                    <Elmt>
                      <ElmtProps>
                        <CPT>2</CPT>
                      </ElmtProps>
                      <ClmnBlks>
                        <ClmnBlk>
                          <ClmnBlkProps>
                            <FCPT>0</FCPT>
                            <FCN>2</FCN>
                            <LCPT>0</LCPT>
                            <LCN>2</LCN>
                          </ClmnBlkProps>
                          <ClmnBlkPts>
                            <ClmnBlkPt>
                              <ClmnBlkPtProps>
                                <CBPT>5</CBPT>
                                <ST>39</ST>
                                <VOFFF><![CDATA[Change in Cash Held]]></VOFFF>
                              </ClmnBlkPtProps>
                            </ClmnBlkPt>
                          </ClmnBlkPts>
                        </ClmnBlk>
                        <ClmnBlk>
                          <ClmnBlkProps>
                            <FCPT>0</FCPT>
                            <FCN>5</FCN>
                            <LCPT>0</LCPT>
                            <LCN>16</LCN>
                          </ClmnBlkProps>
                          <ClmnBlkPts>
                            <ClmnBlkPt>
                              <ClmnBlkPtProps>
                                <CBPT>5</CBPT>
                                <ST>42</ST>
                                <SON>34</SON>
                                <VOFFF><![CDATA[=§A¿0,1,0,1,74,2,1,-1,0,0,FALSE,FALSE§Z¿+§A¿0,1,0,1,77,2,1,-1,0,0,FALSE,FALSE§Z¿+§A¿0,1,0,1,84,2,1,-1,0,0,FALSE,FALSE§Z¿]]></VOFFF>
                              </ClmnBlkPtProps>
                            </ClmnBlkPt>
                          </ClmnBlkPts>
                        </ClmnBlk>
                        <ClmnBlk>
                          <ClmnBlkProps>
                            <FCPT>0</FCPT>
                            <FCN>17</FCN>
                            <LCPT>0</LCPT>
                            <LCN>17</LCN>
                          </ClmnBlkProps>
                          <ClmnBlkPts>
                            <ClmnBlkPt>
                              <ClmnBlkPtProps>
                                <CBPT>5</CBPT>
                                <ST>42</ST>
                                <SON>35</SON>
                                <VOFFF><![CDATA[=SUM(§A¿0,1,1,1,85,2,1,-1,0,0,FALSE,FALSE,1,85,2,1,-1,1,0,FALSE,FALSE§Z¿)]]></VOFFF>
                              </ClmnBlkPtProps>
                            </ClmnBlkPt>
                          </ClmnBlkPts>
                        </ClmnBlk>
                        <ClmnBlk>
                          <ClmnBlkProps>
                            <FCPT>0</FCPT>
                            <FCN>19</FCN>
                            <LCPT>0</LCPT>
                            <LCN>22</LCN>
                          </ClmnBlkProps>
                          <ClmnBlkPts>
                            <ClmnBlkPt>
                              <ClmnBlkPtProps>
                                <CBPT>5</CBPT>
                                <ST>39</ST>
                                <SON>14</SON>
                                <MC>True</MC>
                                <VOFFF><![CDATA[=IF(§A¿0,1,0,1,180,1,1,-1,0,0,FALSE,FALSE§Z¿,"Cash at End","Net Cash Flow")]]></VOFFF>
                              </ClmnBlkPtProps>
                            </ClmnBlkPt>
                          </ClmnBlkPts>
                        </ClmnBlk>
                        <ClmnBlk>
                          <ClmnBlkProps>
                            <FCPT>0</FCPT>
                            <FCN>23</FCN>
                            <LCPT>0</LCPT>
                            <LCN>23</LCN>
                          </ClmnBlkProps>
                          <ClmnBlkPts>
                            <ClmnBlkPt>
                              <ClmnBlkPtProps>
                                <CBPT>5</CBPT>
                                <ST>42</ST>
                                <SON>39</SON>
                                <VOFFF><![CDATA[=SUM(§A¿0,1,1,1,62,5,1,-1,0,0,FALSE,FALSE,1,84,5,1,-1,0,0,FALSE,FALSE§Z¿)]]></VOFFF>
                              </ClmnBlkPtProps>
                            </ClmnBlkPt>
                          </ClmnBlkPts>
                        </ClmnBlk>
                        <ClmnBlk>
                          <ClmnBlkProps>
                            <FCPT>0</FCPT>
                            <FCN>24</FCN>
                            <LCPT>0</LCPT>
                            <LCN>29</LCN>
                          </ClmnBlkProps>
                          <ClmnBlkPts>
                            <ClmnBlkPt>
                              <ClmnBlkPtProps>
                                <CBPT>5</CBPT>
                                <ST>-1</ST>
                                <SON>15</SON>
                                <VOFFF/>
                              </ClmnBlkPtProps>
                            </ClmnBlkPt>
                          </ClmnBlkPts>
                        </ClmnBlk>
                        <ClmnBlk>
                          <ClmnBlkProps>
                            <FCPT>0</FCPT>
                            <FCN>30</FCN>
                            <LCPT>0</LCPT>
                            <LCN>30</LCN>
                          </ClmnBlkProps>
                          <ClmnBlkPts>
                            <ClmnBlkPt>
                              <ClmnBlkPtProps>
                                <CBPT>5</CBPT>
                                <ST>40</ST>
                                <SON>19</SON>
                                <VOFFF><![CDATA[=§A¿0,1,0,1,212,1,1,-1,0,0,FALSE,FALSE§Z¿]]></VOFFF>
                              </ClmnBlkPtProps>
                            </ClmnBlkPt>
                          </ClmnBlkPts>
                        </ClmnBlk>
                      </ClmnBlks>
                      <TtlCtg>
                        <TtlCtgProps>
                          <R>3</R>
                        </TtlCtgProps>
                      </TtlCtg>
                    </Elmt>
                    <Elmt>
                      <ElmtProps>
                        <CPT>2</CPT>
                      </ElmtProps>
                      <TtlCtg/>
                    </Elmt>
                    <Elmt>
                      <ElmtProps>
                        <CPT>2</CPT>
                      </ElmtProps>
                      <ClmnBlks>
                        <ClmnBlk>
                          <ClmnBlkProps>
                            <FCPT>0</FCPT>
                            <FCN>2</FCN>
                            <LCPT>0</LCPT>
                            <LCN>2</LCN>
                          </ClmnBlkProps>
                          <ClmnBlkPts>
                            <ClmnBlkPt>
                              <ClmnBlkPtProps>
                                <CBPT>5</CBPT>
                                <ST>3</ST>
                                <VOFFF><![CDATA[Dashboard Source Data]]></VOFFF>
                              </ClmnBlkPtProps>
                            </ClmnBlkPt>
                          </ClmnBlkPts>
                        </ClmnBlk>
                        <ClmnBlk>
                          <ClmnBlkProps>
                            <FCPT>0</FCPT>
                            <FCN>3</FCN>
                            <LCPT>0</LCPT>
                            <LCN>34</LCN>
                          </ClmnBlkProps>
                          <ClmnBlkPts>
                            <ClmnBlkPt>
                              <ClmnBlkPtProps>
                                <CBPT>5</CBPT>
                                <ST>3</ST>
                                <VOFFF/>
                              </ClmnBlkPtProps>
                            </ClmnBlkPt>
                          </ClmnBlkPts>
                        </ClmnBlk>
                      </ClmnBlks>
                      <TtlCtg/>
                    </Elmt>
                    <Elmt>
                      <ElmtProps>
                        <CPT>2</CPT>
                      </ElmtProps>
                      <TtlCtg/>
                    </Elmt>
                    <Elmt>
                      <ElmtProps>
                        <CPT>2</CPT>
                      </ElmtProps>
                      <ClmnBlks>
                        <ClmnBlk>
                          <ClmnBlkProps>
                            <FCPT>0</FCPT>
                            <FCN>2</FCN>
                            <LCPT>0</LCPT>
                            <LCN>2</LCN>
                          </ClmnBlkProps>
                          <ClmnBlkPts>
                            <ClmnBlkPt>
                              <ClmnBlkPtProps>
                                <CBPT>5</CBPT>
                                <ST>6</ST>
                                <VOFFF><![CDATA[First Displayed Period]]></VOFFF>
                              </ClmnBlkPtProps>
                            </ClmnBlkPt>
                          </ClmnBlkPts>
                        </ClmnBlk>
                        <ClmnBlk>
                          <ClmnBlkProps>
                            <FCPT>0</FCPT>
                            <FCN>5</FCN>
                            <LCPT>0</LCPT>
                            <LCN>5</LCN>
                          </ClmnBlkProps>
                          <ClmnBlkPts>
                            <ClmnBlkPt>
                              <ClmnBlkPtProps>
                                <CBPT>5</CBPT>
                                <ST>15</ST>
                                <SON>4</SON>
                                <VOFFF><![CDATA[1]]></VOFFF>
                                <UDAV><![CDATA[1]]></UDAV>
                              </ClmnBlkPtProps>
                              <Vdtn>
                                <VdtnProps>
                                  <CBPLI>1,1,89,2,1</CBPLI>
                                  <ADVT>-1</ADVT>
                                  <VT>1</VT>
                                  <AS>1</AS>
                                  <O>1</O>
                                  <F1FFF><![CDATA[1]]></F1FFF>
                                  <F2FFF><![CDATA[=ROWS(§A¿1,1,2,1,6,0,1,1,1§Z¿)]]></F2FFF>
                                  <IB>False</IB>
                                  <ICDD>False</ICDD>
                                  <SI>False</SI>
                                  <IT/>
                                  <IM/>
                                  <SE>True</SE>
                                  <ET><![CDATA[Drop Down Box Cell Link]]></ET>
                                  <EM><![CDATA[The value in a drop down box cell link must be a whole number within the control's lookup range rows.]]></EM>
                                  <IMO>0</IMO>
                                </VdtnProps>
                              </Vdtn>
                              <RgeNmes>
                                <RgeNme>
                                  <RgeNmeProps>
                                    <CBPLI>1,1,89,2,1</CBPLI>
                                    <MCN>1</MCN>
                                    <SN>1</SN>
                                    <EN>89</EN>
                                    <CN>0</CN>
                                    <CBN>2</CBN>
                                    <CBPN>1</CBPN>
                                    <PT>1</PT>
                                    <CBPRNT>6</CBPRNT>
                                    <NT>3</NT>
                                    <SP1><![CDATA[First_Disp_Per]]></SP1>
                                    <SP2/>
                                    <FFF/>
                                    <CMT/>
                                  </RgeNmeProps>
                                </RgeNme>
                              </RgeNmes>
                            </ClmnBlkPt>
                          </ClmnBlkPts>
                        </ClmnBlk>
                      </ClmnBlks>
                      <TtlCtg>
                        <TtlCtgProps>
                          <R>1</R>
                        </TtlCtgProps>
                      </TtlCtg>
                      <ShpNmes>
                        <ShpNme>
                          <ShpNmeProps>
                            <ELI>1,1,89</ELI>
                            <COSTN>0</COSTN>
                            <ST>1</ST>
                            <SNPT>2</SNPT>
                            <N><![CDATA[bpmDropDownFs_Sum9]]></N>
                            <SHN>2</SHN>
                            <SHTN>2</SHTN>
                          </ShpNmeProps>
                        </ShpNme>
                      </ShpNmes>
                    </Elmt>
                    <Elmt>
                      <ElmtProps>
                        <CPT>2</CPT>
                      </ElmtProps>
                      <ClmnBlks>
                        <ClmnBlk>
                          <ClmnBlkProps>
                            <FCPT>0</FCPT>
                            <FCN>2</FCN>
                            <LCPT>0</LCPT>
                            <LCN>2</LCN>
                          </ClmnBlkProps>
                          <ClmnBlkPts>
                            <ClmnBlkPt>
                              <ClmnBlkPtProps>
                                <CBPT>5</CBPT>
                                <ST>6</ST>
                                <VOFFF><![CDATA[Linked In Data Columns Offset]]></VOFFF>
                              </ClmnBlkPtProps>
                            </ClmnBlkPt>
                          </ClmnBlkPts>
                        </ClmnBlk>
                        <ClmnBlk>
                          <ClmnBlkProps>
                            <FCPT>0</FCPT>
                            <FCN>5</FCN>
                            <LCPT>0</LCPT>
                            <LCN>5</LCN>
                          </ClmnBlkProps>
                          <ClmnBlkPts>
                            <ClmnBlkPt>
                              <ClmnBlkPtProps>
                                <CBPT>5</CBPT>
                                <ST>18</ST>
                                <SON>1</SON>
                                <VOFFF><![CDATA[=§A¿1,1,1,1,89,0,2,1,1§Z¿-1]]></VOFFF>
                              </ClmnBlkPtProps>
                            </ClmnBlkPt>
                          </ClmnBlkPts>
                        </ClmnBlk>
                      </ClmnBlks>
                      <TtlCtg/>
                    </Elmt>
                    <Elmt>
                      <ElmtProps>
                        <CPT>2</CPT>
                      </ElmtProps>
                      <ClmnBlks>
                        <ClmnBlk>
                          <ClmnBlkProps>
                            <FCPT>0</FCPT>
                            <FCN>2</FCN>
                            <LCPT>0</LCPT>
                            <LCN>2</LCN>
                          </ClmnBlkProps>
                          <ClmnBlkPts>
                            <ClmnBlkPt>
                              <ClmnBlkPtProps>
                                <CBPT>5</CBPT>
                                <ST>6</ST>
                                <VOFFF><![CDATA[Displayed Periods Description]]></VOFFF>
                              </ClmnBlkPtProps>
                            </ClmnBlkPt>
                          </ClmnBlkPts>
                        </ClmnBlk>
                        <ClmnBlk>
                          <ClmnBlkProps>
                            <FCPT>0</FCPT>
                            <FCN>5</FCN>
                            <LCPT>0</LCPT>
                            <LCN>5</LCN>
                          </ClmnBlkProps>
                          <ClmnBlkPts>
                            <ClmnBlkPt>
                              <ClmnBlkPtProps>
                                <CBPT>5</CBPT>
                                <ST>6</ST>
                                <VOFFF><![CDATA[=IF(AND(COLUMNS(§A¿0,1,1,1,94,2,1,-1,0,0,FALSE,TRUE,1,94,2,1,-1,1,0,FALSE,TRUE§Z¿)=§A¿7,2,2,1,14,7,1,1,1§Z¿,MONTH(§A¿0,1,0,1,94,2,1,-1,1,0,FALSE,TRUE§Z¿)=§A¿7,1,1,1,5,0,2,1,1§Z¿),"FY"&YEAR(§A¿0,1,0,1,94,2,1,-1,1,0,FALSE,TRUE§Z¿),COLUMNS(§A¿0,1,1,1,94,2,1,-1,0,0,FALSE,TRUE,1,94,2,1,-1,1,0,FALSE,TRUE§Z¿)&" Months to "&TEXT(§A¿0,1,0,1,94,2,1,-1,1,0,FALSE,TRUE§Z¿,"mmmm yyyy"))]]></VOFFF>
                              </ClmnBlkPtProps>
                            </ClmnBlkPt>
                          </ClmnBlkPts>
                        </ClmnBlk>
                      </ClmnBlks>
                      <TtlCtg/>
                    </Elmt>
                    <Elmt>
                      <ElmtProps>
                        <CPT>2</CPT>
                      </ElmtProps>
                      <TtlCtg>
                        <TtlCtgProps>
                          <R>2</R>
                        </TtlCtgProps>
                      </TtlCtg>
                    </Elmt>
                    <Elmt>
                      <ElmtProps>
                        <CPT>2</CPT>
                      </ElmtProps>
                      <ClmnBlks>
                        <ClmnBlk>
                          <ClmnBlkProps>
                            <FCPT>0</FCPT>
                            <FCN>2</FCN>
                            <LCPT>0</LCPT>
                            <LCN>2</LCN>
                          </ClmnBlkProps>
                          <ClmnBlkPts>
                            <ClmnBlkPt>
                              <ClmnBlkPtProps>
                                <CBPT>5</CBPT>
                                <ST>5</ST>
                                <VOFFF><![CDATA[Month Ending]]></VOFFF>
                              </ClmnBlkPtProps>
                            </ClmnBlkPt>
                          </ClmnBlkPts>
                        </ClmnBlk>
                        <ClmnBlk>
                          <ClmnBlkProps>
                            <FCPT>0</FCPT>
                            <FCN>5</FCN>
                            <LCPT>0</LCPT>
                            <LCN>16</LCN>
                          </ClmnBlkProps>
                          <ClmnBlkPts>
                            <ClmnBlkPt>
                              <ClmnBlkPtProps>
                                <CBPT>5</CBPT>
                                <ST>5</ST>
                                <SON>7</SON>
                                <VOFFF><![CDATA[=TEXT(§A¿0,1,0,1,94,2,1,-1,0,0,FALSE,FALSE§Z¿,"mmm-yy")]]></VOFFF>
                              </ClmnBlkPtProps>
                            </ClmnBlkPt>
                          </ClmnBlkPts>
                        </ClmnBlk>
                      </ClmnBlks>
                      <TtlCtg/>
                    </Elmt>
                    <Elmt>
                      <ElmtProps>
                        <CPT>2</CPT>
                      </ElmtProps>
                      <ClmnBlks>
                        <ClmnBlk>
                          <ClmnBlkProps>
                            <FCPT>0</FCPT>
                            <FCN>2</FCN>
                            <LCPT>0</LCPT>
                            <LCN>2</LCN>
                          </ClmnBlkProps>
                          <ClmnBlkPts>
                            <ClmnBlkPt>
                              <ClmnBlkPtProps>
                                <CBPT>5</CBPT>
                                <ST>6</ST>
                                <VOFFF><![CDATA[Month End Date]]></VOFFF>
                              </ClmnBlkPtProps>
                            </ClmnBlkPt>
                          </ClmnBlkPts>
                        </ClmnBlk>
                        <ClmnBlk>
                          <ClmnBlkProps>
                            <FCPT>0</FCPT>
                            <FCN>5</FCN>
                            <LCPT>0</LCPT>
                            <LCN>16</LCN>
                          </ClmnBlkProps>
                          <ClmnBlkPts>
                            <ClmnBlkPt>
                              <ClmnBlkPtProps>
                                <CBPT>5</CBPT>
                                <ST>17</ST>
                                <VOFFF><![CDATA[=EDATE(§A¿7,1,1,1,9,0,2,1,1§Z¿,COLUMNS(§A¿0,1,1,1,94,2,1,-1,0,0,FALSE,TRUE,1,94,2,1,-1,0,0,FALSE,FALSE§Z¿)+§A¿0,1,0,1,90,2,1,-1,0,0,FALSE,TRUE§Z¿)-1]]></VOFFF>
                              </ClmnBlkPtProps>
                            </ClmnBlkPt>
                          </ClmnBlkPts>
                        </ClmnBlk>
                      </ClmnBlks>
                      <TtlCtg/>
                    </Elmt>
                    <Elmt>
                      <ElmtProps>
                        <CPT>2</CPT>
                      </ElmtProps>
                      <ClmnBlks>
                        <ClmnBlk>
                          <ClmnBlkProps>
                            <FCPT>0</FCPT>
                            <FCN>2</FCN>
                            <LCPT>0</LCPT>
                            <LCN>2</LCN>
                          </ClmnBlkProps>
                          <ClmnBlkPts>
                            <ClmnBlkPt>
                              <ClmnBlkPtProps>
                                <CBPT>5</CBPT>
                                <ST>6</ST>
                                <SON>3</SON>
                                <VOFFF><![CDATA[Data Available]]></VOFFF>
                              </ClmnBlkPtProps>
                            </ClmnBlkPt>
                          </ClmnBlkPts>
                        </ClmnBlk>
                        <ClmnBlk>
                          <ClmnBlkProps>
                            <FCPT>0</FCPT>
                            <FCN>5</FCN>
                            <LCPT>0</LCPT>
                            <LCN>16</LCN>
                          </ClmnBlkProps>
                          <ClmnBlkPts>
                            <ClmnBlkPt>
                              <ClmnBlkPtProps>
                                <CBPT>5</CBPT>
                                <ST>6</ST>
                                <SON>11</SON>
                                <VOFFF><![CDATA[=IF(COLUMNS(§A¿0,1,1,1,95,2,1,-1,0,0,FALSE,TRUE,1,95,2,1,-1,0,0,FALSE,FALSE§Z¿)+§A¿0,1,0,1,90,2,1,-1,0,0,FALSE,TRUE§Z¿>0,IF(COLUMNS(§A¿0,1,1,1,95,2,1,-1,0,0,FALSE,TRUE,1,95,2,1,-1,0,0,FALSE,FALSE§Z¿)+§A¿0,1,0,1,90,2,1,-1,0,0,FALSE,TRUE§Z¿<=§A¿7,1,1,1,8,0,2,1,1§Z¿,TRUE,FALSE),FALSE)]]></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Chart Axis Labels]]></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A¿0,1,0,1,93,1,1,-1,0,0,FALSE,FALSE§Z¿]]></VOFFF>
                              </ClmnBlkPtProps>
                            </ClmnBlkPt>
                          </ClmnBlkPts>
                        </ClmnBlk>
                        <ClmnBlk>
                          <ClmnBlkProps>
                            <FCPT>0</FCPT>
                            <FCN>5</FCN>
                            <LCPT>0</LCPT>
                            <LCN>16</LCN>
                          </ClmnBlkProps>
                          <ClmnBlkPts>
                            <ClmnBlkPt>
                              <ClmnBlkPtProps>
                                <CBPT>5</CBPT>
                                <ST>5</ST>
                                <SON>20</SON>
                                <VOFFF><![CDATA[=TEXT(§A¿0,1,0,1,94,2,1,-1,0,0,FALSE,FALSE§Z¿,"mmm")&"&#10;"&TEXT(§A¿0,1,0,1,94,2,1,-1,0,0,FALSE,FALSE§Z¿,"yy")]]></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Financial Statements]]></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Income Statement Totals]]></VOFFF>
                              </ClmnBlkPtProps>
                            </ClmnBlkPt>
                          </ClmnBlkPts>
                        </ClmnBlk>
                        <ClmnBlk>
                          <ClmnBlkProps>
                            <FCPT>0</FCPT>
                            <FCN>5</FCN>
                            <LCPT>0</LCPT>
                            <LCN>16</LCN>
                          </ClmnBlkProps>
                          <ClmnBlkPts>
                            <ClmnBlkPt>
                              <ClmnBlkPtProps>
                                <CBPT>5</CBPT>
                                <ST>5</ST>
                                <SON>7</SON>
                                <VOFFF><![CDATA[=§A¿0,1,0,1,93,2,1,-1,0,0,TRUE,FALSE§Z¿]]></VOFFF>
                              </ClmnBlkPtProps>
                            </ClmnBlkPt>
                          </ClmnBlkPts>
                        </ClmnBlk>
                      </ClmnBlks>
                      <TtlCtg/>
                    </Elmt>
                    <Elmt>
                      <ElmtProps>
                        <CPT>2</CPT>
                      </ElmtProps>
                      <ClmnBlks>
                        <ClmnBlk>
                          <ClmnBlkProps>
                            <FCPT>0</FCPT>
                            <FCN>2</FCN>
                            <LCPT>0</LCPT>
                            <LCN>2</LCN>
                          </ClmnBlkProps>
                          <ClmnBlkPts>
                            <ClmnBlkPt>
                              <ClmnBlkPtProps>
                                <CBPT>5</CBPT>
                                <ST>6</ST>
                                <VOFFF><![CDATA[Gross Margin]]></VOFFF>
                              </ClmnBlkPtProps>
                            </ClmnBlkPt>
                          </ClmnBlkPts>
                        </ClmnBlk>
                        <ClmnBlk>
                          <ClmnBlkProps>
                            <FCPT>0</FCPT>
                            <FCN>5</FCN>
                            <LCPT>0</LCPT>
                            <LCN>16</LCN>
                          </ClmnBlkProps>
                          <ClmnBlkPts>
                            <ClmnBlkPt>
                              <ClmnBlkPtProps>
                                <CBPT>5</CBPT>
                                <ST>18</ST>
                                <SON>22</SON>
                                <VOFFF><![CDATA[0]]></VOFFF>
                                <UDAV><![CDATA[0]]></UDAV>
                              </ClmnBlkPtProps>
                              <LnkInForms>
                                <LnkInForm>
                                  <LnkInFormProps>
                                    <CBPLI>1,1,104,2,1</CBPLI>
                                    <ELN>1</ELN>
                                    <FFF><![CDATA[=IF(§A¿0,1,0,1,95,2,1,-1,0,0,TRUE,FALSE§Z¿,OFFSET(§A¿10,FALSE,0,2,0,FALSE§Z¿,0,§A¿0,1,0,1,90,2,1,-1,0,0,TRUE,TRUE§Z¿),0)]]></FFF>
                                  </LnkInFormProps>
                                </LnkInForm>
                              </LnkInForms>
                            </ClmnBlkPt>
                          </ClmnBlkPts>
                        </ClmnBlk>
                      </ClmnBlks>
                      <TtlCtg>
                        <LnkIn>
                          <LnkInProps>
                            <MN>58</MN>
                            <CLI>1,1,104,True,0</CLI>
                            <ELN>1</ELN>
                            <LOOT>2</LOOT>
                            <LOMN>4</LOMN>
                            <LOMCN>1</LOMCN>
                            <LOSN>1</LOSN>
                            <LOEN>10</LOEN>
                            <LOCN>0</LOCN>
                          </LnkInProps>
                        </LnkIn>
                      </TtlCtg>
                      <ElmtLnksIn>
                        <ElmtLnk>
                          <ElmtLnkProps>
                            <ELI>1,1,104</ELI>
                            <ELN>1</ELN>
                            <ELGN>1</ELGN>
                            <MLG>EA714C3B-A474-452C-8B94-4BB70DBF4657</MLG>
                            <ICBI>2</ICBI>
                            <ILBN/>
                            <LIBN>0</LIBN>
                          </ElmtLnkProps>
                        </ElmtLnk>
                      </ElmtLnksIn>
                    </Elmt>
                    <Elmt>
                      <ElmtProps>
                        <CPT>2</CPT>
                      </ElmtProps>
                      <ClmnBlks>
                        <ClmnBlk>
                          <ClmnBlkProps>
                            <FCPT>0</FCPT>
                            <FCN>2</FCN>
                            <LCPT>0</LCPT>
                            <LCN>2</LCN>
                          </ClmnBlkProps>
                          <ClmnBlkPts>
                            <ClmnBlkPt>
                              <ClmnBlkPtProps>
                                <CBPT>5</CBPT>
                                <ST>6</ST>
                                <VOFFF><![CDATA[EBITDA]]></VOFFF>
                              </ClmnBlkPtProps>
                            </ClmnBlkPt>
                          </ClmnBlkPts>
                        </ClmnBlk>
                        <ClmnBlk>
                          <ClmnBlkProps>
                            <FCPT>0</FCPT>
                            <FCN>5</FCN>
                            <LCPT>0</LCPT>
                            <LCN>16</LCN>
                          </ClmnBlkProps>
                          <ClmnBlkPts>
                            <ClmnBlkPt>
                              <ClmnBlkPtProps>
                                <CBPT>5</CBPT>
                                <ST>18</ST>
                                <SON>22</SON>
                                <VOFFF><![CDATA[0]]></VOFFF>
                                <UDAV><![CDATA[0]]></UDAV>
                              </ClmnBlkPtProps>
                              <LnkInForms>
                                <LnkInForm>
                                  <LnkInFormProps>
                                    <CBPLI>1,1,105,2,1</CBPLI>
                                    <ELN>1</ELN>
                                    <FFF><![CDATA[=IF(§A¿0,1,0,1,95,2,1,-1,0,0,TRUE,FALSE§Z¿,OFFSET(§A¿10,FALSE,0,2,0,FALSE§Z¿,0,§A¿0,1,0,1,90,2,1,-1,0,0,TRUE,TRUE§Z¿),0)]]></FFF>
                                  </LnkInFormProps>
                                </LnkInForm>
                              </LnkInForms>
                            </ClmnBlkPt>
                          </ClmnBlkPts>
                        </ClmnBlk>
                      </ClmnBlks>
                      <TtlCtg>
                        <LnkIn>
                          <LnkInProps>
                            <MN>58</MN>
                            <CLI>1,1,105,True,0</CLI>
                            <ELN>1</ELN>
                            <LOOT>2</LOOT>
                            <LOMN>4</LOMN>
                            <LOMCN>1</LOMCN>
                            <LOSN>1</LOSN>
                            <LOEN>21</LOEN>
                            <LOCN>0</LOCN>
                          </LnkInProps>
                        </LnkIn>
                      </TtlCtg>
                      <ElmtLnksIn>
                        <ElmtLnk>
                          <ElmtLnkProps>
                            <ELI>1,1,105</ELI>
                            <ELN>1</ELN>
                            <ELGN>1</ELGN>
                            <MLG>B5476248-CCD4-421F-9F2A-D75AECC0D2C6</MLG>
                            <ICBI>2</ICBI>
                            <ILBN/>
                            <LIBN>0</LIBN>
                          </ElmtLnkProps>
                        </ElmtLnk>
                      </ElmtLnksIn>
                    </Elmt>
                    <Elmt>
                      <ElmtProps>
                        <CPT>2</CPT>
                      </ElmtProps>
                      <ClmnBlks>
                        <ClmnBlk>
                          <ClmnBlkProps>
                            <FCPT>0</FCPT>
                            <FCN>2</FCN>
                            <LCPT>0</LCPT>
                            <LCN>2</LCN>
                          </ClmnBlkProps>
                          <ClmnBlkPts>
                            <ClmnBlkPt>
                              <ClmnBlkPtProps>
                                <CBPT>5</CBPT>
                                <ST>6</ST>
                                <VOFFF><![CDATA[EBIT]]></VOFFF>
                              </ClmnBlkPtProps>
                            </ClmnBlkPt>
                          </ClmnBlkPts>
                        </ClmnBlk>
                        <ClmnBlk>
                          <ClmnBlkProps>
                            <FCPT>0</FCPT>
                            <FCN>5</FCN>
                            <LCPT>0</LCPT>
                            <LCN>16</LCN>
                          </ClmnBlkProps>
                          <ClmnBlkPts>
                            <ClmnBlkPt>
                              <ClmnBlkPtProps>
                                <CBPT>5</CBPT>
                                <ST>18</ST>
                                <SON>22</SON>
                                <VOFFF><![CDATA[0]]></VOFFF>
                                <UDAV><![CDATA[0]]></UDAV>
                              </ClmnBlkPtProps>
                              <LnkInForms>
                                <LnkInForm>
                                  <LnkInFormProps>
                                    <CBPLI>1,1,106,2,1</CBPLI>
                                    <ELN>1</ELN>
                                    <FFF><![CDATA[=IF(§A¿0,1,0,1,95,2,1,-1,0,0,TRUE,FALSE§Z¿,OFFSET(§A¿10,FALSE,0,2,0,FALSE§Z¿,0,§A¿0,1,0,1,90,2,1,-1,0,0,TRUE,TRUE§Z¿),0)]]></FFF>
                                  </LnkInFormProps>
                                </LnkInForm>
                              </LnkInForms>
                            </ClmnBlkPt>
                          </ClmnBlkPts>
                        </ClmnBlk>
                      </ClmnBlks>
                      <TtlCtg>
                        <LnkIn>
                          <LnkInProps>
                            <MN>58</MN>
                            <CLI>1,1,106,True,0</CLI>
                            <ELN>1</ELN>
                            <LOOT>2</LOOT>
                            <LOMN>4</LOMN>
                            <LOMCN>1</LOMCN>
                            <LOSN>1</LOSN>
                            <LOEN>28</LOEN>
                            <LOCN>0</LOCN>
                          </LnkInProps>
                        </LnkIn>
                      </TtlCtg>
                      <ElmtLnksIn>
                        <ElmtLnk>
                          <ElmtLnkProps>
                            <ELI>1,1,106</ELI>
                            <ELN>1</ELN>
                            <ELGN>1</ELGN>
                            <MLG>53660E88-B21A-42CF-88A4-661E4FE145E2</MLG>
                            <ICBI>2</ICBI>
                            <ILBN/>
                            <LIBN>0</LIBN>
                          </ElmtLnkProps>
                        </ElmtLnk>
                      </ElmtLnksIn>
                    </Elmt>
                    <Elmt>
                      <ElmtProps>
                        <CPT>2</CPT>
                      </ElmtProps>
                      <ClmnBlks>
                        <ClmnBlk>
                          <ClmnBlkProps>
                            <FCPT>0</FCPT>
                            <FCN>2</FCN>
                            <LCPT>0</LCPT>
                            <LCN>2</LCN>
                          </ClmnBlkProps>
                          <ClmnBlkPts>
                            <ClmnBlkPt>
                              <ClmnBlkPtProps>
                                <CBPT>5</CBPT>
                                <ST>6</ST>
                                <VOFFF><![CDATA[Net Profit Before Tax]]></VOFFF>
                              </ClmnBlkPtProps>
                            </ClmnBlkPt>
                          </ClmnBlkPts>
                        </ClmnBlk>
                        <ClmnBlk>
                          <ClmnBlkProps>
                            <FCPT>0</FCPT>
                            <FCN>5</FCN>
                            <LCPT>0</LCPT>
                            <LCN>16</LCN>
                          </ClmnBlkProps>
                          <ClmnBlkPts>
                            <ClmnBlkPt>
                              <ClmnBlkPtProps>
                                <CBPT>5</CBPT>
                                <ST>18</ST>
                                <SON>22</SON>
                                <VOFFF><![CDATA[0]]></VOFFF>
                                <UDAV><![CDATA[0]]></UDAV>
                              </ClmnBlkPtProps>
                              <LnkInForms>
                                <LnkInForm>
                                  <LnkInFormProps>
                                    <CBPLI>1,1,107,2,1</CBPLI>
                                    <ELN>1</ELN>
                                    <FFF><![CDATA[=IF(§A¿0,1,0,1,95,2,1,-1,0,0,TRUE,FALSE§Z¿,OFFSET(§A¿10,FALSE,0,2,0,FALSE§Z¿,0,§A¿0,1,0,1,90,2,1,-1,0,0,TRUE,TRUE§Z¿),0)]]></FFF>
                                  </LnkInFormProps>
                                </LnkInForm>
                              </LnkInForms>
                            </ClmnBlkPt>
                          </ClmnBlkPts>
                        </ClmnBlk>
                      </ClmnBlks>
                      <TtlCtg>
                        <LnkIn>
                          <LnkInProps>
                            <MN>58</MN>
                            <CLI>1,1,107,True,0</CLI>
                            <ELN>1</ELN>
                            <LOOT>2</LOOT>
                            <LOMN>4</LOMN>
                            <LOMCN>1</LOMCN>
                            <LOSN>1</LOSN>
                            <LOEN>36</LOEN>
                            <LOCN>0</LOCN>
                          </LnkInProps>
                        </LnkIn>
                      </TtlCtg>
                      <ElmtLnksIn>
                        <ElmtLnk>
                          <ElmtLnkProps>
                            <ELI>1,1,107</ELI>
                            <ELN>1</ELN>
                            <ELGN>1</ELGN>
                            <MLG>DEC71E85-1B1D-4AEA-BA19-C84D9918A4F3</MLG>
                            <ICBI>2</ICBI>
                            <ILBN/>
                            <LIBN>0</LIBN>
                          </ElmtLnkProps>
                        </ElmtLnk>
                      </ElmtLnksIn>
                    </Elmt>
                    <Elmt>
                      <ElmtProps>
                        <CPT>2</CPT>
                      </ElmtProps>
                      <ClmnBlks>
                        <ClmnBlk>
                          <ClmnBlkProps>
                            <FCPT>0</FCPT>
                            <FCN>2</FCN>
                            <LCPT>0</LCPT>
                            <LCN>2</LCN>
                          </ClmnBlkProps>
                          <ClmnBlkPts>
                            <ClmnBlkPt>
                              <ClmnBlkPtProps>
                                <CBPT>5</CBPT>
                                <ST>6</ST>
                                <VOFFF><![CDATA[Net Profit After Tax]]></VOFFF>
                              </ClmnBlkPtProps>
                            </ClmnBlkPt>
                          </ClmnBlkPts>
                        </ClmnBlk>
                        <ClmnBlk>
                          <ClmnBlkProps>
                            <FCPT>0</FCPT>
                            <FCN>5</FCN>
                            <LCPT>0</LCPT>
                            <LCN>16</LCN>
                          </ClmnBlkProps>
                          <ClmnBlkPts>
                            <ClmnBlkPt>
                              <ClmnBlkPtProps>
                                <CBPT>5</CBPT>
                                <ST>18</ST>
                                <SON>22</SON>
                                <VOFFF><![CDATA[0]]></VOFFF>
                                <UDAV><![CDATA[0]]></UDAV>
                              </ClmnBlkPtProps>
                              <LnkInForms>
                                <LnkInForm>
                                  <LnkInFormProps>
                                    <CBPLI>1,1,108,2,1</CBPLI>
                                    <ELN>1</ELN>
                                    <FFF><![CDATA[=IF(§A¿0,1,0,1,95,2,1,-1,0,0,TRUE,FALSE§Z¿,OFFSET(§A¿10,FALSE,0,2,0,FALSE§Z¿,0,§A¿0,1,0,1,90,2,1,-1,0,0,TRUE,TRUE§Z¿),0)]]></FFF>
                                  </LnkInFormProps>
                                </LnkInForm>
                              </LnkInForms>
                            </ClmnBlkPt>
                          </ClmnBlkPts>
                        </ClmnBlk>
                      </ClmnBlks>
                      <TtlCtg>
                        <LnkIn>
                          <LnkInProps>
                            <MN>58</MN>
                            <CLI>1,1,108,True,0</CLI>
                            <ELN>1</ELN>
                            <LOOT>2</LOOT>
                            <LOMN>4</LOMN>
                            <LOMCN>1</LOMCN>
                            <LOSN>1</LOSN>
                            <LOEN>40</LOEN>
                            <LOCN>0</LOCN>
                          </LnkInProps>
                        </LnkIn>
                      </TtlCtg>
                      <ElmtLnksIn>
                        <ElmtLnk>
                          <ElmtLnkProps>
                            <ELI>1,1,108</ELI>
                            <ELN>1</ELN>
                            <ELGN>1</ELGN>
                            <MLG>1C7940B5-C830-4EC2-92DF-CBA013375747</MLG>
                            <ICBI>2</ICBI>
                            <ILBN/>
                            <LIBN>0</LIBN>
                          </ElmtLnkProps>
                        </ElmtLnk>
                      </ElmtLnksIn>
                    </Elmt>
                    <Elmt>
                      <ElmtProps>
                        <CPT>2</CPT>
                      </ElmtProps>
                      <TtlCtg>
                        <TtlCtgProps>
                          <R>2</R>
                        </TtlCtgProps>
                      </TtlCtg>
                    </Elmt>
                    <Elmt>
                      <ElmtProps>
                        <CPT>2</CPT>
                      </ElmtProps>
                      <ClmnBlks>
                        <ClmnBlk>
                          <ClmnBlkProps>
                            <FCPT>0</FCPT>
                            <FCN>2</FCN>
                            <LCPT>0</LCPT>
                            <LCN>2</LCN>
                          </ClmnBlkProps>
                          <ClmnBlkPts>
                            <ClmnBlkPt>
                              <ClmnBlkPtProps>
                                <CBPT>5</CBPT>
                                <ST>5</ST>
                                <VOFFF><![CDATA[Balance Sheet Totals]]></VOFFF>
                              </ClmnBlkPtProps>
                            </ClmnBlkPt>
                          </ClmnBlkPts>
                        </ClmnBlk>
                      </ClmnBlks>
                      <TtlCtg/>
                    </Elmt>
                    <Elmt>
                      <ElmtProps>
                        <CPT>2</CPT>
                      </ElmtProps>
                      <ClmnBlks>
                        <ClmnBlk>
                          <ClmnBlkProps>
                            <FCPT>0</FCPT>
                            <FCN>2</FCN>
                            <LCPT>0</LCPT>
                            <LCN>2</LCN>
                          </ClmnBlkProps>
                          <ClmnBlkPts>
                            <ClmnBlkPt>
                              <ClmnBlkPtProps>
                                <CBPT>5</CBPT>
                                <ST>6</ST>
                                <VOFFF><![CDATA[Current Assets]]></VOFFF>
                              </ClmnBlkPtProps>
                            </ClmnBlkPt>
                          </ClmnBlkPts>
                        </ClmnBlk>
                        <ClmnBlk>
                          <ClmnBlkProps>
                            <FCPT>0</FCPT>
                            <FCN>5</FCN>
                            <LCPT>0</LCPT>
                            <LCN>16</LCN>
                          </ClmnBlkProps>
                          <ClmnBlkPts>
                            <ClmnBlkPt>
                              <ClmnBlkPtProps>
                                <CBPT>5</CBPT>
                                <ST>18</ST>
                                <SON>22</SON>
                                <VOFFF><![CDATA[0]]></VOFFF>
                              </ClmnBlkPtProps>
                              <LnkInForms>
                                <LnkInForm>
                                  <LnkInFormProps>
                                    <CBPLI>1,1,111,2,1</CBPLI>
                                    <ELN>1</ELN>
                                    <FFF><![CDATA[=IF(§A¿0,1,0,1,95,2,1,-1,0,0,TRUE,FALSE§Z¿,OFFSET(§A¿10,FALSE,0,2,0,FALSE§Z¿,0,§A¿0,1,0,1,90,2,1,-1,0,0,TRUE,TRUE§Z¿),0)]]></FFF>
                                  </LnkInFormProps>
                                </LnkInForm>
                              </LnkInForms>
                            </ClmnBlkPt>
                          </ClmnBlkPts>
                        </ClmnBlk>
                      </ClmnBlks>
                      <TtlCtg>
                        <LnkIn>
                          <LnkInProps>
                            <MN>58</MN>
                            <CLI>1,1,111,True,0</CLI>
                            <ELN>1</ELN>
                            <LOOT>2</LOOT>
                            <LOMN>5</LOMN>
                            <LOMCN>1</LOMCN>
                            <LOSN>1</LOSN>
                            <LOEN>14</LOEN>
                            <LOCN>0</LOCN>
                          </LnkInProps>
                        </LnkIn>
                      </TtlCtg>
                      <ElmtLnksIn>
                        <ElmtLnk>
                          <ElmtLnkProps>
                            <ELI>1,1,111</ELI>
                            <ELN>1</ELN>
                            <ELGN>1</ELGN>
                            <MLG>05669348-3946-4025-8A8C-5E6839DA7E46</MLG>
                            <ICBI>2</ICBI>
                            <ILBN/>
                            <LIBN>0</LIBN>
                          </ElmtLnkProps>
                        </ElmtLnk>
                      </ElmtLnksIn>
                    </Elmt>
                    <Elmt>
                      <ElmtProps>
                        <CPT>2</CPT>
                      </ElmtProps>
                      <ClmnBlks>
                        <ClmnBlk>
                          <ClmnBlkProps>
                            <FCPT>0</FCPT>
                            <FCN>2</FCN>
                            <LCPT>0</LCPT>
                            <LCN>2</LCN>
                          </ClmnBlkProps>
                          <ClmnBlkPts>
                            <ClmnBlkPt>
                              <ClmnBlkPtProps>
                                <CBPT>5</CBPT>
                                <ST>6</ST>
                                <VOFFF><![CDATA[Non-Current Assets]]></VOFFF>
                              </ClmnBlkPtProps>
                            </ClmnBlkPt>
                          </ClmnBlkPts>
                        </ClmnBlk>
                        <ClmnBlk>
                          <ClmnBlkProps>
                            <FCPT>0</FCPT>
                            <FCN>5</FCN>
                            <LCPT>0</LCPT>
                            <LCN>16</LCN>
                          </ClmnBlkProps>
                          <ClmnBlkPts>
                            <ClmnBlkPt>
                              <ClmnBlkPtProps>
                                <CBPT>5</CBPT>
                                <ST>18</ST>
                                <SON>22</SON>
                                <VOFFF><![CDATA[0]]></VOFFF>
                              </ClmnBlkPtProps>
                              <LnkInForms>
                                <LnkInForm>
                                  <LnkInFormProps>
                                    <CBPLI>1,1,112,2,1</CBPLI>
                                    <ELN>1</ELN>
                                    <FFF><![CDATA[=IF(§A¿0,1,0,1,95,2,1,-1,0,0,TRUE,FALSE§Z¿,OFFSET(§A¿10,FALSE,0,2,0,FALSE§Z¿,0,§A¿0,1,0,1,90,2,1,-1,0,0,TRUE,TRUE§Z¿),0)]]></FFF>
                                  </LnkInFormProps>
                                </LnkInForm>
                              </LnkInForms>
                            </ClmnBlkPt>
                          </ClmnBlkPts>
                        </ClmnBlk>
                      </ClmnBlks>
                      <TtlCtg>
                        <LnkIn>
                          <LnkInProps>
                            <MN>58</MN>
                            <CLI>1,1,112,True,0</CLI>
                            <ELN>1</ELN>
                            <LOOT>2</LOOT>
                            <LOMN>5</LOMN>
                            <LOMCN>1</LOMCN>
                            <LOSN>1</LOSN>
                            <LOEN>20</LOEN>
                            <LOCN>0</LOCN>
                          </LnkInProps>
                        </LnkIn>
                      </TtlCtg>
                      <ElmtLnksIn>
                        <ElmtLnk>
                          <ElmtLnkProps>
                            <ELI>1,1,112</ELI>
                            <ELN>1</ELN>
                            <ELGN>1</ELGN>
                            <MLG>8D4D7E57-F13B-4D83-B1BB-8A242EC8FC85</MLG>
                            <ICBI>2</ICBI>
                            <ILBN/>
                            <LIBN>0</LIBN>
                          </ElmtLnkProps>
                        </ElmtLnk>
                      </ElmtLnksIn>
                    </Elmt>
                    <Elmt>
                      <ElmtProps>
                        <CPT>2</CPT>
                      </ElmtProps>
                      <ClmnBlks>
                        <ClmnBlk>
                          <ClmnBlkProps>
                            <FCPT>0</FCPT>
                            <FCN>2</FCN>
                            <LCPT>0</LCPT>
                            <LCN>2</LCN>
                          </ClmnBlkProps>
                          <ClmnBlkPts>
                            <ClmnBlkPt>
                              <ClmnBlkPtProps>
                                <CBPT>5</CBPT>
                                <ST>6</ST>
                                <VOFFF><![CDATA[Total Assets]]></VOFFF>
                              </ClmnBlkPtProps>
                            </ClmnBlkPt>
                          </ClmnBlkPts>
                        </ClmnBlk>
                        <ClmnBlk>
                          <ClmnBlkProps>
                            <FCPT>0</FCPT>
                            <FCN>5</FCN>
                            <LCPT>0</LCPT>
                            <LCN>16</LCN>
                          </ClmnBlkProps>
                          <ClmnBlkPts>
                            <ClmnBlkPt>
                              <ClmnBlkPtProps>
                                <CBPT>5</CBPT>
                                <ST>18</ST>
                                <SON>22</SON>
                                <VOFFF><![CDATA[0]]></VOFFF>
                                <UDAV><![CDATA[0]]></UDAV>
                              </ClmnBlkPtProps>
                              <LnkInForms>
                                <LnkInForm>
                                  <LnkInFormProps>
                                    <CBPLI>1,1,113,2,1</CBPLI>
                                    <ELN>1</ELN>
                                    <FFF><![CDATA[=IF(§A¿0,1,0,1,95,2,1,-1,0,0,TRUE,FALSE§Z¿,OFFSET(§A¿10,FALSE,0,2,0,FALSE§Z¿,0,§A¿0,1,0,1,90,2,1,-1,0,0,TRUE,TRUE§Z¿),0)]]></FFF>
                                  </LnkInFormProps>
                                </LnkInForm>
                              </LnkInForms>
                            </ClmnBlkPt>
                          </ClmnBlkPts>
                        </ClmnBlk>
                      </ClmnBlks>
                      <TtlCtg>
                        <LnkIn>
                          <LnkInProps>
                            <MN>58</MN>
                            <CLI>1,1,113,True,0</CLI>
                            <ELN>1</ELN>
                            <LOOT>2</LOOT>
                            <LOMN>5</LOMN>
                            <LOMCN>1</LOMCN>
                            <LOSN>1</LOSN>
                            <LOEN>22</LOEN>
                            <LOCN>0</LOCN>
                          </LnkInProps>
                        </LnkIn>
                      </TtlCtg>
                      <ElmtLnksIn>
                        <ElmtLnk>
                          <ElmtLnkProps>
                            <ELI>1,1,113</ELI>
                            <ELN>1</ELN>
                            <ELGN>1</ELGN>
                            <MLG>C14D920E-B313-4475-AA71-1A663B13321A</MLG>
                            <ICBI>2</ICBI>
                            <ILBN/>
                            <LIBN>0</LIBN>
                          </ElmtLnkProps>
                        </ElmtLnk>
                      </ElmtLnksIn>
                    </Elmt>
                    <Elmt>
                      <ElmtProps>
                        <CPT>2</CPT>
                      </ElmtProps>
                      <ClmnBlks>
                        <ClmnBlk>
                          <ClmnBlkProps>
                            <FCPT>0</FCPT>
                            <FCN>2</FCN>
                            <LCPT>0</LCPT>
                            <LCN>2</LCN>
                          </ClmnBlkProps>
                          <ClmnBlkPts>
                            <ClmnBlkPt>
                              <ClmnBlkPtProps>
                                <CBPT>5</CBPT>
                                <ST>6</ST>
                                <VOFFF><![CDATA[Total Liabilities]]></VOFFF>
                              </ClmnBlkPtProps>
                            </ClmnBlkPt>
                          </ClmnBlkPts>
                        </ClmnBlk>
                        <ClmnBlk>
                          <ClmnBlkProps>
                            <FCPT>0</FCPT>
                            <FCN>5</FCN>
                            <LCPT>0</LCPT>
                            <LCN>16</LCN>
                          </ClmnBlkProps>
                          <ClmnBlkPts>
                            <ClmnBlkPt>
                              <ClmnBlkPtProps>
                                <CBPT>5</CBPT>
                                <ST>18</ST>
                                <SON>22</SON>
                                <VOFFF><![CDATA[0]]></VOFFF>
                                <UDAV><![CDATA[0]]></UDAV>
                              </ClmnBlkPtProps>
                              <LnkInForms>
                                <LnkInForm>
                                  <LnkInFormProps>
                                    <CBPLI>1,1,114,2,1</CBPLI>
                                    <ELN>1</ELN>
                                    <FFF><![CDATA[=IF(§A¿0,1,0,1,95,2,1,-1,0,0,TRUE,FALSE§Z¿,OFFSET(§A¿10,FALSE,0,2,0,FALSE§Z¿,0,§A¿0,1,0,1,90,2,1,-1,0,0,TRUE,TRUE§Z¿),0)]]></FFF>
                                  </LnkInFormProps>
                                </LnkInForm>
                              </LnkInForms>
                            </ClmnBlkPt>
                          </ClmnBlkPts>
                        </ClmnBlk>
                      </ClmnBlks>
                      <TtlCtg>
                        <LnkIn>
                          <LnkInProps>
                            <MN>58</MN>
                            <CLI>1,1,114,True,0</CLI>
                            <ELN>1</ELN>
                            <LOOT>2</LOOT>
                            <LOMN>5</LOMN>
                            <LOMCN>1</LOMCN>
                            <LOSN>1</LOSN>
                            <LOEN>52</LOEN>
                            <LOCN>0</LOCN>
                          </LnkInProps>
                        </LnkIn>
                      </TtlCtg>
                      <ElmtLnksIn>
                        <ElmtLnk>
                          <ElmtLnkProps>
                            <ELI>1,1,114</ELI>
                            <ELN>1</ELN>
                            <ELGN>1</ELGN>
                            <MLG>3443602F-4951-46CB-BFE0-63952A1BDF39</MLG>
                            <ICBI>2</ICBI>
                            <ILBN/>
                            <LIBN>0</LIBN>
                          </ElmtLnkProps>
                        </ElmtLnk>
                      </ElmtLnksIn>
                    </Elmt>
                    <Elmt>
                      <ElmtProps>
                        <CPT>2</CPT>
                      </ElmtProps>
                      <ClmnBlks>
                        <ClmnBlk>
                          <ClmnBlkProps>
                            <FCPT>0</FCPT>
                            <FCN>2</FCN>
                            <LCPT>0</LCPT>
                            <LCN>2</LCN>
                          </ClmnBlkProps>
                          <ClmnBlkPts>
                            <ClmnBlkPt>
                              <ClmnBlkPtProps>
                                <CBPT>5</CBPT>
                                <ST>6</ST>
                                <VOFFF><![CDATA[Net Assets]]></VOFFF>
                              </ClmnBlkPtProps>
                            </ClmnBlkPt>
                          </ClmnBlkPts>
                        </ClmnBlk>
                        <ClmnBlk>
                          <ClmnBlkProps>
                            <FCPT>0</FCPT>
                            <FCN>5</FCN>
                            <LCPT>0</LCPT>
                            <LCN>16</LCN>
                          </ClmnBlkProps>
                          <ClmnBlkPts>
                            <ClmnBlkPt>
                              <ClmnBlkPtProps>
                                <CBPT>5</CBPT>
                                <ST>18</ST>
                                <SON>22</SON>
                                <VOFFF><![CDATA[0]]></VOFFF>
                                <UDAV><![CDATA[0]]></UDAV>
                              </ClmnBlkPtProps>
                              <LnkInForms>
                                <LnkInForm>
                                  <LnkInFormProps>
                                    <CBPLI>1,1,115,2,1</CBPLI>
                                    <ELN>1</ELN>
                                    <FFF><![CDATA[=IF(§A¿0,1,0,1,95,2,1,-1,0,0,TRUE,FALSE§Z¿,OFFSET(§A¿10,FALSE,0,2,0,FALSE§Z¿,0,§A¿0,1,0,1,90,2,1,-1,0,0,TRUE,TRUE§Z¿),0)]]></FFF>
                                  </LnkInFormProps>
                                </LnkInForm>
                              </LnkInForms>
                            </ClmnBlkPt>
                          </ClmnBlkPts>
                        </ClmnBlk>
                      </ClmnBlks>
                      <TtlCtg>
                        <LnkIn>
                          <LnkInProps>
                            <MN>58</MN>
                            <CLI>1,1,115,True,0</CLI>
                            <ELN>1</ELN>
                            <LOOT>2</LOOT>
                            <LOMN>5</LOMN>
                            <LOMCN>1</LOMCN>
                            <LOSN>1</LOSN>
                            <LOEN>54</LOEN>
                            <LOCN>0</LOCN>
                          </LnkInProps>
                        </LnkIn>
                      </TtlCtg>
                      <ElmtLnksIn>
                        <ElmtLnk>
                          <ElmtLnkProps>
                            <ELI>1,1,115</ELI>
                            <ELN>1</ELN>
                            <ELGN>1</ELGN>
                            <MLG>34B927F3-B985-4335-95E4-4CEC7F73B93E</MLG>
                            <ICBI>2</ICBI>
                            <ILBN/>
                            <LIBN>0</LIBN>
                          </ElmtLnkProps>
                        </ElmtLnk>
                      </ElmtLnksIn>
                    </Elmt>
                    <Elmt>
                      <ElmtProps>
                        <CPT>2</CPT>
                      </ElmtProps>
                      <ClmnBlks>
                        <ClmnBlk>
                          <ClmnBlkProps>
                            <FCPT>0</FCPT>
                            <FCN>2</FCN>
                            <LCPT>0</LCPT>
                            <LCN>2</LCN>
                          </ClmnBlkProps>
                          <ClmnBlkPts>
                            <ClmnBlkPt>
                              <ClmnBlkPtProps>
                                <CBPT>5</CBPT>
                                <ST>6</ST>
                                <VOFFF><![CDATA[Retained Profits]]></VOFFF>
                              </ClmnBlkPtProps>
                            </ClmnBlkPt>
                          </ClmnBlkPts>
                        </ClmnBlk>
                        <ClmnBlk>
                          <ClmnBlkProps>
                            <FCPT>0</FCPT>
                            <FCN>5</FCN>
                            <LCPT>0</LCPT>
                            <LCN>16</LCN>
                          </ClmnBlkProps>
                          <ClmnBlkPts>
                            <ClmnBlkPt>
                              <ClmnBlkPtProps>
                                <CBPT>5</CBPT>
                                <ST>18</ST>
                                <SON>22</SON>
                                <VOFFF><![CDATA[0]]></VOFFF>
                                <UDAV><![CDATA[0]]></UDAV>
                              </ClmnBlkPtProps>
                              <LnkInForms>
                                <LnkInForm>
                                  <LnkInFormProps>
                                    <CBPLI>1,1,116,2,1</CBPLI>
                                    <ELN>1</ELN>
                                    <FFF><![CDATA[=IF(§A¿0,1,0,1,95,2,1,-1,0,0,TRUE,FALSE§Z¿,OFFSET(§A¿10,FALSE,0,2,0,FALSE§Z¿,0,§A¿0,1,0,1,90,2,1,-1,0,0,TRUE,TRUE§Z¿),0)]]></FFF>
                                  </LnkInFormProps>
                                </LnkInForm>
                              </LnkInForms>
                            </ClmnBlkPt>
                          </ClmnBlkPts>
                        </ClmnBlk>
                      </ClmnBlks>
                      <TtlCtg>
                        <LnkIn>
                          <LnkInProps>
                            <MN>58</MN>
                            <CLI>1,1,116,True,0</CLI>
                            <ELN>1</ELN>
                            <LOOT>2</LOOT>
                            <LOMN>5</LOMN>
                            <LOMCN>1</LOMCN>
                            <LOSN>1</LOSN>
                            <LOEN>63</LOEN>
                            <LOCN>0</LOCN>
                          </LnkInProps>
                        </LnkIn>
                      </TtlCtg>
                      <ElmtLnksIn>
                        <ElmtLnk>
                          <ElmtLnkProps>
                            <ELI>1,1,116</ELI>
                            <ELN>1</ELN>
                            <ELGN>1</ELGN>
                            <MLG>72D95012-9941-4636-8EA1-927B11C79392</MLG>
                            <ICBI>2</ICBI>
                            <ILBN/>
                            <LIBN>0</LIBN>
                          </ElmtLnkProps>
                        </ElmtLnk>
                      </ElmtLnksIn>
                    </Elmt>
                    <Elmt>
                      <ElmtProps>
                        <CPT>2</CPT>
                      </ElmtProps>
                      <ClmnBlks>
                        <ClmnBlk>
                          <ClmnBlkProps>
                            <FCPT>0</FCPT>
                            <FCN>2</FCN>
                            <LCPT>0</LCPT>
                            <LCN>2</LCN>
                          </ClmnBlkProps>
                          <ClmnBlkPts>
                            <ClmnBlkPt>
                              <ClmnBlkPtProps>
                                <CBPT>5</CBPT>
                                <ST>6</ST>
                                <VOFFF><![CDATA[Total Equity]]></VOFFF>
                              </ClmnBlkPtProps>
                            </ClmnBlkPt>
                          </ClmnBlkPts>
                        </ClmnBlk>
                        <ClmnBlk>
                          <ClmnBlkProps>
                            <FCPT>0</FCPT>
                            <FCN>5</FCN>
                            <LCPT>0</LCPT>
                            <LCN>16</LCN>
                          </ClmnBlkProps>
                          <ClmnBlkPts>
                            <ClmnBlkPt>
                              <ClmnBlkPtProps>
                                <CBPT>5</CBPT>
                                <ST>18</ST>
                                <SON>22</SON>
                                <VOFFF><![CDATA[0]]></VOFFF>
                                <UDAV><![CDATA[0]]></UDAV>
                              </ClmnBlkPtProps>
                              <LnkInForms>
                                <LnkInForm>
                                  <LnkInFormProps>
                                    <CBPLI>1,1,117,2,1</CBPLI>
                                    <ELN>1</ELN>
                                    <FFF><![CDATA[=IF(§A¿0,1,0,1,95,2,1,-1,0,0,TRUE,FALSE§Z¿,OFFSET(§A¿10,FALSE,0,2,0,FALSE§Z¿,0,§A¿0,1,0,1,90,2,1,-1,0,0,TRUE,TRUE§Z¿),0)]]></FFF>
                                  </LnkInFormProps>
                                </LnkInForm>
                              </LnkInForms>
                            </ClmnBlkPt>
                          </ClmnBlkPts>
                        </ClmnBlk>
                      </ClmnBlks>
                      <TtlCtg>
                        <LnkIn>
                          <LnkInProps>
                            <MN>58</MN>
                            <CLI>1,1,117,True,0</CLI>
                            <ELN>1</ELN>
                            <LOOT>2</LOOT>
                            <LOMN>5</LOMN>
                            <LOMCN>1</LOMCN>
                            <LOSN>1</LOSN>
                            <LOEN>65</LOEN>
                            <LOCN>0</LOCN>
                          </LnkInProps>
                        </LnkIn>
                      </TtlCtg>
                      <ElmtLnksIn>
                        <ElmtLnk>
                          <ElmtLnkProps>
                            <ELI>1,1,117</ELI>
                            <ELN>1</ELN>
                            <ELGN>1</ELGN>
                            <MLG>777DFA06-FB86-4EEE-9CCD-CE4BD3407FE4</MLG>
                            <ICBI>2</ICBI>
                            <ILBN/>
                            <LIBN>0</LIBN>
                          </ElmtLnkProps>
                        </ElmtLnk>
                      </ElmtLnksIn>
                    </Elmt>
                    <Elmt>
                      <ElmtProps>
                        <CPT>2</CPT>
                      </ElmtProps>
                      <TtlCtg>
                        <TtlCtgProps>
                          <R>2</R>
                        </TtlCtgProps>
                      </TtlCtg>
                    </Elmt>
                    <Elmt>
                      <ElmtProps>
                        <CPT>2</CPT>
                      </ElmtProps>
                      <ClmnBlks>
                        <ClmnBlk>
                          <ClmnBlkProps>
                            <FCPT>0</FCPT>
                            <FCN>2</FCN>
                            <LCPT>0</LCPT>
                            <LCN>2</LCN>
                          </ClmnBlkProps>
                          <ClmnBlkPts>
                            <ClmnBlkPt>
                              <ClmnBlkPtProps>
                                <CBPT>5</CBPT>
                                <ST>5</ST>
                                <VOFFF><![CDATA[Cash Flow Statement Totals]]></VOFFF>
                              </ClmnBlkPtProps>
                            </ClmnBlkPt>
                          </ClmnBlkPts>
                        </ClmnBlk>
                      </ClmnBlks>
                      <TtlCtg/>
                    </Elmt>
                    <Elmt>
                      <ElmtProps>
                        <CPT>2</CPT>
                      </ElmtProps>
                      <ClmnBlks>
                        <ClmnBlk>
                          <ClmnBlkProps>
                            <FCPT>0</FCPT>
                            <FCN>2</FCN>
                            <LCPT>0</LCPT>
                            <LCN>2</LCN>
                          </ClmnBlkProps>
                          <ClmnBlkPts>
                            <ClmnBlkPt>
                              <ClmnBlkPtProps>
                                <CBPT>5</CBPT>
                                <ST>6</ST>
                                <VOFFF><![CDATA[Operating Cash Flows]]></VOFFF>
                              </ClmnBlkPtProps>
                            </ClmnBlkPt>
                          </ClmnBlkPts>
                        </ClmnBlk>
                        <ClmnBlk>
                          <ClmnBlkProps>
                            <FCPT>0</FCPT>
                            <FCN>5</FCN>
                            <LCPT>0</LCPT>
                            <LCN>16</LCN>
                          </ClmnBlkProps>
                          <ClmnBlkPts>
                            <ClmnBlkPt>
                              <ClmnBlkPtProps>
                                <CBPT>5</CBPT>
                                <ST>18</ST>
                                <SON>22</SON>
                                <VOFFF><![CDATA[0]]></VOFFF>
                                <UDAV><![CDATA[0]]></UDAV>
                              </ClmnBlkPtProps>
                              <LnkInForms>
                                <LnkInForm>
                                  <LnkInFormProps>
                                    <CBPLI>1,1,120,2,1</CBPLI>
                                    <ELN>1</ELN>
                                    <FFF><![CDATA[=IF(§A¿0,1,0,1,95,2,1,-1,0,0,TRUE,FALSE§Z¿,OFFSET(§A¿10,FALSE,0,2,0,FALSE§Z¿,0,§A¿0,1,0,1,90,2,1,-1,0,0,TRUE,TRUE§Z¿),0)]]></FFF>
                                  </LnkInFormProps>
                                </LnkInForm>
                              </LnkInForms>
                            </ClmnBlkPt>
                          </ClmnBlkPts>
                        </ClmnBlk>
                      </ClmnBlks>
                      <TtlCtg>
                        <LnkIn>
                          <LnkInProps>
                            <MN>58</MN>
                            <CLI>1,1,120,True,0</CLI>
                            <ELN>1</ELN>
                            <LOOT>2</LOOT>
                            <LOMN>6</LOMN>
                            <LOMCN>1</LOMCN>
                            <LOSN>1</LOSN>
                            <LOEN>44</LOEN>
                            <LOCN>0</LOCN>
                          </LnkInProps>
                        </LnkIn>
                      </TtlCtg>
                      <ElmtLnksIn>
                        <ElmtLnk>
                          <ElmtLnkProps>
                            <ELI>1,1,120</ELI>
                            <ELN>1</ELN>
                            <ELGN>1</ELGN>
                            <MLG>5A41D950-1C57-41C9-90EA-CB1F503F74A2</MLG>
                            <ICBI>2</ICBI>
                            <ILBN/>
                            <LIBN>0</LIBN>
                          </ElmtLnkProps>
                        </ElmtLnk>
                      </ElmtLnksIn>
                    </Elmt>
                    <Elmt>
                      <ElmtProps>
                        <CPT>2</CPT>
                      </ElmtProps>
                      <ClmnBlks>
                        <ClmnBlk>
                          <ClmnBlkProps>
                            <FCPT>0</FCPT>
                            <FCN>2</FCN>
                            <LCPT>0</LCPT>
                            <LCN>2</LCN>
                          </ClmnBlkProps>
                          <ClmnBlkPts>
                            <ClmnBlkPt>
                              <ClmnBlkPtProps>
                                <CBPT>5</CBPT>
                                <ST>6</ST>
                                <VOFFF><![CDATA[Investing Cash Flows]]></VOFFF>
                              </ClmnBlkPtProps>
                            </ClmnBlkPt>
                          </ClmnBlkPts>
                        </ClmnBlk>
                        <ClmnBlk>
                          <ClmnBlkProps>
                            <FCPT>0</FCPT>
                            <FCN>5</FCN>
                            <LCPT>0</LCPT>
                            <LCN>16</LCN>
                          </ClmnBlkProps>
                          <ClmnBlkPts>
                            <ClmnBlkPt>
                              <ClmnBlkPtProps>
                                <CBPT>5</CBPT>
                                <ST>18</ST>
                                <SON>22</SON>
                                <VOFFF><![CDATA[0]]></VOFFF>
                                <UDAV><![CDATA[0]]></UDAV>
                              </ClmnBlkPtProps>
                              <LnkInForms>
                                <LnkInForm>
                                  <LnkInFormProps>
                                    <CBPLI>1,1,121,2,1</CBPLI>
                                    <ELN>1</ELN>
                                    <FFF><![CDATA[=IF(§A¿0,1,0,1,95,2,1,-1,0,0,TRUE,FALSE§Z¿,OFFSET(§A¿10,FALSE,0,2,0,FALSE§Z¿,0,§A¿0,1,0,1,90,2,1,-1,0,0,TRUE,TRUE§Z¿),0)]]></FFF>
                                  </LnkInFormProps>
                                </LnkInForm>
                              </LnkInForms>
                            </ClmnBlkPt>
                          </ClmnBlkPts>
                        </ClmnBlk>
                      </ClmnBlks>
                      <TtlCtg>
                        <LnkIn>
                          <LnkInProps>
                            <MN>58</MN>
                            <CLI>1,1,121,True,0</CLI>
                            <ELN>1</ELN>
                            <LOOT>2</LOOT>
                            <LOMN>6</LOMN>
                            <LOMCN>1</LOMCN>
                            <LOSN>1</LOSN>
                            <LOEN>50</LOEN>
                            <LOCN>0</LOCN>
                          </LnkInProps>
                        </LnkIn>
                      </TtlCtg>
                      <ElmtLnksIn>
                        <ElmtLnk>
                          <ElmtLnkProps>
                            <ELI>1,1,121</ELI>
                            <ELN>1</ELN>
                            <ELGN>1</ELGN>
                            <MLG>010063FA-2719-4482-BDA4-0199C6E8E506</MLG>
                            <ICBI>2</ICBI>
                            <ILBN/>
                            <LIBN>0</LIBN>
                          </ElmtLnkProps>
                        </ElmtLnk>
                      </ElmtLnksIn>
                    </Elmt>
                    <Elmt>
                      <ElmtProps>
                        <CPT>2</CPT>
                      </ElmtProps>
                      <ClmnBlks>
                        <ClmnBlk>
                          <ClmnBlkProps>
                            <FCPT>0</FCPT>
                            <FCN>2</FCN>
                            <LCPT>0</LCPT>
                            <LCN>2</LCN>
                          </ClmnBlkProps>
                          <ClmnBlkPts>
                            <ClmnBlkPt>
                              <ClmnBlkPtProps>
                                <CBPT>5</CBPT>
                                <ST>6</ST>
                                <VOFFF><![CDATA[Financing Cash Flows]]></VOFFF>
                              </ClmnBlkPtProps>
                            </ClmnBlkPt>
                          </ClmnBlkPts>
                        </ClmnBlk>
                        <ClmnBlk>
                          <ClmnBlkProps>
                            <FCPT>0</FCPT>
                            <FCN>5</FCN>
                            <LCPT>0</LCPT>
                            <LCN>16</LCN>
                          </ClmnBlkProps>
                          <ClmnBlkPts>
                            <ClmnBlkPt>
                              <ClmnBlkPtProps>
                                <CBPT>5</CBPT>
                                <ST>18</ST>
                                <SON>22</SON>
                                <VOFFF><![CDATA[0]]></VOFFF>
                                <UDAV><![CDATA[0]]></UDAV>
                              </ClmnBlkPtProps>
                              <LnkInForms>
                                <LnkInForm>
                                  <LnkInFormProps>
                                    <CBPLI>1,1,122,2,1</CBPLI>
                                    <ELN>1</ELN>
                                    <FFF><![CDATA[=IF(§A¿0,1,0,1,95,2,1,-1,0,0,TRUE,FALSE§Z¿,OFFSET(§A¿10,FALSE,0,2,0,FALSE§Z¿,0,§A¿0,1,0,1,90,2,1,-1,0,0,TRUE,TRUE§Z¿),0)]]></FFF>
                                  </LnkInFormProps>
                                </LnkInForm>
                              </LnkInForms>
                            </ClmnBlkPt>
                          </ClmnBlkPts>
                        </ClmnBlk>
                      </ClmnBlks>
                      <TtlCtg>
                        <LnkIn>
                          <LnkInProps>
                            <MN>58</MN>
                            <CLI>1,1,122,True,0</CLI>
                            <ELN>1</ELN>
                            <LOOT>2</LOOT>
                            <LOMN>6</LOMN>
                            <LOMCN>1</LOMCN>
                            <LOSN>1</LOSN>
                            <LOEN>64</LOEN>
                            <LOCN>0</LOCN>
                          </LnkInProps>
                        </LnkIn>
                      </TtlCtg>
                      <ElmtLnksIn>
                        <ElmtLnk>
                          <ElmtLnkProps>
                            <ELI>1,1,122</ELI>
                            <ELN>1</ELN>
                            <ELGN>1</ELGN>
                            <MLG>756FDCAB-CC4D-446A-B013-D0F853A20904</MLG>
                            <ICBI>2</ICBI>
                            <ILBN/>
                            <LIBN>0</LIBN>
                          </ElmtLnkProps>
                        </ElmtLnk>
                      </ElmtLnksIn>
                    </Elmt>
                    <Elmt>
                      <ElmtProps>
                        <CPT>2</CPT>
                      </ElmtProps>
                      <ClmnBlks>
                        <ClmnBlk>
                          <ClmnBlkProps>
                            <FCPT>0</FCPT>
                            <FCN>2</FCN>
                            <LCPT>0</LCPT>
                            <LCN>2</LCN>
                          </ClmnBlkProps>
                          <ClmnBlkPts>
                            <ClmnBlkPt>
                              <ClmnBlkPtProps>
                                <CBPT>5</CBPT>
                                <ST>6</ST>
                                <VOFFF><![CDATA[Change in Cash Held]]></VOFFF>
                              </ClmnBlkPtProps>
                            </ClmnBlkPt>
                          </ClmnBlkPts>
                        </ClmnBlk>
                        <ClmnBlk>
                          <ClmnBlkProps>
                            <FCPT>0</FCPT>
                            <FCN>5</FCN>
                            <LCPT>0</LCPT>
                            <LCN>16</LCN>
                          </ClmnBlkProps>
                          <ClmnBlkPts>
                            <ClmnBlkPt>
                              <ClmnBlkPtProps>
                                <CBPT>5</CBPT>
                                <ST>18</ST>
                                <SON>22</SON>
                                <VOFFF><![CDATA[0]]></VOFFF>
                                <UDAV><![CDATA[0]]></UDAV>
                              </ClmnBlkPtProps>
                              <LnkInForms>
                                <LnkInForm>
                                  <LnkInFormProps>
                                    <CBPLI>1,1,123,2,1</CBPLI>
                                    <ELN>1</ELN>
                                    <FFF><![CDATA[=IF(§A¿0,1,0,1,95,2,1,-1,0,0,TRUE,FALSE§Z¿,OFFSET(§A¿10,FALSE,0,2,0,FALSE§Z¿,0,§A¿0,1,0,1,90,2,1,-1,0,0,TRUE,TRUE§Z¿),0)]]></FFF>
                                  </LnkInFormProps>
                                </LnkInForm>
                              </LnkInForms>
                            </ClmnBlkPt>
                          </ClmnBlkPts>
                        </ClmnBlk>
                      </ClmnBlks>
                      <TtlCtg>
                        <LnkIn>
                          <LnkInProps>
                            <MN>58</MN>
                            <CLI>1,1,123,True,0</CLI>
                            <ELN>1</ELN>
                            <LOOT>2</LOOT>
                            <LOMN>6</LOMN>
                            <LOMCN>1</LOMCN>
                            <LOSN>1</LOSN>
                            <LOEN>66</LOEN>
                            <LOCN>0</LOCN>
                          </LnkInProps>
                        </LnkIn>
                      </TtlCtg>
                      <ElmtLnksIn>
                        <ElmtLnk>
                          <ElmtLnkProps>
                            <ELI>1,1,123</ELI>
                            <ELN>1</ELN>
                            <ELGN>1</ELGN>
                            <MLG>938BE67B-8FA9-442F-804A-3418909D0EB0</MLG>
                            <ICBI>2</ICBI>
                            <ILBN/>
                            <LIBN>0</LIBN>
                          </ElmtLnkProps>
                        </ElmtLnk>
                      </ElmtLnksIn>
                    </Elmt>
                    <Elmt>
                      <ElmtProps>
                        <CPT>2</CPT>
                      </ElmtProps>
                      <TtlCtg/>
                    </Elmt>
                    <Elmt>
                      <ElmtProps>
                        <CPT>2</CPT>
                      </ElmtProps>
                      <ClmnBlks>
                        <ClmnBlk>
                          <ClmnBlkProps>
                            <FCPT>0</FCPT>
                            <FCN>2</FCN>
                            <LCPT>0</LCPT>
                            <LCN>2</LCN>
                          </ClmnBlkProps>
                          <ClmnBlkPts>
                            <ClmnBlkPt>
                              <ClmnBlkPtProps>
                                <CBPT>5</CBPT>
                                <ST>4</ST>
                                <VOFFF><![CDATA[Top Revenue]]></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Revenue]]></VOFFF>
                              </ClmnBlkPtProps>
                            </ClmnBlkPt>
                          </ClmnBlkPts>
                        </ClmnBlk>
                        <ClmnBlk>
                          <ClmnBlkProps>
                            <FCPT>0</FCPT>
                            <FCN>4</FCN>
                            <LCPT>0</LCPT>
                            <LCN>4</LCN>
                          </ClmnBlkProps>
                          <ClmnBlkPts>
                            <ClmnBlkPt>
                              <ClmnBlkPtProps>
                                <CBPT>5</CBPT>
                                <ST>5</ST>
                                <SON>5</SON>
                                <VOFFF><![CDATA[Rank]]></VOFFF>
                              </ClmnBlkPtProps>
                            </ClmnBlkPt>
                          </ClmnBlkPts>
                        </ClmnBlk>
                        <ClmnBlk>
                          <ClmnBlkProps>
                            <FCPT>0</FCPT>
                            <FCN>5</FCN>
                            <LCPT>0</LCPT>
                            <LCN>16</LCN>
                          </ClmnBlkProps>
                          <ClmnBlkPts>
                            <ClmnBlkPt>
                              <ClmnBlkPtProps>
                                <CBPT>5</CBPT>
                                <ST>5</ST>
                                <SON>7</SON>
                                <VOFFF><![CDATA[=§A¿0,1,0,1,93,2,1,-1,0,0,TRUE,FALSE§Z¿]]></VOFFF>
                              </ClmnBlkPtProps>
                            </ClmnBlkPt>
                          </ClmnBlkPts>
                        </ClmnBlk>
                        <ClmnBlk>
                          <ClmnBlkProps>
                            <FCPT>0</FCPT>
                            <FCN>17</FCN>
                            <LCPT>0</LCPT>
                            <LCN>17</LCN>
                          </ClmnBlkProps>
                          <ClmnBlkPts>
                            <ClmnBlkPt>
                              <ClmnBlkPtProps>
                                <CBPT>5</CBPT>
                                <ST>5</ST>
                                <SON>12</SON>
                                <VOFFF><![CDATA[Total]]></VOFFF>
                              </ClmnBlkPtProps>
                            </ClmnBlkPt>
                          </ClmnBlkPts>
                        </ClmnBlk>
                      </ClmnBlks>
                      <TtlCtg/>
                    </Elmt>
                    <Elmt>
                      <ElmtProps>
                        <CPT>0</CPT>
                        <TOT>False</TOT>
                        <EGN>1</EGN>
                      </ElmtProps>
                      <ClmnBlks>
                        <ClmnBlk>
                          <ClmnBlkProps>
                            <FCPT>0</FCPT>
                            <FCN>2</FCN>
                            <LCPT>0</LCPT>
                            <LCN>2</LCN>
                          </ClmnBlkProps>
                          <ClmnBlkPts>
                            <ClmnBlkPt>
                              <ClmnBlkPtProps>
                                <CBPT>0</CBPT>
                                <ST>6</ST>
                                <VOFFF><![CDATA[<CategoriesGroupName> Category <CategoryNumber>]]></VOFFF>
                              </ClmnBlkPtProps>
                              <LnkInForms>
                                <LnkInForm>
                                  <LnkInFormProps>
                                    <CBPLI>1,1,128,1,1</CBPLI>
                                    <ELN>1</ELN>
                                    <FFF><![CDATA[=§A¿10,FALSE,0,1,0,FALSE§Z¿]]></FFF>
                                  </LnkInFormProps>
                                </LnkInForm>
                              </LnkInForms>
                            </ClmnBlkPt>
                            <ClmnBlkPt>
                              <ClmnBlkPtProps>
                                <CBPT>1</CBPT>
                                <ST>40</ST>
                                <VOFFF><![CDATA[="Total "&§A¿0,1,0,1,128,1,3,0,0,0,FALSE,FALSE§Z¿]]></VOFFF>
                              </ClmnBlkPtProps>
                            </ClmnBlkPt>
                            <ClmnBlkPt>
                              <ClmnBlkPtProps>
                                <CBPT>2</CBPT>
                                <ST>41</ST>
                                <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ClmnBlkPtProps>
                            </ClmnBlkPt>
                          </ClmnBlkPts>
                        </ClmnBlk>
                        <ClmnBlk>
                          <ClmnBlkProps>
                            <FCPT>0</FCPT>
                            <FCN>4</FCN>
                            <LCPT>0</LCPT>
                            <LCN>4</LCN>
                          </ClmnBlkProps>
                          <ClmnBlkPts>
                            <ClmnBlkPt>
                              <ClmnBlkPtProps>
                                <CBPT>0</CBPT>
                                <ST>18</ST>
                                <SON>13</SON>
                                <VOFFF><![CDATA[=MIN(ROWS(§A¿0,1,1,1,128,4,1,1,0,0,TRUE,TRUE,1,128,4,1,2,0,0,TRUE,TRUE§Z¿),RANK(§A¿0,1,0,1,128,4,1,0,0,0,FALSE,FALSE§Z¿,§A¿0,1,1,1,128,4,1,1,0,0,TRUE,FALSE,1,128,4,1,2,0,0,TRUE,FALSE§Z¿,0)+COUNTIFS(§A¿0,1,1,1,128,4,1,1,0,0,TRUE,FALSE,1,128,4,1,0,0,0,FALSE,FALSE§Z¿,§A¿0,1,0,1,128,4,1,0,0,0,FALSE,FALSE§Z¿)-1)]]></VOFFF>
                              </ClmnBlkPtProps>
                              <LnkInForms>
                                <LnkInForm>
                                  <LnkInFormProps>
                                    <CBPLI>1,1,128,2,1</CBPLI>
                                    <ELN>1</ELN>
                                    <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6</SON>
                                <VOFFF/>
                              </ClmnBlkPtProps>
                            </ClmnBlkPt>
                          </ClmnBlkPts>
                        </ClmnBlk>
                        <ClmnBlk>
                          <ClmnBlkProps>
                            <FCPT>0</FCPT>
                            <FCN>5</FCN>
                            <LCPT>0</LCPT>
                            <LCN>16</LCN>
                          </ClmnBlkProps>
                          <ClmnBlkPts>
                            <ClmnBlkPt>
                              <ClmnBlkPtProps>
                                <CBPT>0</CBPT>
                                <ST>18</ST>
                                <SON>40</SON>
                                <VOFFF><![CDATA[0]]></VOFFF>
                                <UDAV><![CDATA[0]]></UDAV>
                              </ClmnBlkPtProps>
                              <LnkInForms>
                                <LnkInForm>
                                  <LnkInFormProps>
                                    <CBPLI>1,1,128,3,1</CBPLI>
                                    <ELN>1</ELN>
                                    <FFF><![CDATA[=IF(§A¿0,1,0,1,95,2,1,-1,0,0,TRUE,FALSE§Z¿,OFFSET(§A¿10,FALSE,0,2,0,FALSE§Z¿,0,§A¿0,1,0,1,90,2,1,-1,0,0,TRUE,TRUE§Z¿),0)]]></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25</SON>
                                <VOFFF><![CDATA[=§A¿3§Z¿]]></VOFFF>
                              </ClmnBlkPtProps>
                            </ClmnBlkPt>
                          </ClmnBlkPts>
                        </ClmnBlk>
                        <ClmnBlk>
                          <ClmnBlkProps>
                            <FCPT>0</FCPT>
                            <FCN>17</FCN>
                            <LCPT>0</LCPT>
                            <LCN>17</LCN>
                          </ClmnBlkProps>
                          <ClmnBlkPts>
                            <ClmnBlkPt>
                              <ClmnBlkPtProps>
                                <CBPT>0</CBPT>
                                <ST>18</ST>
                                <SON>41</SON>
                                <VOFFF><![CDATA[=SUM(§A¿0,1,1,1,128,3,1,0,0,0,FALSE,FALSE,1,128,3,1,0,1,0,FALSE,FALSE§Z¿)]]></VOFFF>
                              </ClmnBlkPtProps>
                              <LnkInForms>
                                <LnkInForm>
                                  <LnkInFormProps>
                                    <CBPLI>1,1,128,4,1</CBPLI>
                                    <ELN>1</ELN>
                                    <FFF/>
                                  </LnkInFormProps>
                                </LnkInForm>
                              </LnkInForms>
                            </ClmnBlkPt>
                            <ClmnBlkPt>
                              <ClmnBlkPtProps>
                                <CBPT>1</CBPT>
                                <ST>42</ST>
                                <VOFFF><![CDATA[=§A¿2§Z¿]]></VOFFF>
                              </ClmnBlkPtProps>
                            </ClmnBlkPt>
                            <ClmnBlkPt>
                              <ClmnBlkPtProps>
                                <CBPT>2</CBPT>
                                <ST>42</ST>
                                <VOFFF/>
                              </ClmnBlkPtProps>
                            </ClmnBlkPt>
                            <ClmnBlkPt>
                              <ClmnBlkPtProps>
                                <CBPT>3</CBPT>
                                <ST>-1</ST>
                                <VOFFF/>
                              </ClmnBlkPtProps>
                            </ClmnBlkPt>
                            <ClmnBlkPt>
                              <ClmnBlkPtProps>
                                <CBPT>4</CBPT>
                                <ST>-1</ST>
                                <VOFFF/>
                              </ClmnBlkPtProps>
                            </ClmnBlkPt>
                            <ClmnBlkPt>
                              <ClmnBlkPtProps>
                                <CBPT>5</CBPT>
                                <ST>18</ST>
                                <SON>42</SON>
                                <VOFFF><![CDATA[=§A¿3§Z¿]]></VOFFF>
                              </ClmnBlkPtProps>
                            </ClmnBlkPt>
                          </ClmnBlkPts>
                        </ClmnBlk>
                      </ClmnBlks>
                      <SubTtls>
                        <SubTtl>
                          <CatSpan>
                            <CatSpanProps>
                              <CC>5</CC>
                              <R>0</R>
                            </CatSpanProps>
                            <LnkIn>
                              <LnkInProps>
                                <MN>58</MN>
                                <CLI>1,1,128,False,1</CLI>
                                <ELN>1</ELN>
                                <LOOT>0</LOOT>
                                <LOMN>4</LOMN>
                                <LOMCN>1</LOMCN>
                                <LOSN>1</LOSN>
                                <LOEN>5</LOEN>
                                <LOCN>1</LOCN>
                              </LnkInProps>
                            </LnkIn>
                          </CatSpan>
                        </SubTtl>
                      </SubTtls>
                      <TtlCtg/>
                      <ElmtLnksIn>
                        <ElmtLnk>
                          <ElmtLnkProps>
                            <ELI>1,1,128</ELI>
                            <ELN>1</ELN>
                            <ELGN>2</ELGN>
                            <MLG>11F00A27-4776-45B0-B483-5FE1F109AE07</MLG>
                            <ICBI>1,3</ICBI>
                            <ILBN/>
                            <LIBN>0</LIBN>
                          </ElmtLnkProps>
                        </ElmtLnk>
                      </ElmtLnksIn>
                    </Elmt>
                    <Elmt>
                      <ElmtProps>
                        <CPT>2</CPT>
                      </ElmtProps>
                      <TtlCtg/>
                    </Elmt>
                    <Elmt>
                      <ElmtProps>
                        <CPT>2</CPT>
                      </ElmtProps>
                      <ClmnBlks>
                        <ClmnBlk>
                          <ClmnBlkProps>
                            <FCPT>0</FCPT>
                            <FCN>2</FCN>
                            <LCPT>0</LCPT>
                            <LCN>2</LCN>
                          </ClmnBlkProps>
                          <ClmnBlkPts>
                            <ClmnBlkPt>
                              <ClmnBlkPtProps>
                                <CBPT>5</CBPT>
                                <ST>5</ST>
                                <VOFFF><![CDATA[Top 5 Revenue]]></VOFFF>
                              </ClmnBlkPtProps>
                            </ClmnBlkPt>
                          </ClmnBlkPts>
                        </ClmnBlk>
                        <ClmnBlk>
                          <ClmnBlkProps>
                            <FCPT>0</FCPT>
                            <FCN>17</FCN>
                            <LCPT>0</LCPT>
                            <LCN>17</LCN>
                          </ClmnBlkProps>
                          <ClmnBlkPts>
                            <ClmnBlkPt>
                              <ClmnBlkPtProps>
                                <CBPT>5</CBPT>
                                <ST>5</ST>
                                <SON>12</SON>
                                <VOFFF><![CDATA[Total]]></VOFFF>
                              </ClmnBlkPtProps>
                            </ClmnBlkPt>
                          </ClmnBlkPts>
                        </ClmnBlk>
                      </ClmnBlks>
                      <TtlCtg/>
                    </Elmt>
                    <Elmt>
                      <ElmtProps>
                        <CPT>2</CPT>
                      </ElmtProps>
                      <ClmnBlks>
                        <ClmnBlk>
                          <ClmnBlkProps>
                            <FCPT>0</FCPT>
                            <FCN>2</FCN>
                            <LCPT>0</LCPT>
                            <LCN>2</LCN>
                          </ClmnBlkProps>
                          <ClmnBlkPts>
                            <ClmnBlkPt>
                              <ClmnBlkPtProps>
                                <CBPT>5</CBPT>
                                <ST>6</ST>
                                <VOFFF><![CDATA[=IF(AND(ROWS(§A¿0,1,1,1,131,1,1,-1,0,0,TRUE,FALSE,1,135,1,1,-1,0,0,TRUE,FALSE§Z¿)-ROWS(§A¿0,1,1,1,128,1,1,1,0,0,TRUE,FALSE,1,128,1,1,2,0,0,TRUE,FALSE§Z¿)=1,ROWS(§A¿0,1,1,1,131,1,1,-1,0,0,TRUE,FALSE,1,131,1,1,-1,0,0,FALSE,FALSE§Z¿)=ROWS(§A¿0,1,1,1,128,1,1,1,0,0,TRUE,FALSE,1,128,1,1,2,0,0,TRUE,FALSE§Z¿)+1),"Other Revenue",&#10;IF(AND(ROWS(§A¿0,1,1,1,131,1,1,-1,0,0,TRUE,FALSE,1,131,1,1,-1,0,0,FALSE,FALSE§Z¿)>ROWS(§A¿0,1,1,1,128,1,1,1,0,0,TRUE,FALSE,1,128,1,1,2,0,0,TRUE,FALSE§Z¿),ROWS(§A¿0,1,1,1,131,1,1,-1,0,0,TRUE,FALSE,1,135,1,1,-1,0,0,TRUE,FALSE§Z¿)>ROWS(§A¿0,1,1,1,128,1,1,1,0,0,TRUE,FALSE,1,128,1,1,2,0,0,TRUE,FALSE§Z¿)),"Other Revenue "&ROWS(§A¿0,1,1,1,131,1,1,-1,0,0,TRUE,FALSE,1,131,1,1,-1,0,0,FALSE,FALSE§Z¿)-ROWS(§A¿0,1,1,1,128,1,1,1,0,0,TRUE,FALSE,1,128,1,1,2,0,0,TRUE,FALSE§Z¿),&#10;IF(AND(ROWS(§A¿0,1,1,1,131,1,1,-1,0,0,TRUE,FALSE,1,135,1,1,-1,0,0,TRUE,FALSE§Z¿)<>ROWS(§A¿0,1,1,1,128,1,1,1,0,0,TRUE,FALSE,1,128,1,1,2,0,0,TRUE,FALSE§Z¿),ROWS(§A¿0,1,1,1,131,1,1,-1,0,0,TRUE,FALSE,1,131,1,1,-1,0,0,FALSE,FALSE§Z¿)=ROWS(§A¿0,1,1,1,131,1,1,-1,0,0,TRUE,FALSE,1,135,1,1,-1,0,0,TRUE,FALSE§Z¿)),"Other",&#10;INDEX(§A¿0,1,1,1,128,1,1,1,0,0,TRUE,FALSE,1,128,1,1,2,0,0,TRUE,FALSE§Z¿,MATCH(ROWS(§A¿0,1,1,1,131,1,1,-1,0,0,TRUE,FALSE,1,131,1,1,-1,0,0,FALSE,FALSE§Z¿),§A¿0,1,1,1,128,2,1,1,0,0,TRUE,FALSE,1,128,2,1,2,0,0,TRUE,FALSE§Z¿,0)))))]]></VOFFF>
                              </ClmnBlkPtProps>
                            </ClmnBlkPt>
                          </ClmnBlkPts>
                        </ClmnBlk>
                        <ClmnBlk>
                          <ClmnBlkProps>
                            <FCPT>0</FCPT>
                            <FCN>5</FCN>
                            <LCPT>0</LCPT>
                            <LCN>16</LCN>
                          </ClmnBlkProps>
                          <ClmnBlkPts>
                            <ClmnBlkPt>
                              <ClmnBlkPtProps>
                                <CBPT>5</CBPT>
                                <ST>18</ST>
                                <SON>22</SON>
                                <VOFFF><![CDATA[=IF(ROWS(§A¿0,1,1,1,131,2,1,-1,0,0,TRUE,FALSE,1,131,2,1,-1,0,0,FALSE,FALSE§Z¿)>ROWS(§A¿0,1,1,1,128,3,1,1,0,0,TRUE,FALSE,1,128,3,1,2,0,0,TRUE,FALSE§Z¿),0,&#10;IF(ROWS(§A¿0,1,1,1,131,2,1,-1,0,0,TRUE,FALSE,1,131,2,1,-1,0,0,FALSE,FALSE§Z¿)=ROWS(§A¿0,1,1,1,131,2,1,-1,0,0,TRUE,FALSE,1,135,2,1,-1,0,0,TRUE,FALSE§Z¿),SUMIFS(§A¿0,1,1,1,128,3,1,1,0,0,TRUE,FALSE,1,128,3,1,2,0,0,TRUE,FALSE§Z¿,§A¿0,1,1,1,128,2,1,1,0,0,TRUE,TRUE,1,128,2,1,2,0,0,TRUE,TRUE§Z¿,">="&ROWS(§A¿0,1,1,1,131,2,1,-1,0,0,TRUE,FALSE,1,131,2,1,-1,0,0,FALSE,FALSE§Z¿)),&#10;SUMIFS(§A¿0,1,1,1,128,3,1,1,0,0,TRUE,FALSE,1,128,3,1,2,0,0,TRUE,FALSE§Z¿,§A¿0,1,1,1,128,2,1,1,0,0,TRUE,TRUE,1,128,2,1,2,0,0,TRUE,TRUE§Z¿,ROWS(§A¿0,1,1,1,131,2,1,-1,0,0,TRUE,FALSE,1,131,2,1,-1,0,0,FALSE,FALSE§Z¿))))]]></VOFFF>
                              </ClmnBlkPtProps>
                            </ClmnBlkPt>
                          </ClmnBlkPts>
                        </ClmnBlk>
                        <ClmnBlk>
                          <ClmnBlkProps>
                            <FCPT>0</FCPT>
                            <FCN>17</FCN>
                            <LCPT>0</LCPT>
                            <LCN>17</LCN>
                          </ClmnBlkProps>
                          <ClmnBlkPts>
                            <ClmnBlkPt>
                              <ClmnBlkPtProps>
                                <CBPT>5</CBPT>
                                <ST>18</ST>
                                <SON>43</SON>
                                <VOFFF><![CDATA[=SUM(§A¿0,1,1,1,131,2,1,-1,0,0,FALSE,FALSE,1,131,2,1,-1,1,0,FALSE,FALSE§Z¿)]]></VOFFF>
                              </ClmnBlkPtProps>
                            </ClmnBlkPt>
                          </ClmnBlkPts>
                        </ClmnBlk>
                      </ClmnBlks>
                      <TtlCtg/>
                    </Elmt>
                    <Elmt>
                      <ElmtProps>
                        <CPT>2</CPT>
                      </ElmtProps>
                      <ClmnBlks>
                        <ClmnBlk>
                          <ClmnBlkProps>
                            <FCPT>0</FCPT>
                            <FCN>2</FCN>
                            <LCPT>0</LCPT>
                            <LCN>2</LCN>
                          </ClmnBlkProps>
                          <ClmnBlkPts>
                            <ClmnBlkPt>
                              <ClmnBlkPtProps>
                                <CBPT>5</CBPT>
                                <ST>6</ST>
                                <VOFFF><![CDATA[=IF(AND(ROWS(§A¿0,1,1,1,131,1,1,-1,0,0,TRUE,FALSE,1,135,1,1,-1,0,0,TRUE,FALSE§Z¿)-ROWS(§A¿0,1,1,1,128,1,1,1,0,0,TRUE,FALSE,1,128,1,1,2,0,0,TRUE,FALSE§Z¿)=1,ROWS(§A¿0,1,1,1,131,1,1,-1,0,0,TRUE,FALSE,1,132,1,1,-1,0,0,FALSE,FALSE§Z¿)=ROWS(§A¿0,1,1,1,128,1,1,1,0,0,TRUE,FALSE,1,128,1,1,2,0,0,TRUE,FALSE§Z¿)+1),"Other Revenue",&#10;IF(AND(ROWS(§A¿0,1,1,1,131,1,1,-1,0,0,TRUE,FALSE,1,132,1,1,-1,0,0,FALSE,FALSE§Z¿)>ROWS(§A¿0,1,1,1,128,1,1,1,0,0,TRUE,FALSE,1,128,1,1,2,0,0,TRUE,FALSE§Z¿),ROWS(§A¿0,1,1,1,131,1,1,-1,0,0,TRUE,FALSE,1,135,1,1,-1,0,0,TRUE,FALSE§Z¿)>ROWS(§A¿0,1,1,1,128,1,1,1,0,0,TRUE,FALSE,1,128,1,1,2,0,0,TRUE,FALSE§Z¿)),"Other Revenue "&ROWS(§A¿0,1,1,1,131,1,1,-1,0,0,TRUE,FALSE,1,132,1,1,-1,0,0,FALSE,FALSE§Z¿)-ROWS(§A¿0,1,1,1,128,1,1,1,0,0,TRUE,FALSE,1,128,1,1,2,0,0,TRUE,FALSE§Z¿),&#10;IF(AND(ROWS(§A¿0,1,1,1,131,1,1,-1,0,0,TRUE,FALSE,1,135,1,1,-1,0,0,TRUE,FALSE§Z¿)<>ROWS(§A¿0,1,1,1,128,1,1,1,0,0,TRUE,FALSE,1,128,1,1,2,0,0,TRUE,FALSE§Z¿),ROWS(§A¿0,1,1,1,131,1,1,-1,0,0,TRUE,FALSE,1,132,1,1,-1,0,0,FALSE,FALSE§Z¿)=ROWS(§A¿0,1,1,1,131,1,1,-1,0,0,TRUE,FALSE,1,135,1,1,-1,0,0,TRUE,FALSE§Z¿)),"Other",&#10;INDEX(§A¿0,1,1,1,128,1,1,1,0,0,TRUE,FALSE,1,128,1,1,2,0,0,TRUE,FALSE§Z¿,MATCH(ROWS(§A¿0,1,1,1,131,1,1,-1,0,0,TRUE,FALSE,1,132,1,1,-1,0,0,FALSE,FALSE§Z¿),§A¿0,1,1,1,128,2,1,1,0,0,TRUE,FALSE,1,128,2,1,2,0,0,TRUE,FALSE§Z¿,0)))))]]></VOFFF>
                              </ClmnBlkPtProps>
                            </ClmnBlkPt>
                          </ClmnBlkPts>
                        </ClmnBlk>
                        <ClmnBlk>
                          <ClmnBlkProps>
                            <FCPT>0</FCPT>
                            <FCN>5</FCN>
                            <LCPT>0</LCPT>
                            <LCN>16</LCN>
                          </ClmnBlkProps>
                          <ClmnBlkPts>
                            <ClmnBlkPt>
                              <ClmnBlkPtProps>
                                <CBPT>5</CBPT>
                                <ST>18</ST>
                                <SON>22</SON>
                                <VOFFF><![CDATA[=IF(ROWS(§A¿0,1,1,1,131,2,1,-1,0,0,TRUE,FALSE,1,132,2,1,-1,0,0,FALSE,FALSE§Z¿)>ROWS(§A¿0,1,1,1,128,3,1,1,0,0,TRUE,FALSE,1,128,3,1,2,0,0,TRUE,FALSE§Z¿),0,&#10;IF(ROWS(§A¿0,1,1,1,131,2,1,-1,0,0,TRUE,FALSE,1,132,2,1,-1,0,0,FALSE,FALSE§Z¿)=ROWS(§A¿0,1,1,1,131,2,1,-1,0,0,TRUE,FALSE,1,135,2,1,-1,0,0,TRUE,FALSE§Z¿),SUMIFS(§A¿0,1,1,1,128,3,1,1,0,0,TRUE,FALSE,1,128,3,1,2,0,0,TRUE,FALSE§Z¿,§A¿0,1,1,1,128,2,1,1,0,0,TRUE,TRUE,1,128,2,1,2,0,0,TRUE,TRUE§Z¿,">="&ROWS(§A¿0,1,1,1,131,2,1,-1,0,0,TRUE,FALSE,1,132,2,1,-1,0,0,FALSE,FALSE§Z¿)),&#10;SUMIFS(§A¿0,1,1,1,128,3,1,1,0,0,TRUE,FALSE,1,128,3,1,2,0,0,TRUE,FALSE§Z¿,§A¿0,1,1,1,128,2,1,1,0,0,TRUE,TRUE,1,128,2,1,2,0,0,TRUE,TRUE§Z¿,ROWS(§A¿0,1,1,1,131,2,1,-1,0,0,TRUE,FALSE,1,132,2,1,-1,0,0,FALSE,FALSE§Z¿))))]]></VOFFF>
                              </ClmnBlkPtProps>
                            </ClmnBlkPt>
                          </ClmnBlkPts>
                        </ClmnBlk>
                        <ClmnBlk>
                          <ClmnBlkProps>
                            <FCPT>0</FCPT>
                            <FCN>17</FCN>
                            <LCPT>0</LCPT>
                            <LCN>17</LCN>
                          </ClmnBlkProps>
                          <ClmnBlkPts>
                            <ClmnBlkPt>
                              <ClmnBlkPtProps>
                                <CBPT>5</CBPT>
                                <ST>18</ST>
                                <SON>43</SON>
                                <VOFFF><![CDATA[=SUM(§A¿0,1,1,1,132,2,1,-1,0,0,FALSE,FALSE,1,132,2,1,-1,1,0,FALSE,FALSE§Z¿)]]></VOFFF>
                              </ClmnBlkPtProps>
                            </ClmnBlkPt>
                          </ClmnBlkPts>
                        </ClmnBlk>
                      </ClmnBlks>
                      <TtlCtg/>
                    </Elmt>
                    <Elmt>
                      <ElmtProps>
                        <CPT>2</CPT>
                      </ElmtProps>
                      <ClmnBlks>
                        <ClmnBlk>
                          <ClmnBlkProps>
                            <FCPT>0</FCPT>
                            <FCN>2</FCN>
                            <LCPT>0</LCPT>
                            <LCN>2</LCN>
                          </ClmnBlkProps>
                          <ClmnBlkPts>
                            <ClmnBlkPt>
                              <ClmnBlkPtProps>
                                <CBPT>5</CBPT>
                                <ST>6</ST>
                                <VOFFF><![CDATA[=IF(AND(ROWS(§A¿0,1,1,1,131,1,1,-1,0,0,TRUE,FALSE,1,135,1,1,-1,0,0,TRUE,FALSE§Z¿)-ROWS(§A¿0,1,1,1,128,1,1,1,0,0,TRUE,FALSE,1,128,1,1,2,0,0,TRUE,FALSE§Z¿)=1,ROWS(§A¿0,1,1,1,131,1,1,-1,0,0,TRUE,FALSE,1,133,1,1,-1,0,0,FALSE,FALSE§Z¿)=ROWS(§A¿0,1,1,1,128,1,1,1,0,0,TRUE,FALSE,1,128,1,1,2,0,0,TRUE,FALSE§Z¿)+1),"Other Revenue",&#10;IF(AND(ROWS(§A¿0,1,1,1,131,1,1,-1,0,0,TRUE,FALSE,1,133,1,1,-1,0,0,FALSE,FALSE§Z¿)>ROWS(§A¿0,1,1,1,128,1,1,1,0,0,TRUE,FALSE,1,128,1,1,2,0,0,TRUE,FALSE§Z¿),ROWS(§A¿0,1,1,1,131,1,1,-1,0,0,TRUE,FALSE,1,135,1,1,-1,0,0,TRUE,FALSE§Z¿)>ROWS(§A¿0,1,1,1,128,1,1,1,0,0,TRUE,FALSE,1,128,1,1,2,0,0,TRUE,FALSE§Z¿)),"Other Revenue "&ROWS(§A¿0,1,1,1,131,1,1,-1,0,0,TRUE,FALSE,1,133,1,1,-1,0,0,FALSE,FALSE§Z¿)-ROWS(§A¿0,1,1,1,128,1,1,1,0,0,TRUE,FALSE,1,128,1,1,2,0,0,TRUE,FALSE§Z¿),&#10;IF(AND(ROWS(§A¿0,1,1,1,131,1,1,-1,0,0,TRUE,FALSE,1,135,1,1,-1,0,0,TRUE,FALSE§Z¿)<>ROWS(§A¿0,1,1,1,128,1,1,1,0,0,TRUE,FALSE,1,128,1,1,2,0,0,TRUE,FALSE§Z¿),ROWS(§A¿0,1,1,1,131,1,1,-1,0,0,TRUE,FALSE,1,133,1,1,-1,0,0,FALSE,FALSE§Z¿)=ROWS(§A¿0,1,1,1,131,1,1,-1,0,0,TRUE,FALSE,1,135,1,1,-1,0,0,TRUE,FALSE§Z¿)),"Other",&#10;INDEX(§A¿0,1,1,1,128,1,1,1,0,0,TRUE,FALSE,1,128,1,1,2,0,0,TRUE,FALSE§Z¿,MATCH(ROWS(§A¿0,1,1,1,131,1,1,-1,0,0,TRUE,FALSE,1,133,1,1,-1,0,0,FALSE,FALSE§Z¿),§A¿0,1,1,1,128,2,1,1,0,0,TRUE,FALSE,1,128,2,1,2,0,0,TRUE,FALSE§Z¿,0)))))]]></VOFFF>
                              </ClmnBlkPtProps>
                            </ClmnBlkPt>
                          </ClmnBlkPts>
                        </ClmnBlk>
                        <ClmnBlk>
                          <ClmnBlkProps>
                            <FCPT>0</FCPT>
                            <FCN>5</FCN>
                            <LCPT>0</LCPT>
                            <LCN>16</LCN>
                          </ClmnBlkProps>
                          <ClmnBlkPts>
                            <ClmnBlkPt>
                              <ClmnBlkPtProps>
                                <CBPT>5</CBPT>
                                <ST>18</ST>
                                <SON>22</SON>
                                <VOFFF><![CDATA[=IF(ROWS(§A¿0,1,1,1,131,2,1,-1,0,0,TRUE,FALSE,1,133,2,1,-1,0,0,FALSE,FALSE§Z¿)>ROWS(§A¿0,1,1,1,128,3,1,1,0,0,TRUE,FALSE,1,128,3,1,2,0,0,TRUE,FALSE§Z¿),0,&#10;IF(ROWS(§A¿0,1,1,1,131,2,1,-1,0,0,TRUE,FALSE,1,133,2,1,-1,0,0,FALSE,FALSE§Z¿)=ROWS(§A¿0,1,1,1,131,2,1,-1,0,0,TRUE,FALSE,1,135,2,1,-1,0,0,TRUE,FALSE§Z¿),SUMIFS(§A¿0,1,1,1,128,3,1,1,0,0,TRUE,FALSE,1,128,3,1,2,0,0,TRUE,FALSE§Z¿,§A¿0,1,1,1,128,2,1,1,0,0,TRUE,TRUE,1,128,2,1,2,0,0,TRUE,TRUE§Z¿,">="&ROWS(§A¿0,1,1,1,131,2,1,-1,0,0,TRUE,FALSE,1,133,2,1,-1,0,0,FALSE,FALSE§Z¿)),&#10;SUMIFS(§A¿0,1,1,1,128,3,1,1,0,0,TRUE,FALSE,1,128,3,1,2,0,0,TRUE,FALSE§Z¿,§A¿0,1,1,1,128,2,1,1,0,0,TRUE,TRUE,1,128,2,1,2,0,0,TRUE,TRUE§Z¿,ROWS(§A¿0,1,1,1,131,2,1,-1,0,0,TRUE,FALSE,1,133,2,1,-1,0,0,FALSE,FALSE§Z¿))))]]></VOFFF>
                              </ClmnBlkPtProps>
                            </ClmnBlkPt>
                          </ClmnBlkPts>
                        </ClmnBlk>
                        <ClmnBlk>
                          <ClmnBlkProps>
                            <FCPT>0</FCPT>
                            <FCN>17</FCN>
                            <LCPT>0</LCPT>
                            <LCN>17</LCN>
                          </ClmnBlkProps>
                          <ClmnBlkPts>
                            <ClmnBlkPt>
                              <ClmnBlkPtProps>
                                <CBPT>5</CBPT>
                                <ST>18</ST>
                                <SON>43</SON>
                                <VOFFF><![CDATA[=SUM(§A¿0,1,1,1,133,2,1,-1,0,0,FALSE,FALSE,1,133,2,1,-1,1,0,FALSE,FALSE§Z¿)]]></VOFFF>
                              </ClmnBlkPtProps>
                            </ClmnBlkPt>
                          </ClmnBlkPts>
                        </ClmnBlk>
                      </ClmnBlks>
                      <TtlCtg/>
                    </Elmt>
                    <Elmt>
                      <ElmtProps>
                        <CPT>2</CPT>
                      </ElmtProps>
                      <ClmnBlks>
                        <ClmnBlk>
                          <ClmnBlkProps>
                            <FCPT>0</FCPT>
                            <FCN>2</FCN>
                            <LCPT>0</LCPT>
                            <LCN>2</LCN>
                          </ClmnBlkProps>
                          <ClmnBlkPts>
                            <ClmnBlkPt>
                              <ClmnBlkPtProps>
                                <CBPT>5</CBPT>
                                <ST>6</ST>
                                <VOFFF><![CDATA[=IF(AND(ROWS(§A¿0,1,1,1,131,1,1,-1,0,0,TRUE,FALSE,1,135,1,1,-1,0,0,TRUE,FALSE§Z¿)-ROWS(§A¿0,1,1,1,128,1,1,1,0,0,TRUE,FALSE,1,128,1,1,2,0,0,TRUE,FALSE§Z¿)=1,ROWS(§A¿0,1,1,1,131,1,1,-1,0,0,TRUE,FALSE,1,134,1,1,-1,0,0,FALSE,FALSE§Z¿)=ROWS(§A¿0,1,1,1,128,1,1,1,0,0,TRUE,FALSE,1,128,1,1,2,0,0,TRUE,FALSE§Z¿)+1),"Other Revenue",&#10;IF(AND(ROWS(§A¿0,1,1,1,131,1,1,-1,0,0,TRUE,FALSE,1,134,1,1,-1,0,0,FALSE,FALSE§Z¿)>ROWS(§A¿0,1,1,1,128,1,1,1,0,0,TRUE,FALSE,1,128,1,1,2,0,0,TRUE,FALSE§Z¿),ROWS(§A¿0,1,1,1,131,1,1,-1,0,0,TRUE,FALSE,1,135,1,1,-1,0,0,TRUE,FALSE§Z¿)>ROWS(§A¿0,1,1,1,128,1,1,1,0,0,TRUE,FALSE,1,128,1,1,2,0,0,TRUE,FALSE§Z¿)),"Other Revenue "&ROWS(§A¿0,1,1,1,131,1,1,-1,0,0,TRUE,FALSE,1,134,1,1,-1,0,0,FALSE,FALSE§Z¿)-ROWS(§A¿0,1,1,1,128,1,1,1,0,0,TRUE,FALSE,1,128,1,1,2,0,0,TRUE,FALSE§Z¿),&#10;IF(AND(ROWS(§A¿0,1,1,1,131,1,1,-1,0,0,TRUE,FALSE,1,135,1,1,-1,0,0,TRUE,FALSE§Z¿)<>ROWS(§A¿0,1,1,1,128,1,1,1,0,0,TRUE,FALSE,1,128,1,1,2,0,0,TRUE,FALSE§Z¿),ROWS(§A¿0,1,1,1,131,1,1,-1,0,0,TRUE,FALSE,1,134,1,1,-1,0,0,FALSE,FALSE§Z¿)=ROWS(§A¿0,1,1,1,131,1,1,-1,0,0,TRUE,FALSE,1,135,1,1,-1,0,0,TRUE,FALSE§Z¿)),"Other",&#10;INDEX(§A¿0,1,1,1,128,1,1,1,0,0,TRUE,FALSE,1,128,1,1,2,0,0,TRUE,FALSE§Z¿,MATCH(ROWS(§A¿0,1,1,1,131,1,1,-1,0,0,TRUE,FALSE,1,134,1,1,-1,0,0,FALSE,FALSE§Z¿),§A¿0,1,1,1,128,2,1,1,0,0,TRUE,FALSE,1,128,2,1,2,0,0,TRUE,FALSE§Z¿,0)))))]]></VOFFF>
                              </ClmnBlkPtProps>
                            </ClmnBlkPt>
                          </ClmnBlkPts>
                        </ClmnBlk>
                        <ClmnBlk>
                          <ClmnBlkProps>
                            <FCPT>0</FCPT>
                            <FCN>5</FCN>
                            <LCPT>0</LCPT>
                            <LCN>16</LCN>
                          </ClmnBlkProps>
                          <ClmnBlkPts>
                            <ClmnBlkPt>
                              <ClmnBlkPtProps>
                                <CBPT>5</CBPT>
                                <ST>18</ST>
                                <SON>22</SON>
                                <VOFFF><![CDATA[=IF(ROWS(§A¿0,1,1,1,131,2,1,-1,0,0,TRUE,FALSE,1,134,2,1,-1,0,0,FALSE,FALSE§Z¿)>ROWS(§A¿0,1,1,1,128,3,1,1,0,0,TRUE,FALSE,1,128,3,1,2,0,0,TRUE,FALSE§Z¿),0,&#10;IF(ROWS(§A¿0,1,1,1,131,2,1,-1,0,0,TRUE,FALSE,1,134,2,1,-1,0,0,FALSE,FALSE§Z¿)=ROWS(§A¿0,1,1,1,131,2,1,-1,0,0,TRUE,FALSE,1,135,2,1,-1,0,0,TRUE,FALSE§Z¿),SUMIFS(§A¿0,1,1,1,128,3,1,1,0,0,TRUE,FALSE,1,128,3,1,2,0,0,TRUE,FALSE§Z¿,§A¿0,1,1,1,128,2,1,1,0,0,TRUE,TRUE,1,128,2,1,2,0,0,TRUE,TRUE§Z¿,">="&ROWS(§A¿0,1,1,1,131,2,1,-1,0,0,TRUE,FALSE,1,134,2,1,-1,0,0,FALSE,FALSE§Z¿)),&#10;SUMIFS(§A¿0,1,1,1,128,3,1,1,0,0,TRUE,FALSE,1,128,3,1,2,0,0,TRUE,FALSE§Z¿,§A¿0,1,1,1,128,2,1,1,0,0,TRUE,TRUE,1,128,2,1,2,0,0,TRUE,TRUE§Z¿,ROWS(§A¿0,1,1,1,131,2,1,-1,0,0,TRUE,FALSE,1,134,2,1,-1,0,0,FALSE,FALSE§Z¿))))]]></VOFFF>
                              </ClmnBlkPtProps>
                            </ClmnBlkPt>
                          </ClmnBlkPts>
                        </ClmnBlk>
                        <ClmnBlk>
                          <ClmnBlkProps>
                            <FCPT>0</FCPT>
                            <FCN>17</FCN>
                            <LCPT>0</LCPT>
                            <LCN>17</LCN>
                          </ClmnBlkProps>
                          <ClmnBlkPts>
                            <ClmnBlkPt>
                              <ClmnBlkPtProps>
                                <CBPT>5</CBPT>
                                <ST>18</ST>
                                <SON>43</SON>
                                <VOFFF><![CDATA[=SUM(§A¿0,1,1,1,134,2,1,-1,0,0,FALSE,FALSE,1,134,2,1,-1,1,0,FALSE,FALSE§Z¿)]]></VOFFF>
                              </ClmnBlkPtProps>
                            </ClmnBlkPt>
                          </ClmnBlkPts>
                        </ClmnBlk>
                      </ClmnBlks>
                      <TtlCtg/>
                    </Elmt>
                    <Elmt>
                      <ElmtProps>
                        <CPT>2</CPT>
                      </ElmtProps>
                      <ClmnBlks>
                        <ClmnBlk>
                          <ClmnBlkProps>
                            <FCPT>0</FCPT>
                            <FCN>2</FCN>
                            <LCPT>0</LCPT>
                            <LCN>2</LCN>
                          </ClmnBlkProps>
                          <ClmnBlkPts>
                            <ClmnBlkPt>
                              <ClmnBlkPtProps>
                                <CBPT>5</CBPT>
                                <ST>6</ST>
                                <VOFFF><![CDATA[=IF(AND(ROWS(§A¿0,1,1,1,131,1,1,-1,0,0,TRUE,FALSE,1,135,1,1,-1,0,0,TRUE,FALSE§Z¿)-ROWS(§A¿0,1,1,1,128,1,1,1,0,0,TRUE,FALSE,1,128,1,1,2,0,0,TRUE,FALSE§Z¿)=1,ROWS(§A¿0,1,1,1,131,1,1,-1,0,0,TRUE,FALSE,1,135,1,1,-1,0,0,FALSE,FALSE§Z¿)=ROWS(§A¿0,1,1,1,128,1,1,1,0,0,TRUE,FALSE,1,128,1,1,2,0,0,TRUE,FALSE§Z¿)+1),"Other Revenue",&#10;IF(AND(ROWS(§A¿0,1,1,1,131,1,1,-1,0,0,TRUE,FALSE,1,135,1,1,-1,0,0,FALSE,FALSE§Z¿)>ROWS(§A¿0,1,1,1,128,1,1,1,0,0,TRUE,FALSE,1,128,1,1,2,0,0,TRUE,FALSE§Z¿),ROWS(§A¿0,1,1,1,131,1,1,-1,0,0,TRUE,FALSE,1,135,1,1,-1,0,0,TRUE,FALSE§Z¿)>ROWS(§A¿0,1,1,1,128,1,1,1,0,0,TRUE,FALSE,1,128,1,1,2,0,0,TRUE,FALSE§Z¿)),"Other Revenue "&ROWS(§A¿0,1,1,1,131,1,1,-1,0,0,TRUE,FALSE,1,135,1,1,-1,0,0,FALSE,FALSE§Z¿)-ROWS(§A¿0,1,1,1,128,1,1,1,0,0,TRUE,FALSE,1,128,1,1,2,0,0,TRUE,FALSE§Z¿),&#10;IF(AND(ROWS(§A¿0,1,1,1,131,1,1,-1,0,0,TRUE,FALSE,1,135,1,1,-1,0,0,TRUE,FALSE§Z¿)<>ROWS(§A¿0,1,1,1,128,1,1,1,0,0,TRUE,FALSE,1,128,1,1,2,0,0,TRUE,FALSE§Z¿),ROWS(§A¿0,1,1,1,131,1,1,-1,0,0,TRUE,FALSE,1,135,1,1,-1,0,0,FALSE,FALSE§Z¿)=ROWS(§A¿0,1,1,1,131,1,1,-1,0,0,TRUE,FALSE,1,135,1,1,-1,0,0,TRUE,FALSE§Z¿)),"Other",&#10;INDEX(§A¿0,1,1,1,128,1,1,1,0,0,TRUE,FALSE,1,128,1,1,2,0,0,TRUE,FALSE§Z¿,MATCH(ROWS(§A¿0,1,1,1,131,1,1,-1,0,0,TRUE,FALSE,1,135,1,1,-1,0,0,FALSE,FALSE§Z¿),§A¿0,1,1,1,128,2,1,1,0,0,TRUE,FALSE,1,128,2,1,2,0,0,TRUE,FALSE§Z¿,0)))))]]></VOFFF>
                              </ClmnBlkPtProps>
                            </ClmnBlkPt>
                          </ClmnBlkPts>
                        </ClmnBlk>
                        <ClmnBlk>
                          <ClmnBlkProps>
                            <FCPT>0</FCPT>
                            <FCN>5</FCN>
                            <LCPT>0</LCPT>
                            <LCN>16</LCN>
                          </ClmnBlkProps>
                          <ClmnBlkPts>
                            <ClmnBlkPt>
                              <ClmnBlkPtProps>
                                <CBPT>5</CBPT>
                                <ST>18</ST>
                                <SON>22</SON>
                                <VOFFF><![CDATA[=IF(ROWS(§A¿0,1,1,1,131,2,1,-1,0,0,TRUE,FALSE,1,135,2,1,-1,0,0,FALSE,FALSE§Z¿)>ROWS(§A¿0,1,1,1,128,3,1,1,0,0,TRUE,FALSE,1,128,3,1,2,0,0,TRUE,FALSE§Z¿),0,&#10;IF(ROWS(§A¿0,1,1,1,131,2,1,-1,0,0,TRUE,FALSE,1,135,2,1,-1,0,0,FALSE,FALSE§Z¿)=ROWS(§A¿0,1,1,1,131,2,1,-1,0,0,TRUE,FALSE,1,135,2,1,-1,0,0,TRUE,FALSE§Z¿),SUMIFS(§A¿0,1,1,1,128,3,1,1,0,0,TRUE,FALSE,1,128,3,1,2,0,0,TRUE,FALSE§Z¿,§A¿0,1,1,1,128,2,1,1,0,0,TRUE,TRUE,1,128,2,1,2,0,0,TRUE,TRUE§Z¿,">="&ROWS(§A¿0,1,1,1,131,2,1,-1,0,0,TRUE,FALSE,1,135,2,1,-1,0,0,FALSE,FALSE§Z¿)),&#10;SUMIFS(§A¿0,1,1,1,128,3,1,1,0,0,TRUE,FALSE,1,128,3,1,2,0,0,TRUE,FALSE§Z¿,§A¿0,1,1,1,128,2,1,1,0,0,TRUE,TRUE,1,128,2,1,2,0,0,TRUE,TRUE§Z¿,ROWS(§A¿0,1,1,1,131,2,1,-1,0,0,TRUE,FALSE,1,135,2,1,-1,0,0,FALSE,FALSE§Z¿))))]]></VOFFF>
                              </ClmnBlkPtProps>
                            </ClmnBlkPt>
                          </ClmnBlkPts>
                        </ClmnBlk>
                        <ClmnBlk>
                          <ClmnBlkProps>
                            <FCPT>0</FCPT>
                            <FCN>17</FCN>
                            <LCPT>0</LCPT>
                            <LCN>17</LCN>
                          </ClmnBlkProps>
                          <ClmnBlkPts>
                            <ClmnBlkPt>
                              <ClmnBlkPtProps>
                                <CBPT>5</CBPT>
                                <ST>18</ST>
                                <SON>43</SON>
                                <VOFFF><![CDATA[=SUM(§A¿0,1,1,1,135,2,1,-1,0,0,FALSE,FALSE,1,135,2,1,-1,1,0,FALSE,FALSE§Z¿)]]></VOFFF>
                              </ClmnBlkPtProps>
                            </ClmnBlkPt>
                          </ClmnBlkPts>
                        </ClmnBlk>
                      </ClmnBlks>
                      <TtlCtg/>
                    </Elmt>
                    <Elmt>
                      <ElmtProps>
                        <CPT>2</CPT>
                      </ElmtProps>
                      <ClmnBlks>
                        <ClmnBlk>
                          <ClmnBlkProps>
                            <FCPT>0</FCPT>
                            <FCN>2</FCN>
                            <LCPT>0</LCPT>
                            <LCN>2</LCN>
                          </ClmnBlkProps>
                          <ClmnBlkPts>
                            <ClmnBlkPt>
                              <ClmnBlkPtProps>
                                <CBPT>5</CBPT>
                                <ST>5</ST>
                                <VOFFF><![CDATA[=§A¿0,1,0,1,128,1,6,-1,0,0,FALSE,FALSE§Z¿]]></VOFFF>
                              </ClmnBlkPtProps>
                            </ClmnBlkPt>
                          </ClmnBlkPts>
                        </ClmnBlk>
                        <ClmnBlk>
                          <ClmnBlkProps>
                            <FCPT>0</FCPT>
                            <FCN>5</FCN>
                            <LCPT>0</LCPT>
                            <LCN>16</LCN>
                          </ClmnBlkProps>
                          <ClmnBlkPts>
                            <ClmnBlkPt>
                              <ClmnBlkPtProps>
                                <CBPT>5</CBPT>
                                <ST>18</ST>
                                <SON>25</SON>
                                <VOFFF><![CDATA[=SUM(§A¿0,1,1,1,131,2,1,-1,0,0,FALSE,FALSE,1,135,2,1,-1,0,0,FALSE,FALSE§Z¿)]]></VOFFF>
                              </ClmnBlkPtProps>
                            </ClmnBlkPt>
                          </ClmnBlkPts>
                        </ClmnBlk>
                        <ClmnBlk>
                          <ClmnBlkProps>
                            <FCPT>0</FCPT>
                            <FCN>17</FCN>
                            <LCPT>0</LCPT>
                            <LCN>17</LCN>
                          </ClmnBlkProps>
                          <ClmnBlkPts>
                            <ClmnBlkPt>
                              <ClmnBlkPtProps>
                                <CBPT>5</CBPT>
                                <ST>18</ST>
                                <SON>42</SON>
                                <VOFFF><![CDATA[=SUM(§A¿0,1,1,1,131,3,1,-1,0,0,FALSE,FALSE,1,135,3,1,-1,0,0,FALSE,FALSE§Z¿)]]></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Top Expenses]]></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Expenses]]></VOFFF>
                              </ClmnBlkPtProps>
                            </ClmnBlkPt>
                          </ClmnBlkPts>
                        </ClmnBlk>
                        <ClmnBlk>
                          <ClmnBlkProps>
                            <FCPT>0</FCPT>
                            <FCN>4</FCN>
                            <LCPT>0</LCPT>
                            <LCN>4</LCN>
                          </ClmnBlkProps>
                          <ClmnBlkPts>
                            <ClmnBlkPt>
                              <ClmnBlkPtProps>
                                <CBPT>5</CBPT>
                                <ST>5</ST>
                                <SON>5</SON>
                                <VOFFF><![CDATA[Rank]]></VOFFF>
                              </ClmnBlkPtProps>
                            </ClmnBlkPt>
                          </ClmnBlkPts>
                        </ClmnBlk>
                        <ClmnBlk>
                          <ClmnBlkProps>
                            <FCPT>0</FCPT>
                            <FCN>5</FCN>
                            <LCPT>0</LCPT>
                            <LCN>16</LCN>
                          </ClmnBlkProps>
                          <ClmnBlkPts>
                            <ClmnBlkPt>
                              <ClmnBlkPtProps>
                                <CBPT>5</CBPT>
                                <ST>5</ST>
                                <SON>7</SON>
                                <VOFFF><![CDATA[=§A¿0,1,0,1,93,2,1,-1,0,0,TRUE,FALSE§Z¿]]></VOFFF>
                              </ClmnBlkPtProps>
                            </ClmnBlkPt>
                          </ClmnBlkPts>
                        </ClmnBlk>
                        <ClmnBlk>
                          <ClmnBlkProps>
                            <FCPT>0</FCPT>
                            <FCN>17</FCN>
                            <LCPT>0</LCPT>
                            <LCN>17</LCN>
                          </ClmnBlkProps>
                          <ClmnBlkPts>
                            <ClmnBlkPt>
                              <ClmnBlkPtProps>
                                <CBPT>5</CBPT>
                                <ST>5</ST>
                                <SON>12</SON>
                                <VOFFF><![CDATA[Total]]></VOFFF>
                              </ClmnBlkPtProps>
                            </ClmnBlkPt>
                          </ClmnBlkPts>
                        </ClmnBlk>
                      </ClmnBlks>
                      <TtlCtg/>
                    </Elmt>
                    <Elmt>
                      <ElmtProps>
                        <CPT>0</CPT>
                        <TOT>False</TOT>
                        <EGN>2</EGN>
                      </ElmtProps>
                      <ClmnBlks>
                        <ClmnBlk>
                          <ClmnBlkProps>
                            <FCPT>0</FCPT>
                            <FCN>2</FCN>
                            <LCPT>0</LCPT>
                            <LCN>2</LCN>
                          </ClmnBlkProps>
                          <ClmnBlkPts>
                            <ClmnBlkPt>
                              <ClmnBlkPtProps>
                                <CBPT>0</CBPT>
                                <ST>6</ST>
                                <VOFFF><![CDATA[<CategoriesGroupName> Category <CategoryNumber>]]></VOFFF>
                              </ClmnBlkPtProps>
                              <LnkInForms>
                                <LnkInForm>
                                  <LnkInFormProps>
                                    <CBPLI>1,1,141,1,1</CBPLI>
                                    <ELN>1</ELN>
                                    <FFF><![CDATA[=§A¿10,FALSE,0,1,0,FALSE§Z¿]]></FFF>
                                  </LnkInFormProps>
                                </LnkInForm>
                              </LnkInForms>
                            </ClmnBlkPt>
                            <ClmnBlkPt>
                              <ClmnBlkPtProps>
                                <CBPT>1</CBPT>
                                <ST>40</ST>
                                <VOFFF><![CDATA[="Total "&§A¿0,1,0,1,141,1,3,0,0,0,FALSE,FALSE§Z¿]]></VOFFF>
                              </ClmnBlkPtProps>
                            </ClmnBlkPt>
                            <ClmnBlkPt>
                              <ClmnBlkPtProps>
                                <CBPT>2</CBPT>
                                <ST>41</ST>
                                <VOFFF/>
                                <UDAV><![CDATA[<CategoriesGroupName> Sub-Total <SubTotalNumber>]]></UDAV>
                              </ClmnBlkPtProps>
                            </ClmnBlkPt>
                            <ClmnBlkPt>
                              <ClmnBlkPtProps>
                                <CBPT>3</CBPT>
                                <ST>-1</ST>
                                <VOFFF/>
                              </ClmnBlkPtProps>
                            </ClmnBlkPt>
                            <ClmnBlkPt>
                              <ClmnBlkPtProps>
                                <CBPT>4</CBPT>
                                <ST>-1</ST>
                                <VOFFF/>
                              </ClmnBlkPtProps>
                            </ClmnBlkPt>
                            <ClmnBlkPt>
                              <ClmnBlkPtProps>
                                <CBPT>5</CBPT>
                                <ST>5</ST>
                                <VOFFF><![CDATA[Total <CategoriesGroupName>]]></VOFFF>
                              </ClmnBlkPtProps>
                            </ClmnBlkPt>
                          </ClmnBlkPts>
                        </ClmnBlk>
                        <ClmnBlk>
                          <ClmnBlkProps>
                            <FCPT>0</FCPT>
                            <FCN>4</FCN>
                            <LCPT>0</LCPT>
                            <LCN>4</LCN>
                          </ClmnBlkProps>
                          <ClmnBlkPts>
                            <ClmnBlkPt>
                              <ClmnBlkPtProps>
                                <CBPT>0</CBPT>
                                <ST>18</ST>
                                <SON>13</SON>
                                <VOFFF><![CDATA[=MIN(ROWS(§A¿0,1,1,1,141,4,1,1,0,0,TRUE,TRUE,1,141,4,1,2,0,0,TRUE,TRUE§Z¿),RANK(§A¿0,1,0,1,141,4,1,0,0,0,FALSE,FALSE§Z¿,§A¿0,1,1,1,141,4,1,1,0,0,TRUE,FALSE,1,141,4,1,2,0,0,TRUE,FALSE§Z¿,0)+COUNTIFS(§A¿0,1,1,1,141,4,1,1,0,0,TRUE,FALSE,1,141,4,1,0,0,0,FALSE,FALSE§Z¿,§A¿0,1,0,1,141,4,1,0,0,0,FALSE,FALSE§Z¿)-1)]]></VOFFF>
                              </ClmnBlkPtProps>
                              <LnkInForms>
                                <LnkInForm>
                                  <LnkInFormProps>
                                    <CBPLI>1,1,141,2,1</CBPLI>
                                    <ELN>1</ELN>
                                    <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6</SON>
                                <VOFFF/>
                              </ClmnBlkPtProps>
                            </ClmnBlkPt>
                          </ClmnBlkPts>
                        </ClmnBlk>
                        <ClmnBlk>
                          <ClmnBlkProps>
                            <FCPT>0</FCPT>
                            <FCN>5</FCN>
                            <LCPT>0</LCPT>
                            <LCN>16</LCN>
                          </ClmnBlkProps>
                          <ClmnBlkPts>
                            <ClmnBlkPt>
                              <ClmnBlkPtProps>
                                <CBPT>0</CBPT>
                                <ST>18</ST>
                                <SON>40</SON>
                                <VOFFF><![CDATA[0]]></VOFFF>
                              </ClmnBlkPtProps>
                              <LnkInForms>
                                <LnkInForm>
                                  <LnkInFormProps>
                                    <CBPLI>1,1,141,3,1</CBPLI>
                                    <ELN>1</ELN>
                                    <FFF><![CDATA[=IF(§A¿0,1,0,1,95,2,1,-1,0,0,TRUE,FALSE§Z¿,-OFFSET(§A¿10,FALSE,0,2,0,FALSE§Z¿,0,§A¿0,1,0,1,90,2,1,-1,0,0,TRUE,TRUE§Z¿),0)]]></FFF>
                                  </LnkInFormProps>
                                </LnkInForm>
                              </LnkInForms>
                            </ClmnBlkPt>
                            <ClmnBlkPt>
                              <ClmnBlkPtProps>
                                <CBPT>1</CBPT>
                                <ST>18</ST>
                                <VOFFF><![CDATA[=§A¿2§Z¿]]></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18</ST>
                                <SON>25</SON>
                                <VOFFF><![CDATA[=§A¿3§Z¿]]></VOFFF>
                              </ClmnBlkPtProps>
                            </ClmnBlkPt>
                          </ClmnBlkPts>
                        </ClmnBlk>
                        <ClmnBlk>
                          <ClmnBlkProps>
                            <FCPT>0</FCPT>
                            <FCN>17</FCN>
                            <LCPT>0</LCPT>
                            <LCN>17</LCN>
                          </ClmnBlkProps>
                          <ClmnBlkPts>
                            <ClmnBlkPt>
                              <ClmnBlkPtProps>
                                <CBPT>0</CBPT>
                                <ST>18</ST>
                                <SON>41</SON>
                                <VOFFF><![CDATA[=SUM(§A¿0,1,1,1,141,3,1,0,0,0,FALSE,FALSE,1,141,3,1,0,1,0,FALSE,FALSE§Z¿)]]></VOFFF>
                              </ClmnBlkPtProps>
                              <LnkInForms>
                                <LnkInForm>
                                  <LnkInFormProps>
                                    <CBPLI>1,1,141,4,1</CBPLI>
                                    <ELN>1</ELN>
                                    <FFF/>
                                  </LnkInFormProps>
                                </LnkInForm>
                              </LnkInForms>
                            </ClmnBlkPt>
                            <ClmnBlkPt>
                              <ClmnBlkPtProps>
                                <CBPT>1</CBPT>
                                <ST>42</ST>
                                <VOFFF><![CDATA[=§A¿2§Z¿]]></VOFFF>
                              </ClmnBlkPtProps>
                            </ClmnBlkPt>
                            <ClmnBlkPt>
                              <ClmnBlkPtProps>
                                <CBPT>2</CBPT>
                                <ST>42</ST>
                                <VOFFF/>
                              </ClmnBlkPtProps>
                            </ClmnBlkPt>
                            <ClmnBlkPt>
                              <ClmnBlkPtProps>
                                <CBPT>3</CBPT>
                                <ST>-1</ST>
                                <VOFFF/>
                              </ClmnBlkPtProps>
                            </ClmnBlkPt>
                            <ClmnBlkPt>
                              <ClmnBlkPtProps>
                                <CBPT>4</CBPT>
                                <ST>-1</ST>
                                <VOFFF/>
                              </ClmnBlkPtProps>
                            </ClmnBlkPt>
                            <ClmnBlkPt>
                              <ClmnBlkPtProps>
                                <CBPT>5</CBPT>
                                <ST>18</ST>
                                <SON>42</SON>
                                <VOFFF><![CDATA[=§A¿3§Z¿]]></VOFFF>
                              </ClmnBlkPtProps>
                            </ClmnBlkPt>
                          </ClmnBlkPts>
                        </ClmnBlk>
                      </ClmnBlks>
                      <SubTtls>
                        <SubTtl>
                          <CatSpan>
                            <CatSpanProps>
                              <CC>8</CC>
                              <R>0</R>
                            </CatSpanProps>
                            <LnkIn>
                              <LnkInProps>
                                <MN>58</MN>
                                <CLI>1,1,141,False,1</CLI>
                                <ELN>1</ELN>
                                <LOOT>0</LOOT>
                                <LOMN>4</LOMN>
                                <LOMCN>1</LOMCN>
                                <LOSN>1</LOSN>
                                <LOEN>15</LOEN>
                                <LOCN>1</LOCN>
                              </LnkInProps>
                            </LnkIn>
                          </CatSpan>
                        </SubTtl>
                      </SubTtls>
                      <TtlCtg/>
                      <ElmtLnksIn>
                        <ElmtLnk>
                          <ElmtLnkProps>
                            <ELI>1,1,141</ELI>
                            <ELN>1</ELN>
                            <ELGN>3</ELGN>
                            <MLG>0E2679AB-FCFD-43E8-8B03-C71A223C73AF</MLG>
                            <ICBI>1,3</ICBI>
                            <ILBN/>
                            <LIBN>0</LIBN>
                          </ElmtLnkProps>
                        </ElmtLnk>
                      </ElmtLnksIn>
                    </Elmt>
                    <Elmt>
                      <ElmtProps>
                        <CPT>2</CPT>
                      </ElmtProps>
                      <TtlCtg/>
                    </Elmt>
                    <Elmt>
                      <ElmtProps>
                        <CPT>2</CPT>
                      </ElmtProps>
                      <ClmnBlks>
                        <ClmnBlk>
                          <ClmnBlkProps>
                            <FCPT>0</FCPT>
                            <FCN>2</FCN>
                            <LCPT>0</LCPT>
                            <LCN>2</LCN>
                          </ClmnBlkProps>
                          <ClmnBlkPts>
                            <ClmnBlkPt>
                              <ClmnBlkPtProps>
                                <CBPT>5</CBPT>
                                <ST>5</ST>
                                <VOFFF><![CDATA[Top 5 Expenses]]></VOFFF>
                              </ClmnBlkPtProps>
                            </ClmnBlkPt>
                          </ClmnBlkPts>
                        </ClmnBlk>
                        <ClmnBlk>
                          <ClmnBlkProps>
                            <FCPT>0</FCPT>
                            <FCN>17</FCN>
                            <LCPT>0</LCPT>
                            <LCN>17</LCN>
                          </ClmnBlkProps>
                          <ClmnBlkPts>
                            <ClmnBlkPt>
                              <ClmnBlkPtProps>
                                <CBPT>5</CBPT>
                                <ST>5</ST>
                                <SON>12</SON>
                                <VOFFF><![CDATA[Total]]></VOFFF>
                              </ClmnBlkPtProps>
                            </ClmnBlkPt>
                          </ClmnBlkPts>
                        </ClmnBlk>
                      </ClmnBlks>
                      <TtlCtg/>
                    </Elmt>
                    <Elmt>
                      <ElmtProps>
                        <CPT>2</CPT>
                      </ElmtProps>
                      <ClmnBlks>
                        <ClmnBlk>
                          <ClmnBlkProps>
                            <FCPT>0</FCPT>
                            <FCN>2</FCN>
                            <LCPT>0</LCPT>
                            <LCN>2</LCN>
                          </ClmnBlkProps>
                          <ClmnBlkPts>
                            <ClmnBlkPt>
                              <ClmnBlkPtProps>
                                <CBPT>5</CBPT>
                                <ST>6</ST>
                                <VOFFF><![CDATA[=IF(AND(ROWS(§A¿0,1,1,1,144,1,1,-1,0,0,TRUE,FALSE,1,148,1,1,-1,0,0,TRUE,FALSE§Z¿)-ROWS(§A¿0,1,1,1,141,1,1,1,0,0,TRUE,FALSE,1,141,1,1,2,0,0,TRUE,FALSE§Z¿)=1,ROWS(§A¿0,1,1,1,144,1,1,-1,0,0,TRUE,FALSE,1,144,1,1,-1,0,0,FALSE,FALSE§Z¿)=ROWS(§A¿0,1,1,1,141,1,1,1,0,0,TRUE,FALSE,1,141,1,1,2,0,0,TRUE,FALSE§Z¿)+1),"Other Expenses",&#10;IF(AND(ROWS(§A¿0,1,1,1,144,1,1,-1,0,0,TRUE,FALSE,1,144,1,1,-1,0,0,FALSE,FALSE§Z¿)>ROWS(§A¿0,1,1,1,141,1,1,1,0,0,TRUE,FALSE,1,141,1,1,2,0,0,TRUE,FALSE§Z¿),ROWS(§A¿0,1,1,1,144,1,1,-1,0,0,TRUE,FALSE,1,148,1,1,-1,0,0,TRUE,FALSE§Z¿)>ROWS(§A¿0,1,1,1,141,1,1,1,0,0,TRUE,FALSE,1,141,1,1,2,0,0,TRUE,FALSE§Z¿)),"Other Expense "&ROWS(§A¿0,1,1,1,144,1,1,-1,0,0,TRUE,FALSE,1,144,1,1,-1,0,0,FALSE,FALSE§Z¿)-ROWS(§A¿0,1,1,1,141,1,1,1,0,0,TRUE,FALSE,1,141,1,1,2,0,0,TRUE,FALSE§Z¿),&#10;IF(AND(ROWS(§A¿0,1,1,1,144,1,1,-1,0,0,TRUE,FALSE,1,148,1,1,-1,0,0,TRUE,FALSE§Z¿)<>ROWS(§A¿0,1,1,1,141,1,1,1,0,0,TRUE,FALSE,1,141,1,1,2,0,0,TRUE,FALSE§Z¿),ROWS(§A¿0,1,1,1,144,1,1,-1,0,0,TRUE,FALSE,1,144,1,1,-1,0,0,FALSE,FALSE§Z¿)=ROWS(§A¿0,1,1,1,144,1,1,-1,0,0,TRUE,FALSE,1,148,1,1,-1,0,0,TRUE,FALSE§Z¿)),"Other",&#10;INDEX(§A¿0,1,1,1,141,1,1,1,0,0,TRUE,FALSE,1,141,1,1,2,0,0,TRUE,FALSE§Z¿,MATCH(ROWS(§A¿0,1,1,1,144,1,1,-1,0,0,TRUE,FALSE,1,144,1,1,-1,0,0,FALSE,FALSE§Z¿),§A¿0,1,1,1,141,2,1,1,0,0,TRUE,FALSE,1,141,2,1,2,0,0,TRUE,FALSE§Z¿,0)))))]]></VOFFF>
                              </ClmnBlkPtProps>
                            </ClmnBlkPt>
                          </ClmnBlkPts>
                        </ClmnBlk>
                        <ClmnBlk>
                          <ClmnBlkProps>
                            <FCPT>0</FCPT>
                            <FCN>5</FCN>
                            <LCPT>0</LCPT>
                            <LCN>16</LCN>
                          </ClmnBlkProps>
                          <ClmnBlkPts>
                            <ClmnBlkPt>
                              <ClmnBlkPtProps>
                                <CBPT>5</CBPT>
                                <ST>18</ST>
                                <SON>22</SON>
                                <VOFFF><![CDATA[=IF(ROWS(§A¿0,1,1,1,144,2,1,-1,0,0,TRUE,FALSE,1,144,2,1,-1,0,0,FALSE,FALSE§Z¿)>ROWS(§A¿0,1,1,1,141,3,1,1,0,0,TRUE,FALSE,1,141,3,1,2,0,0,TRUE,FALSE§Z¿),0,&#10;IF(ROWS(§A¿0,1,1,1,144,2,1,-1,0,0,TRUE,FALSE,1,144,2,1,-1,0,0,FALSE,FALSE§Z¿)=ROWS(§A¿0,1,1,1,144,2,1,-1,0,0,TRUE,FALSE,1,148,2,1,-1,0,0,TRUE,FALSE§Z¿),SUMIFS(§A¿0,1,1,1,141,3,1,1,0,0,TRUE,FALSE,1,141,3,1,2,0,0,TRUE,FALSE§Z¿,§A¿0,1,1,1,141,2,1,1,0,0,TRUE,TRUE,1,141,2,1,2,0,0,TRUE,TRUE§Z¿,">="&ROWS(§A¿0,1,1,1,144,2,1,-1,0,0,TRUE,FALSE,1,144,2,1,-1,0,0,FALSE,FALSE§Z¿)),&#10;SUMIFS(§A¿0,1,1,1,141,3,1,1,0,0,TRUE,FALSE,1,141,3,1,2,0,0,TRUE,FALSE§Z¿,§A¿0,1,1,1,141,2,1,1,0,0,TRUE,TRUE,1,141,2,1,2,0,0,TRUE,TRUE§Z¿,ROWS(§A¿0,1,1,1,144,2,1,-1,0,0,TRUE,FALSE,1,144,2,1,-1,0,0,FALSE,FALSE§Z¿))))]]></VOFFF>
                              </ClmnBlkPtProps>
                            </ClmnBlkPt>
                          </ClmnBlkPts>
                        </ClmnBlk>
                        <ClmnBlk>
                          <ClmnBlkProps>
                            <FCPT>0</FCPT>
                            <FCN>17</FCN>
                            <LCPT>0</LCPT>
                            <LCN>17</LCN>
                          </ClmnBlkProps>
                          <ClmnBlkPts>
                            <ClmnBlkPt>
                              <ClmnBlkPtProps>
                                <CBPT>5</CBPT>
                                <ST>18</ST>
                                <SON>43</SON>
                                <VOFFF><![CDATA[=SUM(§A¿0,1,1,1,144,2,1,-1,0,0,FALSE,FALSE,1,144,2,1,-1,1,0,FALSE,FALSE§Z¿)]]></VOFFF>
                              </ClmnBlkPtProps>
                            </ClmnBlkPt>
                          </ClmnBlkPts>
                        </ClmnBlk>
                      </ClmnBlks>
                      <TtlCtg/>
                    </Elmt>
                    <Elmt>
                      <ElmtProps>
                        <CPT>2</CPT>
                      </ElmtProps>
                      <ClmnBlks>
                        <ClmnBlk>
                          <ClmnBlkProps>
                            <FCPT>0</FCPT>
                            <FCN>2</FCN>
                            <LCPT>0</LCPT>
                            <LCN>2</LCN>
                          </ClmnBlkProps>
                          <ClmnBlkPts>
                            <ClmnBlkPt>
                              <ClmnBlkPtProps>
                                <CBPT>5</CBPT>
                                <ST>6</ST>
                                <VOFFF><![CDATA[=IF(AND(ROWS(§A¿0,1,1,1,144,1,1,-1,0,0,TRUE,FALSE,1,148,1,1,-1,0,0,TRUE,FALSE§Z¿)-ROWS(§A¿0,1,1,1,141,1,1,1,0,0,TRUE,FALSE,1,141,1,1,2,0,0,TRUE,FALSE§Z¿)=1,ROWS(§A¿0,1,1,1,144,1,1,-1,0,0,TRUE,FALSE,1,145,1,1,-1,0,0,FALSE,FALSE§Z¿)=ROWS(§A¿0,1,1,1,141,1,1,1,0,0,TRUE,FALSE,1,141,1,1,2,0,0,TRUE,FALSE§Z¿)+1),"Other Expenses",&#10;IF(AND(ROWS(§A¿0,1,1,1,144,1,1,-1,0,0,TRUE,FALSE,1,145,1,1,-1,0,0,FALSE,FALSE§Z¿)>ROWS(§A¿0,1,1,1,141,1,1,1,0,0,TRUE,FALSE,1,141,1,1,2,0,0,TRUE,FALSE§Z¿),ROWS(§A¿0,1,1,1,144,1,1,-1,0,0,TRUE,FALSE,1,148,1,1,-1,0,0,TRUE,FALSE§Z¿)>ROWS(§A¿0,1,1,1,141,1,1,1,0,0,TRUE,FALSE,1,141,1,1,2,0,0,TRUE,FALSE§Z¿)),"Other Expense "&ROWS(§A¿0,1,1,1,144,1,1,-1,0,0,TRUE,FALSE,1,145,1,1,-1,0,0,FALSE,FALSE§Z¿)-ROWS(§A¿0,1,1,1,141,1,1,1,0,0,TRUE,FALSE,1,141,1,1,2,0,0,TRUE,FALSE§Z¿),&#10;IF(AND(ROWS(§A¿0,1,1,1,144,1,1,-1,0,0,TRUE,FALSE,1,148,1,1,-1,0,0,TRUE,FALSE§Z¿)<>ROWS(§A¿0,1,1,1,141,1,1,1,0,0,TRUE,FALSE,1,141,1,1,2,0,0,TRUE,FALSE§Z¿),ROWS(§A¿0,1,1,1,144,1,1,-1,0,0,TRUE,FALSE,1,145,1,1,-1,0,0,FALSE,FALSE§Z¿)=ROWS(§A¿0,1,1,1,144,1,1,-1,0,0,TRUE,FALSE,1,148,1,1,-1,0,0,TRUE,FALSE§Z¿)),"Other",&#10;INDEX(§A¿0,1,1,1,141,1,1,1,0,0,TRUE,FALSE,1,141,1,1,2,0,0,TRUE,FALSE§Z¿,MATCH(ROWS(§A¿0,1,1,1,144,1,1,-1,0,0,TRUE,FALSE,1,145,1,1,-1,0,0,FALSE,FALSE§Z¿),§A¿0,1,1,1,141,2,1,1,0,0,TRUE,FALSE,1,141,2,1,2,0,0,TRUE,FALSE§Z¿,0)))))]]></VOFFF>
                              </ClmnBlkPtProps>
                            </ClmnBlkPt>
                          </ClmnBlkPts>
                        </ClmnBlk>
                        <ClmnBlk>
                          <ClmnBlkProps>
                            <FCPT>0</FCPT>
                            <FCN>5</FCN>
                            <LCPT>0</LCPT>
                            <LCN>16</LCN>
                          </ClmnBlkProps>
                          <ClmnBlkPts>
                            <ClmnBlkPt>
                              <ClmnBlkPtProps>
                                <CBPT>5</CBPT>
                                <ST>18</ST>
                                <SON>22</SON>
                                <VOFFF><![CDATA[=IF(ROWS(§A¿0,1,1,1,144,2,1,-1,0,0,TRUE,FALSE,1,145,2,1,-1,0,0,FALSE,FALSE§Z¿)>ROWS(§A¿0,1,1,1,141,3,1,1,0,0,TRUE,FALSE,1,141,3,1,2,0,0,TRUE,FALSE§Z¿),0,&#10;IF(ROWS(§A¿0,1,1,1,144,2,1,-1,0,0,TRUE,FALSE,1,145,2,1,-1,0,0,FALSE,FALSE§Z¿)=ROWS(§A¿0,1,1,1,144,2,1,-1,0,0,TRUE,FALSE,1,148,2,1,-1,0,0,TRUE,FALSE§Z¿),SUMIFS(§A¿0,1,1,1,141,3,1,1,0,0,TRUE,FALSE,1,141,3,1,2,0,0,TRUE,FALSE§Z¿,§A¿0,1,1,1,141,2,1,1,0,0,TRUE,TRUE,1,141,2,1,2,0,0,TRUE,TRUE§Z¿,">="&ROWS(§A¿0,1,1,1,144,2,1,-1,0,0,TRUE,FALSE,1,145,2,1,-1,0,0,FALSE,FALSE§Z¿)),&#10;SUMIFS(§A¿0,1,1,1,141,3,1,1,0,0,TRUE,FALSE,1,141,3,1,2,0,0,TRUE,FALSE§Z¿,§A¿0,1,1,1,141,2,1,1,0,0,TRUE,TRUE,1,141,2,1,2,0,0,TRUE,TRUE§Z¿,ROWS(§A¿0,1,1,1,144,2,1,-1,0,0,TRUE,FALSE,1,145,2,1,-1,0,0,FALSE,FALSE§Z¿))))]]></VOFFF>
                              </ClmnBlkPtProps>
                            </ClmnBlkPt>
                          </ClmnBlkPts>
                        </ClmnBlk>
                        <ClmnBlk>
                          <ClmnBlkProps>
                            <FCPT>0</FCPT>
                            <FCN>17</FCN>
                            <LCPT>0</LCPT>
                            <LCN>17</LCN>
                          </ClmnBlkProps>
                          <ClmnBlkPts>
                            <ClmnBlkPt>
                              <ClmnBlkPtProps>
                                <CBPT>5</CBPT>
                                <ST>18</ST>
                                <SON>43</SON>
                                <VOFFF><![CDATA[=SUM(§A¿0,1,1,1,145,2,1,-1,0,0,FALSE,FALSE,1,145,2,1,-1,1,0,FALSE,FALSE§Z¿)]]></VOFFF>
                              </ClmnBlkPtProps>
                            </ClmnBlkPt>
                          </ClmnBlkPts>
                        </ClmnBlk>
                      </ClmnBlks>
                      <TtlCtg/>
                    </Elmt>
                    <Elmt>
                      <ElmtProps>
                        <CPT>2</CPT>
                      </ElmtProps>
                      <ClmnBlks>
                        <ClmnBlk>
                          <ClmnBlkProps>
                            <FCPT>0</FCPT>
                            <FCN>2</FCN>
                            <LCPT>0</LCPT>
                            <LCN>2</LCN>
                          </ClmnBlkProps>
                          <ClmnBlkPts>
                            <ClmnBlkPt>
                              <ClmnBlkPtProps>
                                <CBPT>5</CBPT>
                                <ST>6</ST>
                                <VOFFF><![CDATA[=IF(AND(ROWS(§A¿0,1,1,1,144,1,1,-1,0,0,TRUE,FALSE,1,148,1,1,-1,0,0,TRUE,FALSE§Z¿)-ROWS(§A¿0,1,1,1,141,1,1,1,0,0,TRUE,FALSE,1,141,1,1,2,0,0,TRUE,FALSE§Z¿)=1,ROWS(§A¿0,1,1,1,144,1,1,-1,0,0,TRUE,FALSE,1,146,1,1,-1,0,0,FALSE,FALSE§Z¿)=ROWS(§A¿0,1,1,1,141,1,1,1,0,0,TRUE,FALSE,1,141,1,1,2,0,0,TRUE,FALSE§Z¿)+1),"Other Expenses",&#10;IF(AND(ROWS(§A¿0,1,1,1,144,1,1,-1,0,0,TRUE,FALSE,1,146,1,1,-1,0,0,FALSE,FALSE§Z¿)>ROWS(§A¿0,1,1,1,141,1,1,1,0,0,TRUE,FALSE,1,141,1,1,2,0,0,TRUE,FALSE§Z¿),ROWS(§A¿0,1,1,1,144,1,1,-1,0,0,TRUE,FALSE,1,148,1,1,-1,0,0,TRUE,FALSE§Z¿)>ROWS(§A¿0,1,1,1,141,1,1,1,0,0,TRUE,FALSE,1,141,1,1,2,0,0,TRUE,FALSE§Z¿)),"Other Expense "&ROWS(§A¿0,1,1,1,144,1,1,-1,0,0,TRUE,FALSE,1,146,1,1,-1,0,0,FALSE,FALSE§Z¿)-ROWS(§A¿0,1,1,1,141,1,1,1,0,0,TRUE,FALSE,1,141,1,1,2,0,0,TRUE,FALSE§Z¿),&#10;IF(AND(ROWS(§A¿0,1,1,1,144,1,1,-1,0,0,TRUE,FALSE,1,148,1,1,-1,0,0,TRUE,FALSE§Z¿)<>ROWS(§A¿0,1,1,1,141,1,1,1,0,0,TRUE,FALSE,1,141,1,1,2,0,0,TRUE,FALSE§Z¿),ROWS(§A¿0,1,1,1,144,1,1,-1,0,0,TRUE,FALSE,1,146,1,1,-1,0,0,FALSE,FALSE§Z¿)=ROWS(§A¿0,1,1,1,144,1,1,-1,0,0,TRUE,FALSE,1,148,1,1,-1,0,0,TRUE,FALSE§Z¿)),"Other",&#10;INDEX(§A¿0,1,1,1,141,1,1,1,0,0,TRUE,FALSE,1,141,1,1,2,0,0,TRUE,FALSE§Z¿,MATCH(ROWS(§A¿0,1,1,1,144,1,1,-1,0,0,TRUE,FALSE,1,146,1,1,-1,0,0,FALSE,FALSE§Z¿),§A¿0,1,1,1,141,2,1,1,0,0,TRUE,FALSE,1,141,2,1,2,0,0,TRUE,FALSE§Z¿,0)))))]]></VOFFF>
                              </ClmnBlkPtProps>
                            </ClmnBlkPt>
                          </ClmnBlkPts>
                        </ClmnBlk>
                        <ClmnBlk>
                          <ClmnBlkProps>
                            <FCPT>0</FCPT>
                            <FCN>5</FCN>
                            <LCPT>0</LCPT>
                            <LCN>16</LCN>
                          </ClmnBlkProps>
                          <ClmnBlkPts>
                            <ClmnBlkPt>
                              <ClmnBlkPtProps>
                                <CBPT>5</CBPT>
                                <ST>18</ST>
                                <SON>22</SON>
                                <VOFFF><![CDATA[=IF(ROWS(§A¿0,1,1,1,144,2,1,-1,0,0,TRUE,FALSE,1,146,2,1,-1,0,0,FALSE,FALSE§Z¿)>ROWS(§A¿0,1,1,1,141,3,1,1,0,0,TRUE,FALSE,1,141,3,1,2,0,0,TRUE,FALSE§Z¿),0,&#10;IF(ROWS(§A¿0,1,1,1,144,2,1,-1,0,0,TRUE,FALSE,1,146,2,1,-1,0,0,FALSE,FALSE§Z¿)=ROWS(§A¿0,1,1,1,144,2,1,-1,0,0,TRUE,FALSE,1,148,2,1,-1,0,0,TRUE,FALSE§Z¿),SUMIFS(§A¿0,1,1,1,141,3,1,1,0,0,TRUE,FALSE,1,141,3,1,2,0,0,TRUE,FALSE§Z¿,§A¿0,1,1,1,141,2,1,1,0,0,TRUE,TRUE,1,141,2,1,2,0,0,TRUE,TRUE§Z¿,">="&ROWS(§A¿0,1,1,1,144,2,1,-1,0,0,TRUE,FALSE,1,146,2,1,-1,0,0,FALSE,FALSE§Z¿)),&#10;SUMIFS(§A¿0,1,1,1,141,3,1,1,0,0,TRUE,FALSE,1,141,3,1,2,0,0,TRUE,FALSE§Z¿,§A¿0,1,1,1,141,2,1,1,0,0,TRUE,TRUE,1,141,2,1,2,0,0,TRUE,TRUE§Z¿,ROWS(§A¿0,1,1,1,144,2,1,-1,0,0,TRUE,FALSE,1,146,2,1,-1,0,0,FALSE,FALSE§Z¿))))]]></VOFFF>
                              </ClmnBlkPtProps>
                            </ClmnBlkPt>
                          </ClmnBlkPts>
                        </ClmnBlk>
                        <ClmnBlk>
                          <ClmnBlkProps>
                            <FCPT>0</FCPT>
                            <FCN>17</FCN>
                            <LCPT>0</LCPT>
                            <LCN>17</LCN>
                          </ClmnBlkProps>
                          <ClmnBlkPts>
                            <ClmnBlkPt>
                              <ClmnBlkPtProps>
                                <CBPT>5</CBPT>
                                <ST>18</ST>
                                <SON>43</SON>
                                <VOFFF><![CDATA[=SUM(§A¿0,1,1,1,146,2,1,-1,0,0,FALSE,FALSE,1,146,2,1,-1,1,0,FALSE,FALSE§Z¿)]]></VOFFF>
                              </ClmnBlkPtProps>
                            </ClmnBlkPt>
                          </ClmnBlkPts>
                        </ClmnBlk>
                      </ClmnBlks>
                      <TtlCtg/>
                    </Elmt>
                    <Elmt>
                      <ElmtProps>
                        <CPT>2</CPT>
                      </ElmtProps>
                      <ClmnBlks>
                        <ClmnBlk>
                          <ClmnBlkProps>
                            <FCPT>0</FCPT>
                            <FCN>2</FCN>
                            <LCPT>0</LCPT>
                            <LCN>2</LCN>
                          </ClmnBlkProps>
                          <ClmnBlkPts>
                            <ClmnBlkPt>
                              <ClmnBlkPtProps>
                                <CBPT>5</CBPT>
                                <ST>6</ST>
                                <VOFFF><![CDATA[=IF(AND(ROWS(§A¿0,1,1,1,144,1,1,-1,0,0,TRUE,FALSE,1,148,1,1,-1,0,0,TRUE,FALSE§Z¿)-ROWS(§A¿0,1,1,1,141,1,1,1,0,0,TRUE,FALSE,1,141,1,1,2,0,0,TRUE,FALSE§Z¿)=1,ROWS(§A¿0,1,1,1,144,1,1,-1,0,0,TRUE,FALSE,1,147,1,1,-1,0,0,FALSE,FALSE§Z¿)=ROWS(§A¿0,1,1,1,141,1,1,1,0,0,TRUE,FALSE,1,141,1,1,2,0,0,TRUE,FALSE§Z¿)+1),"Other Expenses",&#10;IF(AND(ROWS(§A¿0,1,1,1,144,1,1,-1,0,0,TRUE,FALSE,1,147,1,1,-1,0,0,FALSE,FALSE§Z¿)>ROWS(§A¿0,1,1,1,141,1,1,1,0,0,TRUE,FALSE,1,141,1,1,2,0,0,TRUE,FALSE§Z¿),ROWS(§A¿0,1,1,1,144,1,1,-1,0,0,TRUE,FALSE,1,148,1,1,-1,0,0,TRUE,FALSE§Z¿)>ROWS(§A¿0,1,1,1,141,1,1,1,0,0,TRUE,FALSE,1,141,1,1,2,0,0,TRUE,FALSE§Z¿)),"Other Expense "&ROWS(§A¿0,1,1,1,144,1,1,-1,0,0,TRUE,FALSE,1,147,1,1,-1,0,0,FALSE,FALSE§Z¿)-ROWS(§A¿0,1,1,1,141,1,1,1,0,0,TRUE,FALSE,1,141,1,1,2,0,0,TRUE,FALSE§Z¿),&#10;IF(AND(ROWS(§A¿0,1,1,1,144,1,1,-1,0,0,TRUE,FALSE,1,148,1,1,-1,0,0,TRUE,FALSE§Z¿)<>ROWS(§A¿0,1,1,1,141,1,1,1,0,0,TRUE,FALSE,1,141,1,1,2,0,0,TRUE,FALSE§Z¿),ROWS(§A¿0,1,1,1,144,1,1,-1,0,0,TRUE,FALSE,1,147,1,1,-1,0,0,FALSE,FALSE§Z¿)=ROWS(§A¿0,1,1,1,144,1,1,-1,0,0,TRUE,FALSE,1,148,1,1,-1,0,0,TRUE,FALSE§Z¿)),"Other",&#10;INDEX(§A¿0,1,1,1,141,1,1,1,0,0,TRUE,FALSE,1,141,1,1,2,0,0,TRUE,FALSE§Z¿,MATCH(ROWS(§A¿0,1,1,1,144,1,1,-1,0,0,TRUE,FALSE,1,147,1,1,-1,0,0,FALSE,FALSE§Z¿),§A¿0,1,1,1,141,2,1,1,0,0,TRUE,FALSE,1,141,2,1,2,0,0,TRUE,FALSE§Z¿,0)))))]]></VOFFF>
                              </ClmnBlkPtProps>
                            </ClmnBlkPt>
                          </ClmnBlkPts>
                        </ClmnBlk>
                        <ClmnBlk>
                          <ClmnBlkProps>
                            <FCPT>0</FCPT>
                            <FCN>5</FCN>
                            <LCPT>0</LCPT>
                            <LCN>16</LCN>
                          </ClmnBlkProps>
                          <ClmnBlkPts>
                            <ClmnBlkPt>
                              <ClmnBlkPtProps>
                                <CBPT>5</CBPT>
                                <ST>18</ST>
                                <SON>22</SON>
                                <VOFFF><![CDATA[=IF(ROWS(§A¿0,1,1,1,144,2,1,-1,0,0,TRUE,FALSE,1,147,2,1,-1,0,0,FALSE,FALSE§Z¿)>ROWS(§A¿0,1,1,1,141,3,1,1,0,0,TRUE,FALSE,1,141,3,1,2,0,0,TRUE,FALSE§Z¿),0,&#10;IF(ROWS(§A¿0,1,1,1,144,2,1,-1,0,0,TRUE,FALSE,1,147,2,1,-1,0,0,FALSE,FALSE§Z¿)=ROWS(§A¿0,1,1,1,144,2,1,-1,0,0,TRUE,FALSE,1,148,2,1,-1,0,0,TRUE,FALSE§Z¿),SUMIFS(§A¿0,1,1,1,141,3,1,1,0,0,TRUE,FALSE,1,141,3,1,2,0,0,TRUE,FALSE§Z¿,§A¿0,1,1,1,141,2,1,1,0,0,TRUE,TRUE,1,141,2,1,2,0,0,TRUE,TRUE§Z¿,">="&ROWS(§A¿0,1,1,1,144,2,1,-1,0,0,TRUE,FALSE,1,147,2,1,-1,0,0,FALSE,FALSE§Z¿)),&#10;SUMIFS(§A¿0,1,1,1,141,3,1,1,0,0,TRUE,FALSE,1,141,3,1,2,0,0,TRUE,FALSE§Z¿,§A¿0,1,1,1,141,2,1,1,0,0,TRUE,TRUE,1,141,2,1,2,0,0,TRUE,TRUE§Z¿,ROWS(§A¿0,1,1,1,144,2,1,-1,0,0,TRUE,FALSE,1,147,2,1,-1,0,0,FALSE,FALSE§Z¿))))]]></VOFFF>
                              </ClmnBlkPtProps>
                            </ClmnBlkPt>
                          </ClmnBlkPts>
                        </ClmnBlk>
                        <ClmnBlk>
                          <ClmnBlkProps>
                            <FCPT>0</FCPT>
                            <FCN>17</FCN>
                            <LCPT>0</LCPT>
                            <LCN>17</LCN>
                          </ClmnBlkProps>
                          <ClmnBlkPts>
                            <ClmnBlkPt>
                              <ClmnBlkPtProps>
                                <CBPT>5</CBPT>
                                <ST>18</ST>
                                <SON>43</SON>
                                <VOFFF><![CDATA[=SUM(§A¿0,1,1,1,147,2,1,-1,0,0,FALSE,FALSE,1,147,2,1,-1,1,0,FALSE,FALSE§Z¿)]]></VOFFF>
                              </ClmnBlkPtProps>
                            </ClmnBlkPt>
                          </ClmnBlkPts>
                        </ClmnBlk>
                      </ClmnBlks>
                      <TtlCtg/>
                    </Elmt>
                    <Elmt>
                      <ElmtProps>
                        <CPT>2</CPT>
                      </ElmtProps>
                      <ClmnBlks>
                        <ClmnBlk>
                          <ClmnBlkProps>
                            <FCPT>0</FCPT>
                            <FCN>2</FCN>
                            <LCPT>0</LCPT>
                            <LCN>2</LCN>
                          </ClmnBlkProps>
                          <ClmnBlkPts>
                            <ClmnBlkPt>
                              <ClmnBlkPtProps>
                                <CBPT>5</CBPT>
                                <ST>6</ST>
                                <VOFFF><![CDATA[=IF(AND(ROWS(§A¿0,1,1,1,144,1,1,-1,0,0,TRUE,FALSE,1,148,1,1,-1,0,0,TRUE,FALSE§Z¿)-ROWS(§A¿0,1,1,1,141,1,1,1,0,0,TRUE,FALSE,1,141,1,1,2,0,0,TRUE,FALSE§Z¿)=1,ROWS(§A¿0,1,1,1,144,1,1,-1,0,0,TRUE,FALSE,1,148,1,1,-1,0,0,FALSE,FALSE§Z¿)=ROWS(§A¿0,1,1,1,141,1,1,1,0,0,TRUE,FALSE,1,141,1,1,2,0,0,TRUE,FALSE§Z¿)+1),"Other Expenses",&#10;IF(AND(ROWS(§A¿0,1,1,1,144,1,1,-1,0,0,TRUE,FALSE,1,148,1,1,-1,0,0,FALSE,FALSE§Z¿)>ROWS(§A¿0,1,1,1,141,1,1,1,0,0,TRUE,FALSE,1,141,1,1,2,0,0,TRUE,FALSE§Z¿),ROWS(§A¿0,1,1,1,144,1,1,-1,0,0,TRUE,FALSE,1,148,1,1,-1,0,0,TRUE,FALSE§Z¿)>ROWS(§A¿0,1,1,1,141,1,1,1,0,0,TRUE,FALSE,1,141,1,1,2,0,0,TRUE,FALSE§Z¿)),"Other Expense "&ROWS(§A¿0,1,1,1,144,1,1,-1,0,0,TRUE,FALSE,1,148,1,1,-1,0,0,FALSE,FALSE§Z¿)-ROWS(§A¿0,1,1,1,141,1,1,1,0,0,TRUE,FALSE,1,141,1,1,2,0,0,TRUE,FALSE§Z¿),&#10;IF(AND(ROWS(§A¿0,1,1,1,144,1,1,-1,0,0,TRUE,FALSE,1,148,1,1,-1,0,0,TRUE,FALSE§Z¿)<>ROWS(§A¿0,1,1,1,141,1,1,1,0,0,TRUE,FALSE,1,141,1,1,2,0,0,TRUE,FALSE§Z¿),ROWS(§A¿0,1,1,1,144,1,1,-1,0,0,TRUE,FALSE,1,148,1,1,-1,0,0,FALSE,FALSE§Z¿)=ROWS(§A¿0,1,1,1,144,1,1,-1,0,0,TRUE,FALSE,1,148,1,1,-1,0,0,TRUE,FALSE§Z¿)),"Other",&#10;INDEX(§A¿0,1,1,1,141,1,1,1,0,0,TRUE,FALSE,1,141,1,1,2,0,0,TRUE,FALSE§Z¿,MATCH(ROWS(§A¿0,1,1,1,144,1,1,-1,0,0,TRUE,FALSE,1,148,1,1,-1,0,0,FALSE,FALSE§Z¿),§A¿0,1,1,1,141,2,1,1,0,0,TRUE,FALSE,1,141,2,1,2,0,0,TRUE,FALSE§Z¿,0)))))]]></VOFFF>
                              </ClmnBlkPtProps>
                            </ClmnBlkPt>
                          </ClmnBlkPts>
                        </ClmnBlk>
                        <ClmnBlk>
                          <ClmnBlkProps>
                            <FCPT>0</FCPT>
                            <FCN>5</FCN>
                            <LCPT>0</LCPT>
                            <LCN>16</LCN>
                          </ClmnBlkProps>
                          <ClmnBlkPts>
                            <ClmnBlkPt>
                              <ClmnBlkPtProps>
                                <CBPT>5</CBPT>
                                <ST>18</ST>
                                <SON>40</SON>
                                <VOFFF><![CDATA[=IF(ROWS(§A¿0,1,1,1,144,2,1,-1,0,0,TRUE,FALSE,1,148,2,1,-1,0,0,FALSE,FALSE§Z¿)>ROWS(§A¿0,1,1,1,141,3,1,1,0,0,TRUE,FALSE,1,141,3,1,2,0,0,TRUE,FALSE§Z¿),0,&#10;IF(ROWS(§A¿0,1,1,1,144,2,1,-1,0,0,TRUE,FALSE,1,148,2,1,-1,0,0,FALSE,FALSE§Z¿)=ROWS(§A¿0,1,1,1,144,2,1,-1,0,0,TRUE,FALSE,1,148,2,1,-1,0,0,TRUE,FALSE§Z¿),SUMIFS(§A¿0,1,1,1,141,3,1,1,0,0,TRUE,FALSE,1,141,3,1,2,0,0,TRUE,FALSE§Z¿,§A¿0,1,1,1,141,2,1,1,0,0,TRUE,TRUE,1,141,2,1,2,0,0,TRUE,TRUE§Z¿,">="&ROWS(§A¿0,1,1,1,144,2,1,-1,0,0,TRUE,FALSE,1,148,2,1,-1,0,0,FALSE,FALSE§Z¿)),&#10;SUMIFS(§A¿0,1,1,1,141,3,1,1,0,0,TRUE,FALSE,1,141,3,1,2,0,0,TRUE,FALSE§Z¿,§A¿0,1,1,1,141,2,1,1,0,0,TRUE,TRUE,1,141,2,1,2,0,0,TRUE,TRUE§Z¿,ROWS(§A¿0,1,1,1,144,2,1,-1,0,0,TRUE,FALSE,1,148,2,1,-1,0,0,FALSE,FALSE§Z¿))))]]></VOFFF>
                              </ClmnBlkPtProps>
                            </ClmnBlkPt>
                          </ClmnBlkPts>
                        </ClmnBlk>
                        <ClmnBlk>
                          <ClmnBlkProps>
                            <FCPT>0</FCPT>
                            <FCN>17</FCN>
                            <LCPT>0</LCPT>
                            <LCN>17</LCN>
                          </ClmnBlkProps>
                          <ClmnBlkPts>
                            <ClmnBlkPt>
                              <ClmnBlkPtProps>
                                <CBPT>5</CBPT>
                                <ST>18</ST>
                                <SON>44</SON>
                                <VOFFF><![CDATA[=SUM(§A¿0,1,1,1,148,2,1,-1,0,0,FALSE,FALSE,1,148,2,1,-1,1,0,FALSE,FALSE§Z¿)]]></VOFFF>
                              </ClmnBlkPtProps>
                            </ClmnBlkPt>
                          </ClmnBlkPts>
                        </ClmnBlk>
                      </ClmnBlks>
                      <TtlCtg/>
                    </Elmt>
                    <Elmt>
                      <ElmtProps>
                        <CPT>2</CPT>
                      </ElmtProps>
                      <ClmnBlks>
                        <ClmnBlk>
                          <ClmnBlkProps>
                            <FCPT>0</FCPT>
                            <FCN>2</FCN>
                            <LCPT>0</LCPT>
                            <LCN>2</LCN>
                          </ClmnBlkProps>
                          <ClmnBlkPts>
                            <ClmnBlkPt>
                              <ClmnBlkPtProps>
                                <CBPT>5</CBPT>
                                <ST>5</ST>
                                <VOFFF><![CDATA[=§A¿0,1,0,1,141,1,6,-1,0,0,FALSE,FALSE§Z¿]]></VOFFF>
                              </ClmnBlkPtProps>
                            </ClmnBlkPt>
                          </ClmnBlkPts>
                        </ClmnBlk>
                        <ClmnBlk>
                          <ClmnBlkProps>
                            <FCPT>0</FCPT>
                            <FCN>5</FCN>
                            <LCPT>0</LCPT>
                            <LCN>16</LCN>
                          </ClmnBlkProps>
                          <ClmnBlkPts>
                            <ClmnBlkPt>
                              <ClmnBlkPtProps>
                                <CBPT>5</CBPT>
                                <ST>18</ST>
                                <SON>25</SON>
                                <VOFFF><![CDATA[=SUM(§A¿0,1,1,1,144,2,1,-1,0,0,FALSE,FALSE,1,148,2,1,-1,0,0,FALSE,FALSE§Z¿)]]></VOFFF>
                              </ClmnBlkPtProps>
                            </ClmnBlkPt>
                          </ClmnBlkPts>
                        </ClmnBlk>
                        <ClmnBlk>
                          <ClmnBlkProps>
                            <FCPT>0</FCPT>
                            <FCN>17</FCN>
                            <LCPT>0</LCPT>
                            <LCN>17</LCN>
                          </ClmnBlkProps>
                          <ClmnBlkPts>
                            <ClmnBlkPt>
                              <ClmnBlkPtProps>
                                <CBPT>5</CBPT>
                                <ST>18</ST>
                                <SON>42</SON>
                                <VOFFF><![CDATA[=SUM(§A¿0,1,1,1,144,3,1,-1,0,0,FALSE,FALSE,1,148,3,1,-1,0,0,FALSE,FALSE§Z¿)]]></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Balance Sheet Charts]]></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Net Assets Breakdown]]></VOFFF>
                              </ClmnBlkPtProps>
                            </ClmnBlkPt>
                          </ClmnBlkPts>
                        </ClmnBlk>
                        <ClmnBlk>
                          <ClmnBlkProps>
                            <FCPT>0</FCPT>
                            <FCN>5</FCN>
                            <LCPT>0</LCPT>
                            <LCN>16</LCN>
                          </ClmnBlkProps>
                          <ClmnBlkPts>
                            <ClmnBlkPt>
                              <ClmnBlkPtProps>
                                <CBPT>5</CBPT>
                                <ST>5</ST>
                                <SON>7</SON>
                                <VOFFF><![CDATA[=§A¿0,1,0,1,93,2,1,-1,0,0,TRUE,FALSE§Z¿]]></VOFFF>
                              </ClmnBlkPtProps>
                            </ClmnBlkPt>
                          </ClmnBlkPts>
                        </ClmnBlk>
                      </ClmnBlks>
                      <TtlCtg/>
                    </Elmt>
                    <Elmt>
                      <ElmtProps>
                        <CPT>2</CPT>
                      </ElmtProps>
                      <ClmnBlks>
                        <ClmnBlk>
                          <ClmnBlkProps>
                            <FCPT>0</FCPT>
                            <FCN>2</FCN>
                            <LCPT>0</LCPT>
                            <LCN>2</LCN>
                          </ClmnBlkProps>
                          <ClmnBlkPts>
                            <ClmnBlkPt>
                              <ClmnBlkPtProps>
                                <CBPT>5</CBPT>
                                <ST>6</ST>
                                <VOFFF><![CDATA[Cash]]></VOFFF>
                              </ClmnBlkPtProps>
                            </ClmnBlkPt>
                          </ClmnBlkPts>
                        </ClmnBlk>
                        <ClmnBlk>
                          <ClmnBlkProps>
                            <FCPT>0</FCPT>
                            <FCN>5</FCN>
                            <LCPT>0</LCPT>
                            <LCN>16</LCN>
                          </ClmnBlkProps>
                          <ClmnBlkPts>
                            <ClmnBlkPt>
                              <ClmnBlkPtProps>
                                <CBPT>5</CBPT>
                                <ST>18</ST>
                                <SON>22</SON>
                                <VOFFF><![CDATA[=§A¿0,1,0,1,29,2,1,-1,0,0,FALSE,FALSE§Z¿]]></VOFFF>
                              </ClmnBlkPtProps>
                            </ClmnBlkPt>
                          </ClmnBlkPts>
                        </ClmnBlk>
                      </ClmnBlks>
                      <TtlCtg/>
                    </Elmt>
                    <Elmt>
                      <ElmtProps>
                        <CPT>2</CPT>
                      </ElmtProps>
                      <ClmnBlks>
                        <ClmnBlk>
                          <ClmnBlkProps>
                            <FCPT>0</FCPT>
                            <FCN>2</FCN>
                            <LCPT>0</LCPT>
                            <LCN>2</LCN>
                          </ClmnBlkProps>
                          <ClmnBlkPts>
                            <ClmnBlkPt>
                              <ClmnBlkPtProps>
                                <CBPT>5</CBPT>
                                <ST>6</ST>
                                <VOFFF><![CDATA[Debtors]]></VOFFF>
                              </ClmnBlkPtProps>
                            </ClmnBlkPt>
                          </ClmnBlkPts>
                        </ClmnBlk>
                        <ClmnBlk>
                          <ClmnBlkProps>
                            <FCPT>0</FCPT>
                            <FCN>5</FCN>
                            <LCPT>0</LCPT>
                            <LCN>16</LCN>
                          </ClmnBlkProps>
                          <ClmnBlkPts>
                            <ClmnBlkPt>
                              <ClmnBlkPtProps>
                                <CBPT>5</CBPT>
                                <ST>18</ST>
                                <SON>22</SON>
                                <VOFFF><![CDATA[=§A¿0,1,0,1,30,2,1,-1,0,0,FALSE,FALSE§Z¿]]></VOFFF>
                              </ClmnBlkPtProps>
                            </ClmnBlkPt>
                          </ClmnBlkPts>
                        </ClmnBlk>
                      </ClmnBlks>
                      <TtlCtg/>
                    </Elmt>
                    <Elmt>
                      <ElmtProps>
                        <CPT>2</CPT>
                      </ElmtProps>
                      <ClmnBlks>
                        <ClmnBlk>
                          <ClmnBlkProps>
                            <FCPT>0</FCPT>
                            <FCN>2</FCN>
                            <LCPT>0</LCPT>
                            <LCN>2</LCN>
                          </ClmnBlkProps>
                          <ClmnBlkPts>
                            <ClmnBlkPt>
                              <ClmnBlkPtProps>
                                <CBPT>5</CBPT>
                                <ST>6</ST>
                                <VOFFF><![CDATA[Other Current Assets]]></VOFFF>
                              </ClmnBlkPtProps>
                            </ClmnBlkPt>
                          </ClmnBlkPts>
                        </ClmnBlk>
                        <ClmnBlk>
                          <ClmnBlkProps>
                            <FCPT>0</FCPT>
                            <FCN>5</FCN>
                            <LCPT>0</LCPT>
                            <LCN>16</LCN>
                          </ClmnBlkProps>
                          <ClmnBlkPts>
                            <ClmnBlkPt>
                              <ClmnBlkPtProps>
                                <CBPT>5</CBPT>
                                <ST>18</ST>
                                <SON>22</SON>
                                <VOFFF><![CDATA[=§A¿0,1,0,1,33,2,1,-1,0,0,FALSE,FALSE§Z¿-SUM(§A¿0,1,1,1,154,2,1,-1,0,0,FALSE,FALSE,1,155,2,1,-1,0,0,FALSE,FALSE§Z¿)]]></VOFFF>
                              </ClmnBlkPtProps>
                            </ClmnBlkPt>
                          </ClmnBlkPts>
                        </ClmnBlk>
                      </ClmnBlks>
                      <TtlCtg/>
                    </Elmt>
                    <Elmt>
                      <ElmtProps>
                        <CPT>2</CPT>
                      </ElmtProps>
                      <ClmnBlks>
                        <ClmnBlk>
                          <ClmnBlkProps>
                            <FCPT>0</FCPT>
                            <FCN>2</FCN>
                            <LCPT>0</LCPT>
                            <LCN>2</LCN>
                          </ClmnBlkProps>
                          <ClmnBlkPts>
                            <ClmnBlkPt>
                              <ClmnBlkPtProps>
                                <CBPT>5</CBPT>
                                <ST>6</ST>
                                <VOFFF><![CDATA[Fixed Assets]]></VOFFF>
                              </ClmnBlkPtProps>
                            </ClmnBlkPt>
                          </ClmnBlkPts>
                        </ClmnBlk>
                        <ClmnBlk>
                          <ClmnBlkProps>
                            <FCPT>0</FCPT>
                            <FCN>5</FCN>
                            <LCPT>0</LCPT>
                            <LCN>16</LCN>
                          </ClmnBlkProps>
                          <ClmnBlkPts>
                            <ClmnBlkPt>
                              <ClmnBlkPtProps>
                                <CBPT>5</CBPT>
                                <ST>18</ST>
                                <SON>22</SON>
                                <VOFFF><![CDATA[=§A¿0,1,0,1,34,2,1,-1,0,0,FALSE,FALSE§Z¿]]></VOFFF>
                              </ClmnBlkPtProps>
                            </ClmnBlkPt>
                          </ClmnBlkPts>
                        </ClmnBlk>
                      </ClmnBlks>
                      <TtlCtg/>
                    </Elmt>
                    <Elmt>
                      <ElmtProps>
                        <CPT>2</CPT>
                      </ElmtProps>
                      <ClmnBlks>
                        <ClmnBlk>
                          <ClmnBlkProps>
                            <FCPT>0</FCPT>
                            <FCN>2</FCN>
                            <LCPT>0</LCPT>
                            <LCN>2</LCN>
                          </ClmnBlkProps>
                          <ClmnBlkPts>
                            <ClmnBlkPt>
                              <ClmnBlkPtProps>
                                <CBPT>5</CBPT>
                                <ST>6</ST>
                                <VOFFF><![CDATA[Other Non-Current Assets]]></VOFFF>
                              </ClmnBlkPtProps>
                            </ClmnBlkPt>
                          </ClmnBlkPts>
                        </ClmnBlk>
                        <ClmnBlk>
                          <ClmnBlkProps>
                            <FCPT>0</FCPT>
                            <FCN>5</FCN>
                            <LCPT>0</LCPT>
                            <LCN>16</LCN>
                          </ClmnBlkProps>
                          <ClmnBlkPts>
                            <ClmnBlkPt>
                              <ClmnBlkPtProps>
                                <CBPT>5</CBPT>
                                <ST>18</ST>
                                <SON>22</SON>
                                <VOFFF><![CDATA[=§A¿0,1,0,1,36,2,1,-1,0,0,FALSE,FALSE§Z¿-§A¿0,1,0,1,157,2,1,-1,0,0,FALSE,FALSE§Z¿]]></VOFFF>
                              </ClmnBlkPtProps>
                            </ClmnBlkPt>
                          </ClmnBlkPts>
                        </ClmnBlk>
                      </ClmnBlks>
                      <TtlCtg/>
                    </Elmt>
                    <Elmt>
                      <ElmtProps>
                        <CPT>2</CPT>
                      </ElmtProps>
                      <ClmnBlks>
                        <ClmnBlk>
                          <ClmnBlkProps>
                            <FCPT>0</FCPT>
                            <FCN>2</FCN>
                            <LCPT>0</LCPT>
                            <LCN>2</LCN>
                          </ClmnBlkProps>
                          <ClmnBlkPts>
                            <ClmnBlkPt>
                              <ClmnBlkPtProps>
                                <CBPT>5</CBPT>
                                <ST>6</ST>
                                <VOFFF><![CDATA[Debt]]></VOFFF>
                              </ClmnBlkPtProps>
                            </ClmnBlkPt>
                          </ClmnBlkPts>
                        </ClmnBlk>
                        <ClmnBlk>
                          <ClmnBlkProps>
                            <FCPT>0</FCPT>
                            <FCN>5</FCN>
                            <LCPT>0</LCPT>
                            <LCN>16</LCN>
                          </ClmnBlkProps>
                          <ClmnBlkPts>
                            <ClmnBlkPt>
                              <ClmnBlkPtProps>
                                <CBPT>5</CBPT>
                                <ST>18</ST>
                                <SON>22</SON>
                                <VOFFF><![CDATA[=-§A¿0,1,0,1,45,2,1,-1,0,0,FALSE,FALSE§Z¿]]></VOFFF>
                              </ClmnBlkPtProps>
                            </ClmnBlkPt>
                          </ClmnBlkPts>
                        </ClmnBlk>
                      </ClmnBlks>
                      <TtlCtg/>
                    </Elmt>
                    <Elmt>
                      <ElmtProps>
                        <CPT>2</CPT>
                      </ElmtProps>
                      <ClmnBlks>
                        <ClmnBlk>
                          <ClmnBlkProps>
                            <FCPT>0</FCPT>
                            <FCN>2</FCN>
                            <LCPT>0</LCPT>
                            <LCN>2</LCN>
                          </ClmnBlkProps>
                          <ClmnBlkPts>
                            <ClmnBlkPt>
                              <ClmnBlkPtProps>
                                <CBPT>5</CBPT>
                                <ST>6</ST>
                                <VOFFF><![CDATA[Other Non-Current Liabilities]]></VOFFF>
                              </ClmnBlkPtProps>
                            </ClmnBlkPt>
                          </ClmnBlkPts>
                        </ClmnBlk>
                        <ClmnBlk>
                          <ClmnBlkProps>
                            <FCPT>0</FCPT>
                            <FCN>5</FCN>
                            <LCPT>0</LCPT>
                            <LCN>16</LCN>
                          </ClmnBlkProps>
                          <ClmnBlkPts>
                            <ClmnBlkPt>
                              <ClmnBlkPtProps>
                                <CBPT>5</CBPT>
                                <ST>18</ST>
                                <SON>22</SON>
                                <VOFFF><![CDATA[=-§A¿0,1,0,1,47,2,1,-1,0,0,FALSE,FALSE§Z¿-§A¿0,1,0,1,159,2,1,-1,0,0,FALSE,FALSE§Z¿]]></VOFFF>
                              </ClmnBlkPtProps>
                            </ClmnBlkPt>
                          </ClmnBlkPts>
                        </ClmnBlk>
                      </ClmnBlks>
                      <TtlCtg/>
                    </Elmt>
                    <Elmt>
                      <ElmtProps>
                        <CPT>2</CPT>
                      </ElmtProps>
                      <ClmnBlks>
                        <ClmnBlk>
                          <ClmnBlkProps>
                            <FCPT>0</FCPT>
                            <FCN>2</FCN>
                            <LCPT>0</LCPT>
                            <LCN>2</LCN>
                          </ClmnBlkProps>
                          <ClmnBlkPts>
                            <ClmnBlkPt>
                              <ClmnBlkPtProps>
                                <CBPT>5</CBPT>
                                <ST>6</ST>
                                <VOFFF><![CDATA[Current Payables]]></VOFFF>
                              </ClmnBlkPtProps>
                            </ClmnBlkPt>
                          </ClmnBlkPts>
                        </ClmnBlk>
                        <ClmnBlk>
                          <ClmnBlkProps>
                            <FCPT>0</FCPT>
                            <FCN>5</FCN>
                            <LCPT>0</LCPT>
                            <LCN>16</LCN>
                          </ClmnBlkProps>
                          <ClmnBlkPts>
                            <ClmnBlkPt>
                              <ClmnBlkPtProps>
                                <CBPT>5</CBPT>
                                <ST>18</ST>
                                <SON>22</SON>
                                <VOFFF><![CDATA[=-§A¿0,1,0,1,38,2,1,-1,0,0,FALSE,FALSE§Z¿-§A¿0,1,0,1,39,2,1,-1,0,0,FALSE,FALSE§Z¿-§A¿0,1,0,1,40,2,1,-1,0,0,FALSE,FALSE§Z¿-§A¿0,1,0,1,41,2,1,-1,0,0,FALSE,FALSE§Z¿-§A¿0,1,0,1,42,2,1,-1,0,0,FALSE,FALSE§Z¿]]></VOFFF>
                              </ClmnBlkPtProps>
                            </ClmnBlkPt>
                          </ClmnBlkPts>
                        </ClmnBlk>
                      </ClmnBlks>
                      <TtlCtg/>
                    </Elmt>
                    <Elmt>
                      <ElmtProps>
                        <CPT>2</CPT>
                      </ElmtProps>
                      <ClmnBlks>
                        <ClmnBlk>
                          <ClmnBlkProps>
                            <FCPT>0</FCPT>
                            <FCN>2</FCN>
                            <LCPT>0</LCPT>
                            <LCN>2</LCN>
                          </ClmnBlkProps>
                          <ClmnBlkPts>
                            <ClmnBlkPt>
                              <ClmnBlkPtProps>
                                <CBPT>5</CBPT>
                                <ST>6</ST>
                                <VOFFF><![CDATA[Other Current Liabilities]]></VOFFF>
                              </ClmnBlkPtProps>
                            </ClmnBlkPt>
                          </ClmnBlkPts>
                        </ClmnBlk>
                        <ClmnBlk>
                          <ClmnBlkProps>
                            <FCPT>0</FCPT>
                            <FCN>5</FCN>
                            <LCPT>0</LCPT>
                            <LCN>16</LCN>
                          </ClmnBlkProps>
                          <ClmnBlkPts>
                            <ClmnBlkPt>
                              <ClmnBlkPtProps>
                                <CBPT>5</CBPT>
                                <ST>18</ST>
                                <SON>40</SON>
                                <VOFFF><![CDATA[=-§A¿0,1,0,1,44,2,1,-1,0,0,FALSE,FALSE§Z¿-§A¿0,1,0,1,161,2,1,-1,0,0,FALSE,FALSE§Z¿]]></VOFFF>
                              </ClmnBlkPtProps>
                            </ClmnBlkPt>
                          </ClmnBlkPts>
                        </ClmnBlk>
                      </ClmnBlks>
                      <TtlCtg/>
                    </Elmt>
                    <Elmt>
                      <ElmtProps>
                        <CPT>2</CPT>
                      </ElmtProps>
                      <ClmnBlks>
                        <ClmnBlk>
                          <ClmnBlkProps>
                            <FCPT>0</FCPT>
                            <FCN>2</FCN>
                            <LCPT>0</LCPT>
                            <LCN>2</LCN>
                          </ClmnBlkProps>
                          <ClmnBlkPts>
                            <ClmnBlkPt>
                              <ClmnBlkPtProps>
                                <CBPT>5</CBPT>
                                <ST>5</ST>
                                <VOFFF><![CDATA[Net Assets]]></VOFFF>
                              </ClmnBlkPtProps>
                            </ClmnBlkPt>
                          </ClmnBlkPts>
                        </ClmnBlk>
                        <ClmnBlk>
                          <ClmnBlkProps>
                            <FCPT>0</FCPT>
                            <FCN>5</FCN>
                            <LCPT>0</LCPT>
                            <LCN>16</LCN>
                          </ClmnBlkProps>
                          <ClmnBlkPts>
                            <ClmnBlkPt>
                              <ClmnBlkPtProps>
                                <CBPT>5</CBPT>
                                <ST>18</ST>
                                <SON>38</SON>
                                <VOFFF><![CDATA[=§A¿0,1,0,1,49,2,1,-1,0,0,FALSE,FALSE§Z¿]]></VOFFF>
                              </ClmnBlkPtProps>
                            </ClmnBlkPt>
                          </ClmnBlkPts>
                        </ClmnBlk>
                      </ClmnBlks>
                      <TtlCtg/>
                    </Elmt>
                    <Elmt>
                      <ElmtProps>
                        <CPT>2</CPT>
                      </ElmtProps>
                      <TtlCtg/>
                    </Elmt>
                    <Elmt>
                      <ElmtProps>
                        <CPT>2</CPT>
                      </ElmtProps>
                      <ClmnBlks>
                        <ClmnBlk>
                          <ClmnBlkProps>
                            <FCPT>0</FCPT>
                            <FCN>7</FCN>
                            <LCPT>0</LCPT>
                            <LCN>10</LCN>
                          </ClmnBlkProps>
                          <ClmnBlkPts>
                            <ClmnBlkPt>
                              <ClmnBlkPtProps>
                                <CBPT>5</CBPT>
                                <ST>5</ST>
                                <SON>5</SON>
                                <MC>True</MC>
                                <VOFFF><![CDATA[Positive]]></VOFFF>
                              </ClmnBlkPtProps>
                            </ClmnBlkPt>
                          </ClmnBlkPts>
                        </ClmnBlk>
                        <ClmnBlk>
                          <ClmnBlkProps>
                            <FCPT>0</FCPT>
                            <FCN>11</FCN>
                            <LCPT>0</LCPT>
                            <LCN>12</LCN>
                          </ClmnBlkProps>
                          <ClmnBlkPts>
                            <ClmnBlkPt>
                              <ClmnBlkPtProps>
                                <CBPT>5</CBPT>
                                <ST>5</ST>
                                <SON>5</SON>
                                <MC>True</MC>
                                <VOFFF><![CDATA[Negative]]></VOFFF>
                              </ClmnBlkPtProps>
                            </ClmnBlkPt>
                          </ClmnBlkPts>
                        </ClmnBlk>
                        <ClmnBlk>
                          <ClmnBlkProps>
                            <FCPT>0</FCPT>
                            <FCN>13</FCN>
                            <LCPT>0</LCPT>
                            <LCN>13</LCN>
                          </ClmnBlkProps>
                          <ClmnBlkPts>
                            <ClmnBlkPt>
                              <ClmnBlkPtProps>
                                <CBPT>5</CBPT>
                                <ST>5</ST>
                                <SON>5</SON>
                                <VOFFF><![CDATA[Total]]></VOFFF>
                              </ClmnBlkPtProps>
                            </ClmnBlkPt>
                          </ClmnBlkPts>
                        </ClmnBlk>
                      </ClmnBlks>
                      <TtlCtg/>
                    </Elmt>
                    <Elmt>
                      <ElmtProps>
                        <CPT>2</CPT>
                      </ElmtProps>
                      <ClmnBlks>
                        <ClmnBlk>
                          <ClmnBlkProps>
                            <FCPT>0</FCPT>
                            <FCN>2</FCN>
                            <LCPT>0</LCPT>
                            <LCN>2</LCN>
                          </ClmnBlkProps>
                          <ClmnBlkPts>
                            <ClmnBlkPt>
                              <ClmnBlkPtProps>
                                <CBPT>5</CBPT>
                                <ST>5</ST>
                                <VOFFF><![CDATA[Net Assets Waterfall]]></VOFFF>
                              </ClmnBlkPtProps>
                            </ClmnBlkPt>
                          </ClmnBlkPts>
                        </ClmnBlk>
                        <ClmnBlk>
                          <ClmnBlkProps>
                            <FCPT>0</FCPT>
                            <FCN>5</FCN>
                            <LCPT>0</LCPT>
                            <LCN>5</LCN>
                          </ClmnBlkProps>
                          <ClmnBlkPts>
                            <ClmnBlkPt>
                              <ClmnBlkPtProps>
                                <CBPT>5</CBPT>
                                <ST>6</ST>
                                <SON>45</SON>
                                <VOFFF><![CDATA[Value]]></VOFFF>
                              </ClmnBlkPtProps>
                            </ClmnBlkPt>
                          </ClmnBlkPts>
                        </ClmnBlk>
                        <ClmnBlk>
                          <ClmnBlkProps>
                            <FCPT>0</FCPT>
                            <FCN>6</FCN>
                            <LCPT>0</LCPT>
                            <LCN>6</LCN>
                          </ClmnBlkProps>
                          <ClmnBlkPts>
                            <ClmnBlkPt>
                              <ClmnBlkPtProps>
                                <CBPT>5</CBPT>
                                <ST>6</ST>
                                <SON>45</SON>
                                <VOFFF><![CDATA[Cumulative]]></VOFFF>
                              </ClmnBlkPtProps>
                            </ClmnBlkPt>
                          </ClmnBlkPts>
                        </ClmnBlk>
                        <ClmnBlk>
                          <ClmnBlkProps>
                            <FCPT>0</FCPT>
                            <FCN>7</FCN>
                            <LCPT>0</LCPT>
                            <LCN>7</LCN>
                          </ClmnBlkProps>
                          <ClmnBlkPts>
                            <ClmnBlkPt>
                              <ClmnBlkPtProps>
                                <CBPT>5</CBPT>
                                <ST>6</ST>
                                <SON>45</SON>
                                <VOFFF><![CDATA[Invisible +]]></VOFFF>
                              </ClmnBlkPtProps>
                            </ClmnBlkPt>
                          </ClmnBlkPts>
                        </ClmnBlk>
                        <ClmnBlk>
                          <ClmnBlkProps>
                            <FCPT>0</FCPT>
                            <FCN>8</FCN>
                            <LCPT>0</LCPT>
                            <LCN>8</LCN>
                          </ClmnBlkProps>
                          <ClmnBlkPts>
                            <ClmnBlkPt>
                              <ClmnBlkPtProps>
                                <CBPT>5</CBPT>
                                <ST>6</ST>
                                <SON>45</SON>
                                <VOFFF><![CDATA[Color 2 +]]></VOFFF>
                              </ClmnBlkPtProps>
                            </ClmnBlkPt>
                          </ClmnBlkPts>
                        </ClmnBlk>
                        <ClmnBlk>
                          <ClmnBlkProps>
                            <FCPT>0</FCPT>
                            <FCN>9</FCN>
                            <LCPT>0</LCPT>
                            <LCN>9</LCN>
                          </ClmnBlkProps>
                          <ClmnBlkPts>
                            <ClmnBlkPt>
                              <ClmnBlkPtProps>
                                <CBPT>5</CBPT>
                                <ST>6</ST>
                                <SON>45</SON>
                                <VOFFF><![CDATA[Invisble -]]></VOFFF>
                              </ClmnBlkPtProps>
                            </ClmnBlkPt>
                          </ClmnBlkPts>
                        </ClmnBlk>
                        <ClmnBlk>
                          <ClmnBlkProps>
                            <FCPT>0</FCPT>
                            <FCN>10</FCN>
                            <LCPT>0</LCPT>
                            <LCN>10</LCN>
                          </ClmnBlkProps>
                          <ClmnBlkPts>
                            <ClmnBlkPt>
                              <ClmnBlkPtProps>
                                <CBPT>5</CBPT>
                                <ST>6</ST>
                                <SON>45</SON>
                                <VOFFF><![CDATA[Color 2 -]]></VOFFF>
                              </ClmnBlkPtProps>
                            </ClmnBlkPt>
                          </ClmnBlkPts>
                        </ClmnBlk>
                        <ClmnBlk>
                          <ClmnBlkProps>
                            <FCPT>0</FCPT>
                            <FCN>11</FCN>
                            <LCPT>0</LCPT>
                            <LCN>11</LCN>
                          </ClmnBlkProps>
                          <ClmnBlkPts>
                            <ClmnBlkPt>
                              <ClmnBlkPtProps>
                                <CBPT>5</CBPT>
                                <ST>6</ST>
                                <SON>45</SON>
                                <VOFFF><![CDATA[Color 3 +]]></VOFFF>
                              </ClmnBlkPtProps>
                            </ClmnBlkPt>
                          </ClmnBlkPts>
                        </ClmnBlk>
                        <ClmnBlk>
                          <ClmnBlkProps>
                            <FCPT>0</FCPT>
                            <FCN>12</FCN>
                            <LCPT>0</LCPT>
                            <LCN>12</LCN>
                          </ClmnBlkProps>
                          <ClmnBlkPts>
                            <ClmnBlkPt>
                              <ClmnBlkPtProps>
                                <CBPT>5</CBPT>
                                <ST>6</ST>
                                <SON>45</SON>
                                <VOFFF><![CDATA[Color 3 -]]></VOFFF>
                              </ClmnBlkPtProps>
                            </ClmnBlkPt>
                          </ClmnBlkPts>
                        </ClmnBlk>
                        <ClmnBlk>
                          <ClmnBlkProps>
                            <FCPT>0</FCPT>
                            <FCN>13</FCN>
                            <LCPT>0</LCPT>
                            <LCN>13</LCN>
                          </ClmnBlkProps>
                          <ClmnBlkPts>
                            <ClmnBlkPt>
                              <ClmnBlkPtProps>
                                <CBPT>5</CBPT>
                                <ST>6</ST>
                                <SON>45</SON>
                                <VOFFF><![CDATA[Color 1]]></VOFFF>
                              </ClmnBlkPtProps>
                            </ClmnBlkPt>
                          </ClmnBlkPts>
                        </ClmnBlk>
                      </ClmnBlks>
                      <TtlCtg/>
                    </Elmt>
                    <Elmt>
                      <ElmtProps>
                        <CPT>2</CPT>
                      </ElmtProps>
                      <ClmnBlks>
                        <ClmnBlk>
                          <ClmnBlkProps>
                            <FCPT>0</FCPT>
                            <FCN>2</FCN>
                            <LCPT>0</LCPT>
                            <LCN>2</LCN>
                          </ClmnBlkProps>
                          <ClmnBlkPts>
                            <ClmnBlkPt>
                              <ClmnBlkPtProps>
                                <CBPT>5</CBPT>
                                <ST>6</ST>
                                <VOFFF><![CDATA[Current Assets]]></VOFFF>
                              </ClmnBlkPtProps>
                            </ClmnBlkPt>
                          </ClmnBlkPts>
                        </ClmnBlk>
                        <ClmnBlk>
                          <ClmnBlkProps>
                            <FCPT>0</FCPT>
                            <FCN>5</FCN>
                            <LCPT>0</LCPT>
                            <LCN>5</LCN>
                          </ClmnBlkProps>
                          <ClmnBlkPts>
                            <ClmnBlkPt>
                              <ClmnBlkPtProps>
                                <CBPT>5</CBPT>
                                <ST>18</ST>
                                <SON>22</SON>
                                <VOFFF><![CDATA[=§A¿0,1,0,1,33,3,1,-1,0,0,FALSE,FALSE§Z¿]]></VOFFF>
                              </ClmnBlkPtProps>
                            </ClmnBlkPt>
                          </ClmnBlkPts>
                        </ClmnBlk>
                        <ClmnBlk>
                          <ClmnBlkProps>
                            <FCPT>0</FCPT>
                            <FCN>6</FCN>
                            <LCPT>0</LCPT>
                            <LCN>6</LCN>
                          </ClmnBlkProps>
                          <ClmnBlkPts>
                            <ClmnBlkPt>
                              <ClmnBlkPtProps>
                                <CBPT>5</CBPT>
                                <ST>18</ST>
                                <SON>22</SON>
                                <VOFFF><![CDATA[=SUM(§A¿0,1,1,1,167,2,1,-1,0,0,TRUE,FALSE,1,167,2,1,-1,0,0,FALSE,FALSE§Z¿)]]></VOFFF>
                              </ClmnBlkPtProps>
                            </ClmnBlkPt>
                          </ClmnBlkPts>
                        </ClmnBlk>
                        <ClmnBlk>
                          <ClmnBlkProps>
                            <FCPT>0</FCPT>
                            <FCN>7</FCN>
                            <LCPT>0</LCPT>
                            <LCN>7</LCN>
                          </ClmnBlkProps>
                          <ClmnBlkPts>
                            <ClmnBlkPt>
                              <ClmnBlkPtProps>
                                <CBPT>5</CBPT>
                                <ST>18</ST>
                                <SON>17</SON>
                                <VOFFF><![CDATA[0]]></VOFFF>
                              </ClmnBlkPtProps>
                            </ClmnBlkPt>
                          </ClmnBlkPts>
                        </ClmnBlk>
                        <ClmnBlk>
                          <ClmnBlkProps>
                            <FCPT>0</FCPT>
                            <FCN>8</FCN>
                            <LCPT>0</LCPT>
                            <LCN>8</LCN>
                          </ClmnBlkProps>
                          <ClmnBlkPts>
                            <ClmnBlkPt>
                              <ClmnBlkPtProps>
                                <CBPT>5</CBPT>
                                <ST>18</ST>
                                <SON>17</SON>
                                <VOFFF><![CDATA[=IF(§A¿0,1,0,1,167,2,1,-1,0,0,FALSE,FALSE§Z¿>0,MAX(0,§A¿0,1,0,1,167,3,1,-1,0,0,FALSE,FALSE§Z¿),0)]]></VOFFF>
                              </ClmnBlkPtProps>
                            </ClmnBlkPt>
                          </ClmnBlkPts>
                        </ClmnBlk>
                        <ClmnBlk>
                          <ClmnBlkProps>
                            <FCPT>0</FCPT>
                            <FCN>9</FCN>
                            <LCPT>0</LCPT>
                            <LCN>9</LCN>
                          </ClmnBlkProps>
                          <ClmnBlkPts>
                            <ClmnBlkPt>
                              <ClmnBlkPtProps>
                                <CBPT>5</CBPT>
                                <ST>18</ST>
                                <SON>17</SON>
                                <VOFFF><![CDATA[0]]></VOFFF>
                              </ClmnBlkPtProps>
                            </ClmnBlkPt>
                          </ClmnBlkPts>
                        </ClmnBlk>
                        <ClmnBlk>
                          <ClmnBlkProps>
                            <FCPT>0</FCPT>
                            <FCN>10</FCN>
                            <LCPT>0</LCPT>
                            <LCN>10</LCN>
                          </ClmnBlkProps>
                          <ClmnBlkPts>
                            <ClmnBlkPt>
                              <ClmnBlkPtProps>
                                <CBPT>5</CBPT>
                                <ST>18</ST>
                                <SON>17</SON>
                                <VOFFF><![CDATA[=IF(§A¿0,1,0,1,167,2,1,-1,0,0,FALSE,FALSE§Z¿>0,MIN(0,§A¿0,1,0,1,167,3,1,-1,0,0,FALSE,FALSE§Z¿),0)]]></VOFFF>
                              </ClmnBlkPtProps>
                            </ClmnBlkPt>
                          </ClmnBlkPts>
                        </ClmnBlk>
                        <ClmnBlk>
                          <ClmnBlkProps>
                            <FCPT>0</FCPT>
                            <FCN>11</FCN>
                            <LCPT>0</LCPT>
                            <LCN>11</LCN>
                          </ClmnBlkProps>
                          <ClmnBlkPts>
                            <ClmnBlkPt>
                              <ClmnBlkPtProps>
                                <CBPT>5</CBPT>
                                <ST>18</ST>
                                <SON>17</SON>
                                <VOFFF><![CDATA[=IF(§A¿0,1,0,1,167,2,1,-1,0,0,FALSE,FALSE§Z¿<0,MAX(0,§A¿0,1,0,1,167,3,1,-1,0,0,FALSE,FALSE§Z¿),0)]]></VOFFF>
                              </ClmnBlkPtProps>
                            </ClmnBlkPt>
                          </ClmnBlkPts>
                        </ClmnBlk>
                        <ClmnBlk>
                          <ClmnBlkProps>
                            <FCPT>0</FCPT>
                            <FCN>12</FCN>
                            <LCPT>0</LCPT>
                            <LCN>12</LCN>
                          </ClmnBlkProps>
                          <ClmnBlkPts>
                            <ClmnBlkPt>
                              <ClmnBlkPtProps>
                                <CBPT>5</CBPT>
                                <ST>18</ST>
                                <SON>17</SON>
                                <VOFFF><![CDATA[=IF(§A¿0,1,0,1,167,2,1,-1,0,0,FALSE,FALSE§Z¿<0,MIN(0,§A¿0,1,0,1,167,3,1,-1,0,0,FALSE,FALSE§Z¿),0)]]></VOFFF>
                              </ClmnBlkPtProps>
                            </ClmnBlkPt>
                          </ClmnBlkPts>
                        </ClmnBlk>
                        <ClmnBlk>
                          <ClmnBlkProps>
                            <FCPT>0</FCPT>
                            <FCN>13</FCN>
                            <LCPT>0</LCPT>
                            <LCN>13</LCN>
                          </ClmnBlkProps>
                          <ClmnBlkPts>
                            <ClmnBlkPt>
                              <ClmnBlkPtProps>
                                <CBPT>5</CBPT>
                                <ST>18</ST>
                                <SON>17</SON>
                                <VOFFF><![CDATA[0]]></VOFFF>
                              </ClmnBlkPtProps>
                            </ClmnBlkPt>
                          </ClmnBlkPts>
                        </ClmnBlk>
                      </ClmnBlks>
                      <TtlCtg/>
                    </Elmt>
                    <Elmt>
                      <ElmtProps>
                        <CPT>2</CPT>
                      </ElmtProps>
                      <ClmnBlks>
                        <ClmnBlk>
                          <ClmnBlkProps>
                            <FCPT>0</FCPT>
                            <FCN>2</FCN>
                            <LCPT>0</LCPT>
                            <LCN>2</LCN>
                          </ClmnBlkProps>
                          <ClmnBlkPts>
                            <ClmnBlkPt>
                              <ClmnBlkPtProps>
                                <CBPT>5</CBPT>
                                <ST>6</ST>
                                <VOFFF><![CDATA[Non-Current Assets]]></VOFFF>
                              </ClmnBlkPtProps>
                            </ClmnBlkPt>
                          </ClmnBlkPts>
                        </ClmnBlk>
                        <ClmnBlk>
                          <ClmnBlkProps>
                            <FCPT>0</FCPT>
                            <FCN>5</FCN>
                            <LCPT>0</LCPT>
                            <LCN>5</LCN>
                          </ClmnBlkProps>
                          <ClmnBlkPts>
                            <ClmnBlkPt>
                              <ClmnBlkPtProps>
                                <CBPT>5</CBPT>
                                <ST>18</ST>
                                <SON>22</SON>
                                <VOFFF><![CDATA[=§A¿0,1,0,1,36,3,1,-1,0,0,FALSE,FALSE§Z¿]]></VOFFF>
                              </ClmnBlkPtProps>
                            </ClmnBlkPt>
                          </ClmnBlkPts>
                        </ClmnBlk>
                        <ClmnBlk>
                          <ClmnBlkProps>
                            <FCPT>0</FCPT>
                            <FCN>6</FCN>
                            <LCPT>0</LCPT>
                            <LCN>6</LCN>
                          </ClmnBlkProps>
                          <ClmnBlkPts>
                            <ClmnBlkPt>
                              <ClmnBlkPtProps>
                                <CBPT>5</CBPT>
                                <ST>18</ST>
                                <SON>22</SON>
                                <VOFFF><![CDATA[=SUM(§A¿0,1,1,1,167,2,1,-1,0,0,TRUE,FALSE,1,168,2,1,-1,0,0,FALSE,FALSE§Z¿)]]></VOFFF>
                              </ClmnBlkPtProps>
                            </ClmnBlkPt>
                          </ClmnBlkPts>
                        </ClmnBlk>
                        <ClmnBlk>
                          <ClmnBlkProps>
                            <FCPT>0</FCPT>
                            <FCN>7</FCN>
                            <LCPT>0</LCPT>
                            <LCN>7</LCN>
                          </ClmnBlkProps>
                          <ClmnBlkPts>
                            <ClmnBlkPt>
                              <ClmnBlkPtProps>
                                <CBPT>5</CBPT>
                                <ST>18</ST>
                                <SON>22</SON>
                                <VOFFF><![CDATA[=IF(SIGN(§A¿0,1,0,1,168,3,1,-1,0,0,FALSE,FALSE§Z¿)<>SIGN(OFFSET(§A¿0,1,0,1,168,3,1,-1,0,0,FALSE,FALSE§Z¿,-1,0)),0,&#10;IF(OFFSET(§A¿0,1,0,1,168,3,1,-1,0,0,FALSE,FALSE§Z¿,-1,0)>0,IF(§A¿0,1,0,1,168,2,1,-1,0,0,FALSE,FALSE§Z¿<0,§A¿0,1,0,1,168,3,1,-1,0,0,FALSE,FALSE§Z¿,OFFSET(§A¿0,1,0,1,168,3,1,-1,0,0,FALSE,FALSE§Z¿,-1,0)),0))]]></VOFFF>
                              </ClmnBlkPtProps>
                            </ClmnBlkPt>
                          </ClmnBlkPts>
                        </ClmnBlk>
                        <ClmnBlk>
                          <ClmnBlkProps>
                            <FCPT>0</FCPT>
                            <FCN>8</FCN>
                            <LCPT>0</LCPT>
                            <LCN>8</LCN>
                          </ClmnBlkProps>
                          <ClmnBlkPts>
                            <ClmnBlkPt>
                              <ClmnBlkPtProps>
                                <CBPT>5</CBPT>
                                <ST>18</ST>
                                <SON>22</SON>
                                <VOFFF><![CDATA[=IF(§A¿0,1,0,1,168,2,1,-1,0,0,FALSE,FALSE§Z¿>0,&#10;IF(§A¿0,1,0,1,168,3,1,-1,0,0,FALSE,FALSE§Z¿=0,-MIN(§A¿0,1,0,1,168,2,1,-1,0,0,FALSE,FALSE§Z¿,0),&#10;IF(SIGN(OFFSET(§A¿0,1,0,1,168,3,1,-1,0,0,FALSE,FALSE§Z¿,-1,0))<>SIGN(§A¿0,1,0,1,168,3,1,-1,0,0,FALSE,FALSE§Z¿),MAX(OFFSET(§A¿0,1,0,1,168,3,1,-1,0,0,FALSE,FALSE§Z¿,-1,0),§A¿0,1,0,1,168,3,1,-1,0,0,FALSE,FALSE§Z¿),&#10;IF(§A¿0,1,0,1,168,3,1,-1,0,0,FALSE,FALSE§Z¿>0,ABS(§A¿0,1,0,1,168,2,1,-1,0,0,FALSE,FALSE§Z¿),0))),&#10;0)]]></VOFFF>
                              </ClmnBlkPtProps>
                            </ClmnBlkPt>
                          </ClmnBlkPts>
                        </ClmnBlk>
                        <ClmnBlk>
                          <ClmnBlkProps>
                            <FCPT>0</FCPT>
                            <FCN>9</FCN>
                            <LCPT>0</LCPT>
                            <LCN>9</LCN>
                          </ClmnBlkProps>
                          <ClmnBlkPts>
                            <ClmnBlkPt>
                              <ClmnBlkPtProps>
                                <CBPT>5</CBPT>
                                <ST>18</ST>
                                <SON>22</SON>
                                <VOFFF><![CDATA[=IF(SIGN(OFFSET(§A¿0,1,0,1,168,3,1,-1,0,0,FALSE,FALSE§Z¿,-1,0))<>SIGN(§A¿0,1,0,1,168,3,1,-1,0,0,FALSE,FALSE§Z¿),0,&#10;IF(OFFSET(§A¿0,1,0,1,168,3,1,-1,0,0,FALSE,FALSE§Z¿,-1,0)<0,IF(§A¿0,1,0,1,168,2,1,-1,0,0,FALSE,FALSE§Z¿>0,§A¿0,1,0,1,168,3,1,-1,0,0,FALSE,FALSE§Z¿,OFFSET(§A¿0,1,0,1,168,3,1,-1,0,0,FALSE,FALSE§Z¿,-1,0)),0))]]></VOFFF>
                              </ClmnBlkPtProps>
                            </ClmnBlkPt>
                          </ClmnBlkPts>
                        </ClmnBlk>
                        <ClmnBlk>
                          <ClmnBlkProps>
                            <FCPT>0</FCPT>
                            <FCN>10</FCN>
                            <LCPT>0</LCPT>
                            <LCN>10</LCN>
                          </ClmnBlkProps>
                          <ClmnBlkPts>
                            <ClmnBlkPt>
                              <ClmnBlkPtProps>
                                <CBPT>5</CBPT>
                                <ST>18</ST>
                                <SON>22</SON>
                                <VOFFF><![CDATA[=IF(§A¿0,1,0,1,168,2,1,-1,0,0,FALSE,FALSE§Z¿>0,&#10;IF(§A¿0,1,0,1,168,3,1,-1,0,0,FALSE,FALSE§Z¿=0,-MAX(§A¿0,1,0,1,168,2,1,-1,0,0,FALSE,FALSE§Z¿,0),&#10;IF(SIGN(OFFSET(§A¿0,1,0,1,168,3,1,-1,0,0,FALSE,FALSE§Z¿,-1,0))<>SIGN(§A¿0,1,0,1,168,3,1,-1,0,0,FALSE,FALSE§Z¿),MIN(OFFSET(§A¿0,1,0,1,168,3,1,-1,0,0,FALSE,FALSE§Z¿,-1,0),§A¿0,1,0,1,168,3,1,-1,0,0,FALSE,FALSE§Z¿),&#10;IF(§A¿0,1,0,1,168,3,1,-1,0,0,FALSE,FALSE§Z¿<0,-ABS(§A¿0,1,0,1,168,2,1,-1,0,0,FALSE,FALSE§Z¿),0))),&#10;0)]]></VOFFF>
                              </ClmnBlkPtProps>
                            </ClmnBlkPt>
                          </ClmnBlkPts>
                        </ClmnBlk>
                        <ClmnBlk>
                          <ClmnBlkProps>
                            <FCPT>0</FCPT>
                            <FCN>11</FCN>
                            <LCPT>0</LCPT>
                            <LCN>11</LCN>
                          </ClmnBlkProps>
                          <ClmnBlkPts>
                            <ClmnBlkPt>
                              <ClmnBlkPtProps>
                                <CBPT>5</CBPT>
                                <ST>18</ST>
                                <SON>22</SON>
                                <VOFFF><![CDATA[=IF(§A¿0,1,0,1,168,2,1,-1,0,0,FALSE,FALSE§Z¿<0,&#10;IF(§A¿0,1,0,1,168,3,1,-1,0,0,FALSE,FALSE§Z¿=0,-MIN(§A¿0,1,0,1,168,2,1,-1,0,0,FALSE,FALSE§Z¿,0),&#10;IF(SIGN(OFFSET(§A¿0,1,0,1,168,3,1,-1,0,0,FALSE,FALSE§Z¿,-1,0))<>SIGN(§A¿0,1,0,1,168,3,1,-1,0,0,FALSE,FALSE§Z¿),MAX(OFFSET(§A¿0,1,0,1,168,3,1,-1,0,0,FALSE,FALSE§Z¿,-1,0),§A¿0,1,0,1,168,3,1,-1,0,0,FALSE,FALSE§Z¿),&#10;IF(§A¿0,1,0,1,168,3,1,-1,0,0,FALSE,FALSE§Z¿>0,ABS(§A¿0,1,0,1,168,2,1,-1,0,0,FALSE,FALSE§Z¿),0))),&#10;0)]]></VOFFF>
                              </ClmnBlkPtProps>
                            </ClmnBlkPt>
                          </ClmnBlkPts>
                        </ClmnBlk>
                        <ClmnBlk>
                          <ClmnBlkProps>
                            <FCPT>0</FCPT>
                            <FCN>12</FCN>
                            <LCPT>0</LCPT>
                            <LCN>12</LCN>
                          </ClmnBlkProps>
                          <ClmnBlkPts>
                            <ClmnBlkPt>
                              <ClmnBlkPtProps>
                                <CBPT>5</CBPT>
                                <ST>18</ST>
                                <SON>22</SON>
                                <VOFFF><![CDATA[=IF(§A¿0,1,0,1,168,2,1,-1,0,0,FALSE,FALSE§Z¿<0,&#10;IF(§A¿0,1,0,1,168,3,1,-1,0,0,FALSE,FALSE§Z¿=0,-MAX(§A¿0,1,0,1,168,2,1,-1,0,0,FALSE,FALSE§Z¿,0),&#10;IF(SIGN(OFFSET(§A¿0,1,0,1,168,3,1,-1,0,0,FALSE,FALSE§Z¿,-1,0))<>SIGN(§A¿0,1,0,1,168,3,1,-1,0,0,FALSE,FALSE§Z¿),MIN(OFFSET(§A¿0,1,0,1,168,3,1,-1,0,0,FALSE,FALSE§Z¿,-1,0),§A¿0,1,0,1,168,3,1,-1,0,0,FALSE,FALSE§Z¿),&#10;IF(§A¿0,1,0,1,168,3,1,-1,0,0,FALSE,FALSE§Z¿<0,-ABS(§A¿0,1,0,1,168,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Current Liabilities]]></VOFFF>
                              </ClmnBlkPtProps>
                            </ClmnBlkPt>
                          </ClmnBlkPts>
                        </ClmnBlk>
                        <ClmnBlk>
                          <ClmnBlkProps>
                            <FCPT>0</FCPT>
                            <FCN>5</FCN>
                            <LCPT>0</LCPT>
                            <LCN>5</LCN>
                          </ClmnBlkProps>
                          <ClmnBlkPts>
                            <ClmnBlkPt>
                              <ClmnBlkPtProps>
                                <CBPT>5</CBPT>
                                <ST>18</ST>
                                <SON>22</SON>
                                <VOFFF><![CDATA[=-§A¿0,1,0,1,44,3,1,-1,0,0,FALSE,FALSE§Z¿]]></VOFFF>
                              </ClmnBlkPtProps>
                            </ClmnBlkPt>
                          </ClmnBlkPts>
                        </ClmnBlk>
                        <ClmnBlk>
                          <ClmnBlkProps>
                            <FCPT>0</FCPT>
                            <FCN>6</FCN>
                            <LCPT>0</LCPT>
                            <LCN>6</LCN>
                          </ClmnBlkProps>
                          <ClmnBlkPts>
                            <ClmnBlkPt>
                              <ClmnBlkPtProps>
                                <CBPT>5</CBPT>
                                <ST>18</ST>
                                <SON>22</SON>
                                <VOFFF><![CDATA[=SUM(§A¿0,1,1,1,167,2,1,-1,0,0,TRUE,FALSE,1,169,2,1,-1,0,0,FALSE,FALSE§Z¿)]]></VOFFF>
                              </ClmnBlkPtProps>
                            </ClmnBlkPt>
                          </ClmnBlkPts>
                        </ClmnBlk>
                        <ClmnBlk>
                          <ClmnBlkProps>
                            <FCPT>0</FCPT>
                            <FCN>7</FCN>
                            <LCPT>0</LCPT>
                            <LCN>7</LCN>
                          </ClmnBlkProps>
                          <ClmnBlkPts>
                            <ClmnBlkPt>
                              <ClmnBlkPtProps>
                                <CBPT>5</CBPT>
                                <ST>18</ST>
                                <SON>22</SON>
                                <VOFFF><![CDATA[=IF(SIGN(§A¿0,1,0,1,169,3,1,-1,0,0,FALSE,FALSE§Z¿)<>SIGN(OFFSET(§A¿0,1,0,1,169,3,1,-1,0,0,FALSE,FALSE§Z¿,-1,0)),0,&#10;IF(OFFSET(§A¿0,1,0,1,169,3,1,-1,0,0,FALSE,FALSE§Z¿,-1,0)>0,IF(§A¿0,1,0,1,169,2,1,-1,0,0,FALSE,FALSE§Z¿<0,§A¿0,1,0,1,169,3,1,-1,0,0,FALSE,FALSE§Z¿,OFFSET(§A¿0,1,0,1,169,3,1,-1,0,0,FALSE,FALSE§Z¿,-1,0)),0))]]></VOFFF>
                              </ClmnBlkPtProps>
                            </ClmnBlkPt>
                          </ClmnBlkPts>
                        </ClmnBlk>
                        <ClmnBlk>
                          <ClmnBlkProps>
                            <FCPT>0</FCPT>
                            <FCN>8</FCN>
                            <LCPT>0</LCPT>
                            <LCN>8</LCN>
                          </ClmnBlkProps>
                          <ClmnBlkPts>
                            <ClmnBlkPt>
                              <ClmnBlkPtProps>
                                <CBPT>5</CBPT>
                                <ST>18</ST>
                                <SON>22</SON>
                                <VOFFF><![CDATA[=IF(§A¿0,1,0,1,169,2,1,-1,0,0,FALSE,FALSE§Z¿>0,&#10;IF(§A¿0,1,0,1,169,3,1,-1,0,0,FALSE,FALSE§Z¿=0,-MIN(§A¿0,1,0,1,169,2,1,-1,0,0,FALSE,FALSE§Z¿,0),&#10;IF(SIGN(OFFSET(§A¿0,1,0,1,169,3,1,-1,0,0,FALSE,FALSE§Z¿,-1,0))<>SIGN(§A¿0,1,0,1,169,3,1,-1,0,0,FALSE,FALSE§Z¿),MAX(OFFSET(§A¿0,1,0,1,169,3,1,-1,0,0,FALSE,FALSE§Z¿,-1,0),§A¿0,1,0,1,169,3,1,-1,0,0,FALSE,FALSE§Z¿),&#10;IF(§A¿0,1,0,1,169,3,1,-1,0,0,FALSE,FALSE§Z¿>0,ABS(§A¿0,1,0,1,169,2,1,-1,0,0,FALSE,FALSE§Z¿),0))),&#10;0)]]></VOFFF>
                              </ClmnBlkPtProps>
                            </ClmnBlkPt>
                          </ClmnBlkPts>
                        </ClmnBlk>
                        <ClmnBlk>
                          <ClmnBlkProps>
                            <FCPT>0</FCPT>
                            <FCN>9</FCN>
                            <LCPT>0</LCPT>
                            <LCN>9</LCN>
                          </ClmnBlkProps>
                          <ClmnBlkPts>
                            <ClmnBlkPt>
                              <ClmnBlkPtProps>
                                <CBPT>5</CBPT>
                                <ST>18</ST>
                                <SON>22</SON>
                                <VOFFF><![CDATA[=IF(SIGN(OFFSET(§A¿0,1,0,1,169,3,1,-1,0,0,FALSE,FALSE§Z¿,-1,0))<>SIGN(§A¿0,1,0,1,169,3,1,-1,0,0,FALSE,FALSE§Z¿),0,&#10;IF(OFFSET(§A¿0,1,0,1,169,3,1,-1,0,0,FALSE,FALSE§Z¿,-1,0)<0,IF(§A¿0,1,0,1,169,2,1,-1,0,0,FALSE,FALSE§Z¿>0,§A¿0,1,0,1,169,3,1,-1,0,0,FALSE,FALSE§Z¿,OFFSET(§A¿0,1,0,1,169,3,1,-1,0,0,FALSE,FALSE§Z¿,-1,0)),0))]]></VOFFF>
                              </ClmnBlkPtProps>
                            </ClmnBlkPt>
                          </ClmnBlkPts>
                        </ClmnBlk>
                        <ClmnBlk>
                          <ClmnBlkProps>
                            <FCPT>0</FCPT>
                            <FCN>10</FCN>
                            <LCPT>0</LCPT>
                            <LCN>10</LCN>
                          </ClmnBlkProps>
                          <ClmnBlkPts>
                            <ClmnBlkPt>
                              <ClmnBlkPtProps>
                                <CBPT>5</CBPT>
                                <ST>18</ST>
                                <SON>22</SON>
                                <VOFFF><![CDATA[=IF(§A¿0,1,0,1,169,2,1,-1,0,0,FALSE,FALSE§Z¿>0,&#10;IF(§A¿0,1,0,1,169,3,1,-1,0,0,FALSE,FALSE§Z¿=0,-MAX(§A¿0,1,0,1,169,2,1,-1,0,0,FALSE,FALSE§Z¿,0),&#10;IF(SIGN(OFFSET(§A¿0,1,0,1,169,3,1,-1,0,0,FALSE,FALSE§Z¿,-1,0))<>SIGN(§A¿0,1,0,1,169,3,1,-1,0,0,FALSE,FALSE§Z¿),MIN(OFFSET(§A¿0,1,0,1,169,3,1,-1,0,0,FALSE,FALSE§Z¿,-1,0),§A¿0,1,0,1,169,3,1,-1,0,0,FALSE,FALSE§Z¿),&#10;IF(§A¿0,1,0,1,169,3,1,-1,0,0,FALSE,FALSE§Z¿<0,-ABS(§A¿0,1,0,1,169,2,1,-1,0,0,FALSE,FALSE§Z¿),0))),&#10;0)]]></VOFFF>
                              </ClmnBlkPtProps>
                            </ClmnBlkPt>
                          </ClmnBlkPts>
                        </ClmnBlk>
                        <ClmnBlk>
                          <ClmnBlkProps>
                            <FCPT>0</FCPT>
                            <FCN>11</FCN>
                            <LCPT>0</LCPT>
                            <LCN>11</LCN>
                          </ClmnBlkProps>
                          <ClmnBlkPts>
                            <ClmnBlkPt>
                              <ClmnBlkPtProps>
                                <CBPT>5</CBPT>
                                <ST>18</ST>
                                <SON>22</SON>
                                <VOFFF><![CDATA[=IF(§A¿0,1,0,1,169,2,1,-1,0,0,FALSE,FALSE§Z¿<0,&#10;IF(§A¿0,1,0,1,169,3,1,-1,0,0,FALSE,FALSE§Z¿=0,-MIN(§A¿0,1,0,1,169,2,1,-1,0,0,FALSE,FALSE§Z¿,0),&#10;IF(SIGN(OFFSET(§A¿0,1,0,1,169,3,1,-1,0,0,FALSE,FALSE§Z¿,-1,0))<>SIGN(§A¿0,1,0,1,169,3,1,-1,0,0,FALSE,FALSE§Z¿),MAX(OFFSET(§A¿0,1,0,1,169,3,1,-1,0,0,FALSE,FALSE§Z¿,-1,0),§A¿0,1,0,1,169,3,1,-1,0,0,FALSE,FALSE§Z¿),&#10;IF(§A¿0,1,0,1,169,3,1,-1,0,0,FALSE,FALSE§Z¿>0,ABS(§A¿0,1,0,1,169,2,1,-1,0,0,FALSE,FALSE§Z¿),0))),&#10;0)]]></VOFFF>
                              </ClmnBlkPtProps>
                            </ClmnBlkPt>
                          </ClmnBlkPts>
                        </ClmnBlk>
                        <ClmnBlk>
                          <ClmnBlkProps>
                            <FCPT>0</FCPT>
                            <FCN>12</FCN>
                            <LCPT>0</LCPT>
                            <LCN>12</LCN>
                          </ClmnBlkProps>
                          <ClmnBlkPts>
                            <ClmnBlkPt>
                              <ClmnBlkPtProps>
                                <CBPT>5</CBPT>
                                <ST>18</ST>
                                <SON>22</SON>
                                <VOFFF><![CDATA[=IF(§A¿0,1,0,1,169,2,1,-1,0,0,FALSE,FALSE§Z¿<0,&#10;IF(§A¿0,1,0,1,169,3,1,-1,0,0,FALSE,FALSE§Z¿=0,-MAX(§A¿0,1,0,1,169,2,1,-1,0,0,FALSE,FALSE§Z¿,0),&#10;IF(SIGN(OFFSET(§A¿0,1,0,1,169,3,1,-1,0,0,FALSE,FALSE§Z¿,-1,0))<>SIGN(§A¿0,1,0,1,169,3,1,-1,0,0,FALSE,FALSE§Z¿),MIN(OFFSET(§A¿0,1,0,1,169,3,1,-1,0,0,FALSE,FALSE§Z¿,-1,0),§A¿0,1,0,1,169,3,1,-1,0,0,FALSE,FALSE§Z¿),&#10;IF(§A¿0,1,0,1,169,3,1,-1,0,0,FALSE,FALSE§Z¿<0,-ABS(§A¿0,1,0,1,169,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Non-Current Liabilities]]></VOFFF>
                              </ClmnBlkPtProps>
                            </ClmnBlkPt>
                          </ClmnBlkPts>
                        </ClmnBlk>
                        <ClmnBlk>
                          <ClmnBlkProps>
                            <FCPT>0</FCPT>
                            <FCN>5</FCN>
                            <LCPT>0</LCPT>
                            <LCN>5</LCN>
                          </ClmnBlkProps>
                          <ClmnBlkPts>
                            <ClmnBlkPt>
                              <ClmnBlkPtProps>
                                <CBPT>5</CBPT>
                                <ST>18</ST>
                                <SON>22</SON>
                                <VOFFF><![CDATA[=-§A¿0,1,0,1,47,3,1,-1,0,0,FALSE,FALSE§Z¿]]></VOFFF>
                              </ClmnBlkPtProps>
                            </ClmnBlkPt>
                          </ClmnBlkPts>
                        </ClmnBlk>
                        <ClmnBlk>
                          <ClmnBlkProps>
                            <FCPT>0</FCPT>
                            <FCN>6</FCN>
                            <LCPT>0</LCPT>
                            <LCN>6</LCN>
                          </ClmnBlkProps>
                          <ClmnBlkPts>
                            <ClmnBlkPt>
                              <ClmnBlkPtProps>
                                <CBPT>5</CBPT>
                                <ST>18</ST>
                                <SON>22</SON>
                                <VOFFF><![CDATA[=SUM(§A¿0,1,1,1,167,2,1,-1,0,0,TRUE,FALSE,1,170,2,1,-1,0,0,FALSE,FALSE§Z¿)]]></VOFFF>
                              </ClmnBlkPtProps>
                            </ClmnBlkPt>
                          </ClmnBlkPts>
                        </ClmnBlk>
                        <ClmnBlk>
                          <ClmnBlkProps>
                            <FCPT>0</FCPT>
                            <FCN>7</FCN>
                            <LCPT>0</LCPT>
                            <LCN>7</LCN>
                          </ClmnBlkProps>
                          <ClmnBlkPts>
                            <ClmnBlkPt>
                              <ClmnBlkPtProps>
                                <CBPT>5</CBPT>
                                <ST>18</ST>
                                <SON>22</SON>
                                <VOFFF><![CDATA[=IF(SIGN(§A¿0,1,0,1,170,3,1,-1,0,0,FALSE,FALSE§Z¿)<>SIGN(OFFSET(§A¿0,1,0,1,170,3,1,-1,0,0,FALSE,FALSE§Z¿,-1,0)),0,&#10;IF(OFFSET(§A¿0,1,0,1,170,3,1,-1,0,0,FALSE,FALSE§Z¿,-1,0)>0,IF(§A¿0,1,0,1,170,2,1,-1,0,0,FALSE,FALSE§Z¿<0,§A¿0,1,0,1,170,3,1,-1,0,0,FALSE,FALSE§Z¿,OFFSET(§A¿0,1,0,1,170,3,1,-1,0,0,FALSE,FALSE§Z¿,-1,0)),0))]]></VOFFF>
                              </ClmnBlkPtProps>
                            </ClmnBlkPt>
                          </ClmnBlkPts>
                        </ClmnBlk>
                        <ClmnBlk>
                          <ClmnBlkProps>
                            <FCPT>0</FCPT>
                            <FCN>8</FCN>
                            <LCPT>0</LCPT>
                            <LCN>8</LCN>
                          </ClmnBlkProps>
                          <ClmnBlkPts>
                            <ClmnBlkPt>
                              <ClmnBlkPtProps>
                                <CBPT>5</CBPT>
                                <ST>18</ST>
                                <SON>22</SON>
                                <VOFFF><![CDATA[=IF(§A¿0,1,0,1,170,2,1,-1,0,0,FALSE,FALSE§Z¿>0,&#10;IF(§A¿0,1,0,1,170,3,1,-1,0,0,FALSE,FALSE§Z¿=0,-MIN(§A¿0,1,0,1,170,2,1,-1,0,0,FALSE,FALSE§Z¿,0),&#10;IF(SIGN(OFFSET(§A¿0,1,0,1,170,3,1,-1,0,0,FALSE,FALSE§Z¿,-1,0))<>SIGN(§A¿0,1,0,1,170,3,1,-1,0,0,FALSE,FALSE§Z¿),MAX(OFFSET(§A¿0,1,0,1,170,3,1,-1,0,0,FALSE,FALSE§Z¿,-1,0),§A¿0,1,0,1,170,3,1,-1,0,0,FALSE,FALSE§Z¿),&#10;IF(§A¿0,1,0,1,170,3,1,-1,0,0,FALSE,FALSE§Z¿>0,ABS(§A¿0,1,0,1,170,2,1,-1,0,0,FALSE,FALSE§Z¿),0))),&#10;0)]]></VOFFF>
                              </ClmnBlkPtProps>
                            </ClmnBlkPt>
                          </ClmnBlkPts>
                        </ClmnBlk>
                        <ClmnBlk>
                          <ClmnBlkProps>
                            <FCPT>0</FCPT>
                            <FCN>9</FCN>
                            <LCPT>0</LCPT>
                            <LCN>9</LCN>
                          </ClmnBlkProps>
                          <ClmnBlkPts>
                            <ClmnBlkPt>
                              <ClmnBlkPtProps>
                                <CBPT>5</CBPT>
                                <ST>18</ST>
                                <SON>22</SON>
                                <VOFFF><![CDATA[=IF(SIGN(OFFSET(§A¿0,1,0,1,170,3,1,-1,0,0,FALSE,FALSE§Z¿,-1,0))<>SIGN(§A¿0,1,0,1,170,3,1,-1,0,0,FALSE,FALSE§Z¿),0,&#10;IF(OFFSET(§A¿0,1,0,1,170,3,1,-1,0,0,FALSE,FALSE§Z¿,-1,0)<0,IF(§A¿0,1,0,1,170,2,1,-1,0,0,FALSE,FALSE§Z¿>0,§A¿0,1,0,1,170,3,1,-1,0,0,FALSE,FALSE§Z¿,OFFSET(§A¿0,1,0,1,170,3,1,-1,0,0,FALSE,FALSE§Z¿,-1,0)),0))]]></VOFFF>
                              </ClmnBlkPtProps>
                            </ClmnBlkPt>
                          </ClmnBlkPts>
                        </ClmnBlk>
                        <ClmnBlk>
                          <ClmnBlkProps>
                            <FCPT>0</FCPT>
                            <FCN>10</FCN>
                            <LCPT>0</LCPT>
                            <LCN>10</LCN>
                          </ClmnBlkProps>
                          <ClmnBlkPts>
                            <ClmnBlkPt>
                              <ClmnBlkPtProps>
                                <CBPT>5</CBPT>
                                <ST>18</ST>
                                <SON>22</SON>
                                <VOFFF><![CDATA[=IF(§A¿0,1,0,1,170,2,1,-1,0,0,FALSE,FALSE§Z¿>0,&#10;IF(§A¿0,1,0,1,170,3,1,-1,0,0,FALSE,FALSE§Z¿=0,-MAX(§A¿0,1,0,1,170,2,1,-1,0,0,FALSE,FALSE§Z¿,0),&#10;IF(SIGN(OFFSET(§A¿0,1,0,1,170,3,1,-1,0,0,FALSE,FALSE§Z¿,-1,0))<>SIGN(§A¿0,1,0,1,170,3,1,-1,0,0,FALSE,FALSE§Z¿),MIN(OFFSET(§A¿0,1,0,1,170,3,1,-1,0,0,FALSE,FALSE§Z¿,-1,0),§A¿0,1,0,1,170,3,1,-1,0,0,FALSE,FALSE§Z¿),&#10;IF(§A¿0,1,0,1,170,3,1,-1,0,0,FALSE,FALSE§Z¿<0,-ABS(§A¿0,1,0,1,170,2,1,-1,0,0,FALSE,FALSE§Z¿),0))),&#10;0)]]></VOFFF>
                              </ClmnBlkPtProps>
                            </ClmnBlkPt>
                          </ClmnBlkPts>
                        </ClmnBlk>
                        <ClmnBlk>
                          <ClmnBlkProps>
                            <FCPT>0</FCPT>
                            <FCN>11</FCN>
                            <LCPT>0</LCPT>
                            <LCN>11</LCN>
                          </ClmnBlkProps>
                          <ClmnBlkPts>
                            <ClmnBlkPt>
                              <ClmnBlkPtProps>
                                <CBPT>5</CBPT>
                                <ST>18</ST>
                                <SON>22</SON>
                                <VOFFF><![CDATA[=IF(§A¿0,1,0,1,170,2,1,-1,0,0,FALSE,FALSE§Z¿<0,&#10;IF(§A¿0,1,0,1,170,3,1,-1,0,0,FALSE,FALSE§Z¿=0,-MIN(§A¿0,1,0,1,170,2,1,-1,0,0,FALSE,FALSE§Z¿,0),&#10;IF(SIGN(OFFSET(§A¿0,1,0,1,170,3,1,-1,0,0,FALSE,FALSE§Z¿,-1,0))<>SIGN(§A¿0,1,0,1,170,3,1,-1,0,0,FALSE,FALSE§Z¿),MAX(OFFSET(§A¿0,1,0,1,170,3,1,-1,0,0,FALSE,FALSE§Z¿,-1,0),§A¿0,1,0,1,170,3,1,-1,0,0,FALSE,FALSE§Z¿),&#10;IF(§A¿0,1,0,1,170,3,1,-1,0,0,FALSE,FALSE§Z¿>0,ABS(§A¿0,1,0,1,170,2,1,-1,0,0,FALSE,FALSE§Z¿),0))),&#10;0)]]></VOFFF>
                              </ClmnBlkPtProps>
                            </ClmnBlkPt>
                          </ClmnBlkPts>
                        </ClmnBlk>
                        <ClmnBlk>
                          <ClmnBlkProps>
                            <FCPT>0</FCPT>
                            <FCN>12</FCN>
                            <LCPT>0</LCPT>
                            <LCN>12</LCN>
                          </ClmnBlkProps>
                          <ClmnBlkPts>
                            <ClmnBlkPt>
                              <ClmnBlkPtProps>
                                <CBPT>5</CBPT>
                                <ST>18</ST>
                                <SON>22</SON>
                                <VOFFF><![CDATA[=IF(§A¿0,1,0,1,170,2,1,-1,0,0,FALSE,FALSE§Z¿<0,&#10;IF(§A¿0,1,0,1,170,3,1,-1,0,0,FALSE,FALSE§Z¿=0,-MAX(§A¿0,1,0,1,170,2,1,-1,0,0,FALSE,FALSE§Z¿,0),&#10;IF(SIGN(OFFSET(§A¿0,1,0,1,170,3,1,-1,0,0,FALSE,FALSE§Z¿,-1,0))<>SIGN(§A¿0,1,0,1,170,3,1,-1,0,0,FALSE,FALSE§Z¿),MIN(OFFSET(§A¿0,1,0,1,170,3,1,-1,0,0,FALSE,FALSE§Z¿,-1,0),§A¿0,1,0,1,170,3,1,-1,0,0,FALSE,FALSE§Z¿),&#10;IF(§A¿0,1,0,1,170,3,1,-1,0,0,FALSE,FALSE§Z¿<0,-ABS(§A¿0,1,0,1,170,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5</ST>
                                <VOFFF><![CDATA[Net Assets]]></VOFFF>
                              </ClmnBlkPtProps>
                            </ClmnBlkPt>
                          </ClmnBlkPts>
                        </ClmnBlk>
                        <ClmnBlk>
                          <ClmnBlkProps>
                            <FCPT>0</FCPT>
                            <FCN>5</FCN>
                            <LCPT>0</LCPT>
                            <LCN>5</LCN>
                          </ClmnBlkProps>
                          <ClmnBlkPts>
                            <ClmnBlkPt>
                              <ClmnBlkPtProps>
                                <CBPT>5</CBPT>
                                <ST>18</ST>
                                <SON>38</SON>
                                <VOFFF><![CDATA[=SUM(§A¿0,1,1,1,167,2,1,-1,0,0,FALSE,FALSE,1,170,2,1,-1,0,0,FALSE,FALSE§Z¿)]]></VOFFF>
                              </ClmnBlkPtProps>
                            </ClmnBlkPt>
                          </ClmnBlkPts>
                        </ClmnBlk>
                        <ClmnBlk>
                          <ClmnBlkProps>
                            <FCPT>0</FCPT>
                            <FCN>6</FCN>
                            <LCPT>0</LCPT>
                            <LCN>6</LCN>
                          </ClmnBlkProps>
                          <ClmnBlkPts>
                            <ClmnBlkPt>
                              <ClmnBlkPtProps>
                                <CBPT>5</CBPT>
                                <ST>18</ST>
                                <SON>38</SON>
                                <VOFFF><![CDATA[=SUM(§A¿0,1,1,1,167,2,1,-1,0,0,FALSE,FALSE,1,170,2,1,-1,0,0,FALSE,FALSE§Z¿)]]></VOFFF>
                              </ClmnBlkPtProps>
                            </ClmnBlkPt>
                          </ClmnBlkPts>
                        </ClmnBlk>
                        <ClmnBlk>
                          <ClmnBlkProps>
                            <FCPT>0</FCPT>
                            <FCN>7</FCN>
                            <LCPT>0</LCPT>
                            <LCN>7</LCN>
                          </ClmnBlkProps>
                          <ClmnBlkPts>
                            <ClmnBlkPt>
                              <ClmnBlkPtProps>
                                <CBPT>5</CBPT>
                                <ST>18</ST>
                                <SON>39</SON>
                                <VOFFF><![CDATA[0]]></VOFFF>
                              </ClmnBlkPtProps>
                            </ClmnBlkPt>
                          </ClmnBlkPts>
                        </ClmnBlk>
                        <ClmnBlk>
                          <ClmnBlkProps>
                            <FCPT>0</FCPT>
                            <FCN>8</FCN>
                            <LCPT>0</LCPT>
                            <LCN>8</LCN>
                          </ClmnBlkProps>
                          <ClmnBlkPts>
                            <ClmnBlkPt>
                              <ClmnBlkPtProps>
                                <CBPT>5</CBPT>
                                <ST>18</ST>
                                <SON>39</SON>
                                <VOFFF><![CDATA[0]]></VOFFF>
                              </ClmnBlkPtProps>
                            </ClmnBlkPt>
                          </ClmnBlkPts>
                        </ClmnBlk>
                        <ClmnBlk>
                          <ClmnBlkProps>
                            <FCPT>0</FCPT>
                            <FCN>9</FCN>
                            <LCPT>0</LCPT>
                            <LCN>9</LCN>
                          </ClmnBlkProps>
                          <ClmnBlkPts>
                            <ClmnBlkPt>
                              <ClmnBlkPtProps>
                                <CBPT>5</CBPT>
                                <ST>18</ST>
                                <SON>39</SON>
                                <VOFFF><![CDATA[0]]></VOFFF>
                              </ClmnBlkPtProps>
                            </ClmnBlkPt>
                          </ClmnBlkPts>
                        </ClmnBlk>
                        <ClmnBlk>
                          <ClmnBlkProps>
                            <FCPT>0</FCPT>
                            <FCN>10</FCN>
                            <LCPT>0</LCPT>
                            <LCN>10</LCN>
                          </ClmnBlkProps>
                          <ClmnBlkPts>
                            <ClmnBlkPt>
                              <ClmnBlkPtProps>
                                <CBPT>5</CBPT>
                                <ST>18</ST>
                                <SON>39</SON>
                                <VOFFF><![CDATA[0]]></VOFFF>
                              </ClmnBlkPtProps>
                            </ClmnBlkPt>
                          </ClmnBlkPts>
                        </ClmnBlk>
                        <ClmnBlk>
                          <ClmnBlkProps>
                            <FCPT>0</FCPT>
                            <FCN>11</FCN>
                            <LCPT>0</LCPT>
                            <LCN>11</LCN>
                          </ClmnBlkProps>
                          <ClmnBlkPts>
                            <ClmnBlkPt>
                              <ClmnBlkPtProps>
                                <CBPT>5</CBPT>
                                <ST>18</ST>
                                <SON>39</SON>
                                <VOFFF><![CDATA[0]]></VOFFF>
                              </ClmnBlkPtProps>
                            </ClmnBlkPt>
                          </ClmnBlkPts>
                        </ClmnBlk>
                        <ClmnBlk>
                          <ClmnBlkProps>
                            <FCPT>0</FCPT>
                            <FCN>12</FCN>
                            <LCPT>0</LCPT>
                            <LCN>12</LCN>
                          </ClmnBlkProps>
                          <ClmnBlkPts>
                            <ClmnBlkPt>
                              <ClmnBlkPtProps>
                                <CBPT>5</CBPT>
                                <ST>18</ST>
                                <SON>39</SON>
                                <VOFFF><![CDATA[0]]></VOFFF>
                              </ClmnBlkPtProps>
                            </ClmnBlkPt>
                          </ClmnBlkPts>
                        </ClmnBlk>
                        <ClmnBlk>
                          <ClmnBlkProps>
                            <FCPT>0</FCPT>
                            <FCN>13</FCN>
                            <LCPT>0</LCPT>
                            <LCN>13</LCN>
                          </ClmnBlkProps>
                          <ClmnBlkPts>
                            <ClmnBlkPt>
                              <ClmnBlkPtProps>
                                <CBPT>5</CBPT>
                                <ST>18</ST>
                                <SON>39</SON>
                                <VOFFF><![CDATA[=§A¿0,1,0,1,171,3,1,-1,0,0,FALSE,FALSE§Z¿]]></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Cashcade]]></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Balance Sheet]]></VOFFF>
                              </ClmnBlkPtProps>
                            </ClmnBlkPt>
                          </ClmnBlkPts>
                        </ClmnBlk>
                      </ClmnBlks>
                      <TtlCtg/>
                    </Elmt>
                    <Elmt>
                      <ElmtProps>
                        <CPT>2</CPT>
                      </ElmtProps>
                      <ClmnBlks>
                        <ClmnBlk>
                          <ClmnBlkProps>
                            <FCPT>0</FCPT>
                            <FCN>2</FCN>
                            <LCPT>0</LCPT>
                            <LCN>2</LCN>
                          </ClmnBlkProps>
                          <ClmnBlkPts>
                            <ClmnBlkPt>
                              <ClmnBlkPtProps>
                                <CBPT>5</CBPT>
                                <ST>6</ST>
                                <VOFFF><![CDATA[Opening Cash]]></VOFFF>
                              </ClmnBlkPtProps>
                              <LnkInForms>
                                <LnkInForm>
                                  <LnkInFormProps>
                                    <CBPLI>1,1,176,1,1</CBPLI>
                                    <ELN>1</ELN>
                                    <FFF/>
                                  </LnkInFormProps>
                                </LnkInForm>
                              </LnkInForms>
                            </ClmnBlkPt>
                          </ClmnBlkPts>
                        </ClmnBlk>
                        <ClmnBlk>
                          <ClmnBlkProps>
                            <FCPT>0</FCPT>
                            <FCN>5</FCN>
                            <LCPT>0</LCPT>
                            <LCN>5</LCN>
                          </ClmnBlkProps>
                          <ClmnBlkPts>
                            <ClmnBlkPt>
                              <ClmnBlkPtProps>
                                <CBPT>5</CBPT>
                                <ST>18</ST>
                                <SON>22</SON>
                                <VOFFF><![CDATA[0]]></VOFFF>
                                <UDAV><![CDATA[0]]></UDAV>
                              </ClmnBlkPtProps>
                              <LnkInForms>
                                <LnkInForm>
                                  <LnkInFormProps>
                                    <CBPLI>1,1,176,2,1</CBPLI>
                                    <ELN>1</ELN>
                                    <FFF><![CDATA[=IF(§A¿0,1,0,1,95,2,1,-1,0,0,TRUE,FALSE§Z¿,OFFSET(§A¿10,FALSE,0,2,0,FALSE§Z¿,0,§A¿0,1,0,1,90,2,1,-1,0,0,TRUE,TRUE§Z¿),0)]]></FFF>
                                  </LnkInFormProps>
                                </LnkInForm>
                              </LnkInForms>
                            </ClmnBlkPt>
                          </ClmnBlkPts>
                        </ClmnBlk>
                      </ClmnBlks>
                      <TtlCtg>
                        <LnkIn>
                          <LnkInProps>
                            <MN>58</MN>
                            <CLI>1,1,176,True,0</CLI>
                            <ELN>1</ELN>
                            <LOOT>2</LOOT>
                            <LOMN>5</LOMN>
                            <LOMCN>1</LOMCN>
                            <LOSN>1</LOSN>
                            <LOEN>4</LOEN>
                            <LOCN>0</LOCN>
                          </LnkInProps>
                        </LnkIn>
                      </TtlCtg>
                      <ElmtLnksIn>
                        <ElmtLnk>
                          <ElmtLnkProps>
                            <ELI>1,1,176</ELI>
                            <ELN>1</ELN>
                            <ELGN>1</ELGN>
                            <MLG>4EE07D0D-2C38-4396-B6D0-8C0884450090</MLG>
                            <ICBI>2</ICBI>
                            <ILBN/>
                            <LIBN>0</LIBN>
                          </ElmtLnkProps>
                        </ElmtLnk>
                      </ElmtLnksIn>
                    </Elmt>
                    <Elmt>
                      <ElmtProps>
                        <CPT>2</CPT>
                      </ElmtProps>
                      <ClmnBlks>
                        <ClmnBlk>
                          <ClmnBlkProps>
                            <FCPT>0</FCPT>
                            <FCN>2</FCN>
                            <LCPT>0</LCPT>
                            <LCN>2</LCN>
                          </ClmnBlkProps>
                          <ClmnBlkPts>
                            <ClmnBlkPt>
                              <ClmnBlkPtProps>
                                <CBPT>5</CBPT>
                                <ST>6</ST>
                                <VOFFF><![CDATA[Closing Cash]]></VOFFF>
                              </ClmnBlkPtProps>
                            </ClmnBlkPt>
                          </ClmnBlkPts>
                        </ClmnBlk>
                        <ClmnBlk>
                          <ClmnBlkProps>
                            <FCPT>0</FCPT>
                            <FCN>5</FCN>
                            <LCPT>0</LCPT>
                            <LCN>5</LCN>
                          </ClmnBlkProps>
                          <ClmnBlkPts>
                            <ClmnBlkPt>
                              <ClmnBlkPtProps>
                                <CBPT>5</CBPT>
                                <ST>18</ST>
                                <SON>22</SON>
                                <VOFFF><![CDATA[=OFFSET(§A¿0,1,0,1,29,2,1,-1,0,0,FALSE,FALSE§Z¿,0,MIN(§A¿7,1,1,1,8,0,2,1,1§Z¿-§A¿0,1,0,1,90,2,1,-1,0,0,FALSE,FALSE§Z¿,COLUMNS(§A¿0,1,1,1,94,2,1,-1,0,0,TRUE,TRUE,1,94,2,1,-1,1,0,TRUE,TRUE§Z¿))-1)]]></VOFFF>
                                <UDAV><![CDATA[0]]></UDAV>
                              </ClmnBlkPtProps>
                            </ClmnBlkPt>
                          </ClmnBlkPts>
                        </ClmnBlk>
                      </ClmnBlks>
                      <TtlCtg/>
                    </Elmt>
                    <Elmt>
                      <ElmtProps>
                        <CPT>2</CPT>
                      </ElmtProps>
                      <ClmnBlks>
                        <ClmnBlk>
                          <ClmnBlkProps>
                            <FCPT>0</FCPT>
                            <FCN>2</FCN>
                            <LCPT>0</LCPT>
                            <LCN>2</LCN>
                          </ClmnBlkProps>
                          <ClmnBlkPts>
                            <ClmnBlkPt>
                              <ClmnBlkPtProps>
                                <CBPT>5</CBPT>
                                <ST>6</ST>
                                <VOFFF><![CDATA[Change in Cash Held]]></VOFFF>
                              </ClmnBlkPtProps>
                            </ClmnBlkPt>
                          </ClmnBlkPts>
                        </ClmnBlk>
                        <ClmnBlk>
                          <ClmnBlkProps>
                            <FCPT>0</FCPT>
                            <FCN>5</FCN>
                            <LCPT>0</LCPT>
                            <LCN>5</LCN>
                          </ClmnBlkProps>
                          <ClmnBlkPts>
                            <ClmnBlkPt>
                              <ClmnBlkPtProps>
                                <CBPT>5</CBPT>
                                <ST>18</ST>
                                <SON>46</SON>
                                <VOFFF><![CDATA[=§A¿0,1,0,1,177,2,1,-1,0,0,FALSE,FALSE§Z¿-§A¿0,1,0,1,176,2,1,-1,0,0,FALSE,FALSE§Z¿]]></VOFFF>
                              </ClmnBlkPtProps>
                            </ClmnBlkPt>
                          </ClmnBlkPts>
                        </ClmnBlk>
                      </ClmnBlks>
                      <TtlCtg/>
                    </Elmt>
                    <Elmt>
                      <ElmtProps>
                        <CPT>2</CPT>
                      </ElmtProps>
                      <ClmnBlks>
                        <ClmnBlk>
                          <ClmnBlkProps>
                            <FCPT>0</FCPT>
                            <FCN>7</FCN>
                            <LCPT>0</LCPT>
                            <LCN>10</LCN>
                          </ClmnBlkProps>
                          <ClmnBlkPts>
                            <ClmnBlkPt>
                              <ClmnBlkPtProps>
                                <CBPT>5</CBPT>
                                <ST>5</ST>
                                <SON>5</SON>
                                <MC>True</MC>
                                <VOFFF><![CDATA[Positive]]></VOFFF>
                              </ClmnBlkPtProps>
                            </ClmnBlkPt>
                          </ClmnBlkPts>
                        </ClmnBlk>
                        <ClmnBlk>
                          <ClmnBlkProps>
                            <FCPT>0</FCPT>
                            <FCN>11</FCN>
                            <LCPT>0</LCPT>
                            <LCN>12</LCN>
                          </ClmnBlkProps>
                          <ClmnBlkPts>
                            <ClmnBlkPt>
                              <ClmnBlkPtProps>
                                <CBPT>5</CBPT>
                                <ST>5</ST>
                                <SON>5</SON>
                                <MC>True</MC>
                                <VOFFF><![CDATA[Negative]]></VOFFF>
                              </ClmnBlkPtProps>
                            </ClmnBlkPt>
                          </ClmnBlkPts>
                        </ClmnBlk>
                        <ClmnBlk>
                          <ClmnBlkProps>
                            <FCPT>0</FCPT>
                            <FCN>13</FCN>
                            <LCPT>0</LCPT>
                            <LCN>13</LCN>
                          </ClmnBlkProps>
                          <ClmnBlkPts>
                            <ClmnBlkPt>
                              <ClmnBlkPtProps>
                                <CBPT>5</CBPT>
                                <ST>5</ST>
                                <SON>5</SON>
                                <VOFFF><![CDATA[Total]]></VOFFF>
                              </ClmnBlkPtProps>
                            </ClmnBlkPt>
                          </ClmnBlkPts>
                        </ClmnBlk>
                      </ClmnBlks>
                      <TtlCtg/>
                    </Elmt>
                    <Elmt>
                      <ElmtProps>
                        <CPT>2</CPT>
                      </ElmtProps>
                      <ClmnBlks>
                        <ClmnBlk>
                          <ClmnBlkProps>
                            <FCPT>0</FCPT>
                            <FCN>2</FCN>
                            <LCPT>0</LCPT>
                            <LCN>2</LCN>
                          </ClmnBlkProps>
                          <ClmnBlkPts>
                            <ClmnBlkPt>
                              <ClmnBlkPtProps>
                                <CBPT>5</CBPT>
                                <ST>15</ST>
                                <SON>4</SON>
                                <VOFFF><![CDATA[True]]></VOFFF>
                                <UDAV><![CDATA[True]]></UDAV>
                              </ClmnBlkPtProps>
                              <Vdtn>
                                <VdtnProps>
                                  <CBPLI>1,1,180,1,1</CBPLI>
                                  <ADVT>-1</ADVT>
                                  <VT>7</VT>
                                  <AS>1</AS>
                                  <O>1</O>
                                  <F1FFF><![CDATA[=ISLOGICAL(§A¿0,1,0,1,180,1,1,0,0,0,FALSE,FALSE§Z¿)]]></F1FFF>
                                  <F2FFF/>
                                  <IB>False</IB>
                                  <ICDD>False</ICDD>
                                  <SI>False</SI>
                                  <IT/>
                                  <IM/>
                                  <SE>True</SE>
                                  <ET><![CDATA[Check Box Cell Link]]></ET>
                                  <EM><![CDATA[The value in a check box cell link must be either "TRUE" or "FALSE"]]></EM>
                                  <IMO>0</IMO>
                                </VdtnProps>
                              </Vdtn>
                            </ClmnBlkPt>
                          </ClmnBlkPts>
                        </ClmnBlk>
                      </ClmnBlks>
                      <TtlCtg/>
                      <ShpNmes>
                        <ShpNme>
                          <ShpNmeProps>
                            <ELI>1,1,180</ELI>
                            <COSTN>0</COSTN>
                            <ST>1</ST>
                            <SNPT>2</SNPT>
                            <N><![CDATA[bpmCheckBoxFs_Sum8]]></N>
                            <SHN>1</SHN>
                            <SHTN>1</SHTN>
                          </ShpNmeProps>
                        </ShpNme>
                      </ShpNmes>
                    </Elmt>
                    <Elmt>
                      <ElmtProps>
                        <CPT>2</CPT>
                      </ElmtProps>
                      <TtlCtg/>
                    </Elmt>
                    <Elmt>
                      <ElmtProps>
                        <CPT>2</CPT>
                      </ElmtProps>
                      <ClmnBlks>
                        <ClmnBlk>
                          <ClmnBlkProps>
                            <FCPT>0</FCPT>
                            <FCN>2</FCN>
                            <LCPT>0</LCPT>
                            <LCN>2</LCN>
                          </ClmnBlkProps>
                          <ClmnBlkPts>
                            <ClmnBlkPt>
                              <ClmnBlkPtProps>
                                <CBPT>5</CBPT>
                                <ST>5</ST>
                                <VOFFF><![CDATA[Chart 1 Data]]></VOFFF>
                              </ClmnBlkPtProps>
                            </ClmnBlkPt>
                          </ClmnBlkPts>
                        </ClmnBlk>
                        <ClmnBlk>
                          <ClmnBlkProps>
                            <FCPT>0</FCPT>
                            <FCN>5</FCN>
                            <LCPT>0</LCPT>
                            <LCN>5</LCN>
                          </ClmnBlkProps>
                          <ClmnBlkPts>
                            <ClmnBlkPt>
                              <ClmnBlkPtProps>
                                <CBPT>5</CBPT>
                                <ST>5</ST>
                                <SON>2</SON>
                                <VOFFF><![CDATA[Amount]]></VOFFF>
                              </ClmnBlkPtProps>
                            </ClmnBlkPt>
                          </ClmnBlkPts>
                        </ClmnBlk>
                        <ClmnBlk>
                          <ClmnBlkProps>
                            <FCPT>0</FCPT>
                            <FCN>6</FCN>
                            <LCPT>0</LCPT>
                            <LCN>6</LCN>
                          </ClmnBlkProps>
                          <ClmnBlkPts>
                            <ClmnBlkPt>
                              <ClmnBlkPtProps>
                                <CBPT>5</CBPT>
                                <ST>6</ST>
                                <SON>45</SON>
                                <VOFFF><![CDATA[Cumulative]]></VOFFF>
                              </ClmnBlkPtProps>
                            </ClmnBlkPt>
                          </ClmnBlkPts>
                        </ClmnBlk>
                        <ClmnBlk>
                          <ClmnBlkProps>
                            <FCPT>0</FCPT>
                            <FCN>7</FCN>
                            <LCPT>0</LCPT>
                            <LCN>7</LCN>
                          </ClmnBlkProps>
                          <ClmnBlkPts>
                            <ClmnBlkPt>
                              <ClmnBlkPtProps>
                                <CBPT>5</CBPT>
                                <ST>6</ST>
                                <SON>45</SON>
                                <VOFFF><![CDATA[Invisible +]]></VOFFF>
                              </ClmnBlkPtProps>
                            </ClmnBlkPt>
                          </ClmnBlkPts>
                        </ClmnBlk>
                        <ClmnBlk>
                          <ClmnBlkProps>
                            <FCPT>0</FCPT>
                            <FCN>8</FCN>
                            <LCPT>0</LCPT>
                            <LCN>8</LCN>
                          </ClmnBlkProps>
                          <ClmnBlkPts>
                            <ClmnBlkPt>
                              <ClmnBlkPtProps>
                                <CBPT>5</CBPT>
                                <ST>6</ST>
                                <SON>45</SON>
                                <VOFFF><![CDATA[Green +]]></VOFFF>
                              </ClmnBlkPtProps>
                            </ClmnBlkPt>
                          </ClmnBlkPts>
                        </ClmnBlk>
                        <ClmnBlk>
                          <ClmnBlkProps>
                            <FCPT>0</FCPT>
                            <FCN>9</FCN>
                            <LCPT>0</LCPT>
                            <LCN>9</LCN>
                          </ClmnBlkProps>
                          <ClmnBlkPts>
                            <ClmnBlkPt>
                              <ClmnBlkPtProps>
                                <CBPT>5</CBPT>
                                <ST>6</ST>
                                <SON>45</SON>
                                <VOFFF><![CDATA[Invisible -]]></VOFFF>
                              </ClmnBlkPtProps>
                            </ClmnBlkPt>
                          </ClmnBlkPts>
                        </ClmnBlk>
                        <ClmnBlk>
                          <ClmnBlkProps>
                            <FCPT>0</FCPT>
                            <FCN>10</FCN>
                            <LCPT>0</LCPT>
                            <LCN>10</LCN>
                          </ClmnBlkProps>
                          <ClmnBlkPts>
                            <ClmnBlkPt>
                              <ClmnBlkPtProps>
                                <CBPT>5</CBPT>
                                <ST>6</ST>
                                <SON>45</SON>
                                <VOFFF><![CDATA[Green -]]></VOFFF>
                              </ClmnBlkPtProps>
                            </ClmnBlkPt>
                          </ClmnBlkPts>
                        </ClmnBlk>
                        <ClmnBlk>
                          <ClmnBlkProps>
                            <FCPT>0</FCPT>
                            <FCN>11</FCN>
                            <LCPT>0</LCPT>
                            <LCN>11</LCN>
                          </ClmnBlkProps>
                          <ClmnBlkPts>
                            <ClmnBlkPt>
                              <ClmnBlkPtProps>
                                <CBPT>5</CBPT>
                                <ST>6</ST>
                                <SON>45</SON>
                                <VOFFF><![CDATA[Red +]]></VOFFF>
                              </ClmnBlkPtProps>
                            </ClmnBlkPt>
                          </ClmnBlkPts>
                        </ClmnBlk>
                        <ClmnBlk>
                          <ClmnBlkProps>
                            <FCPT>0</FCPT>
                            <FCN>12</FCN>
                            <LCPT>0</LCPT>
                            <LCN>12</LCN>
                          </ClmnBlkProps>
                          <ClmnBlkPts>
                            <ClmnBlkPt>
                              <ClmnBlkPtProps>
                                <CBPT>5</CBPT>
                                <ST>6</ST>
                                <SON>45</SON>
                                <VOFFF><![CDATA[Red -]]></VOFFF>
                              </ClmnBlkPtProps>
                            </ClmnBlkPt>
                          </ClmnBlkPts>
                        </ClmnBlk>
                        <ClmnBlk>
                          <ClmnBlkProps>
                            <FCPT>0</FCPT>
                            <FCN>13</FCN>
                            <LCPT>0</LCPT>
                            <LCN>13</LCN>
                          </ClmnBlkProps>
                          <ClmnBlkPts>
                            <ClmnBlkPt>
                              <ClmnBlkPtProps>
                                <CBPT>5</CBPT>
                                <ST>6</ST>
                                <SON>45</SON>
                                <VOFFF><![CDATA[Blue]]></VOFFF>
                              </ClmnBlkPtProps>
                            </ClmnBlkPt>
                          </ClmnBlkPts>
                        </ClmnBlk>
                      </ClmnBlks>
                      <TtlCtg/>
                    </Elmt>
                    <Elmt>
                      <ElmtProps>
                        <CPT>2</CPT>
                      </ElmtProps>
                      <ClmnBlks>
                        <ClmnBlk>
                          <ClmnBlkProps>
                            <FCPT>0</FCPT>
                            <FCN>2</FCN>
                            <LCPT>0</LCPT>
                            <LCN>2</LCN>
                          </ClmnBlkProps>
                          <ClmnBlkPts>
                            <ClmnBlkPt>
                              <ClmnBlkPtProps>
                                <CBPT>5</CBPT>
                                <ST>6</ST>
                                <VOFFF><![CDATA[=§A¿0,1,0,1,62,4,1,-1,0,0,FALSE,FALSE§Z¿]]></VOFFF>
                              </ClmnBlkPtProps>
                            </ClmnBlkPt>
                          </ClmnBlkPts>
                        </ClmnBlk>
                        <ClmnBlk>
                          <ClmnBlkProps>
                            <FCPT>0</FCPT>
                            <FCN>5</FCN>
                            <LCPT>0</LCPT>
                            <LCN>5</LCN>
                          </ClmnBlkProps>
                          <ClmnBlkPts>
                            <ClmnBlkPt>
                              <ClmnBlkPtProps>
                                <CBPT>5</CBPT>
                                <ST>18</ST>
                                <SON>22</SON>
                                <VOFFF><![CDATA[=IF(§A¿0,1,0,1,180,1,1,-1,0,0,FALSE,FALSE§Z¿,§A¿0,1,0,1,176,2,1,-1,0,0,FALSE,FALSE§Z¿,0)]]></VOFFF>
                              </ClmnBlkPtProps>
                            </ClmnBlkPt>
                          </ClmnBlkPts>
                        </ClmnBlk>
                        <ClmnBlk>
                          <ClmnBlkProps>
                            <FCPT>0</FCPT>
                            <FCN>6</FCN>
                            <LCPT>0</LCPT>
                            <LCN>6</LCN>
                          </ClmnBlkProps>
                          <ClmnBlkPts>
                            <ClmnBlkPt>
                              <ClmnBlkPtProps>
                                <CBPT>5</CBPT>
                                <ST>18</ST>
                                <SON>22</SON>
                                <VOFFF><![CDATA[=SUM(§A¿0,1,1,1,183,2,1,-1,0,0,FALSE,FALSE,1,183,2,1,-1,0,0,TRUE,FALSE§Z¿)]]></VOFFF>
                              </ClmnBlkPtProps>
                            </ClmnBlkPt>
                          </ClmnBlkPts>
                        </ClmnBlk>
                        <ClmnBlk>
                          <ClmnBlkProps>
                            <FCPT>0</FCPT>
                            <FCN>7</FCN>
                            <LCPT>0</LCPT>
                            <LCN>7</LCN>
                          </ClmnBlkProps>
                          <ClmnBlkPts>
                            <ClmnBlkPt>
                              <ClmnBlkPtProps>
                                <CBPT>5</CBPT>
                                <ST>18</ST>
                                <SON>17</SON>
                                <VOFFF><![CDATA[0]]></VOFFF>
                              </ClmnBlkPtProps>
                            </ClmnBlkPt>
                          </ClmnBlkPts>
                        </ClmnBlk>
                        <ClmnBlk>
                          <ClmnBlkProps>
                            <FCPT>0</FCPT>
                            <FCN>8</FCN>
                            <LCPT>0</LCPT>
                            <LCN>8</LCN>
                          </ClmnBlkProps>
                          <ClmnBlkPts>
                            <ClmnBlkPt>
                              <ClmnBlkPtProps>
                                <CBPT>5</CBPT>
                                <ST>18</ST>
                                <SON>17</SON>
                                <VOFFF><![CDATA[0]]></VOFFF>
                              </ClmnBlkPtProps>
                            </ClmnBlkPt>
                          </ClmnBlkPts>
                        </ClmnBlk>
                        <ClmnBlk>
                          <ClmnBlkProps>
                            <FCPT>0</FCPT>
                            <FCN>9</FCN>
                            <LCPT>0</LCPT>
                            <LCN>9</LCN>
                          </ClmnBlkProps>
                          <ClmnBlkPts>
                            <ClmnBlkPt>
                              <ClmnBlkPtProps>
                                <CBPT>5</CBPT>
                                <ST>18</ST>
                                <SON>17</SON>
                                <VOFFF><![CDATA[0]]></VOFFF>
                              </ClmnBlkPtProps>
                            </ClmnBlkPt>
                          </ClmnBlkPts>
                        </ClmnBlk>
                        <ClmnBlk>
                          <ClmnBlkProps>
                            <FCPT>0</FCPT>
                            <FCN>10</FCN>
                            <LCPT>0</LCPT>
                            <LCN>10</LCN>
                          </ClmnBlkProps>
                          <ClmnBlkPts>
                            <ClmnBlkPt>
                              <ClmnBlkPtProps>
                                <CBPT>5</CBPT>
                                <ST>18</ST>
                                <SON>17</SON>
                                <VOFFF><![CDATA[0]]></VOFFF>
                              </ClmnBlkPtProps>
                            </ClmnBlkPt>
                          </ClmnBlkPts>
                        </ClmnBlk>
                        <ClmnBlk>
                          <ClmnBlkProps>
                            <FCPT>0</FCPT>
                            <FCN>11</FCN>
                            <LCPT>0</LCPT>
                            <LCN>11</LCN>
                          </ClmnBlkProps>
                          <ClmnBlkPts>
                            <ClmnBlkPt>
                              <ClmnBlkPtProps>
                                <CBPT>5</CBPT>
                                <ST>18</ST>
                                <SON>17</SON>
                                <VOFFF><![CDATA[0]]></VOFFF>
                              </ClmnBlkPtProps>
                            </ClmnBlkPt>
                          </ClmnBlkPts>
                        </ClmnBlk>
                        <ClmnBlk>
                          <ClmnBlkProps>
                            <FCPT>0</FCPT>
                            <FCN>12</FCN>
                            <LCPT>0</LCPT>
                            <LCN>12</LCN>
                          </ClmnBlkProps>
                          <ClmnBlkPts>
                            <ClmnBlkPt>
                              <ClmnBlkPtProps>
                                <CBPT>5</CBPT>
                                <ST>18</ST>
                                <SON>17</SON>
                                <VOFFF><![CDATA[0]]></VOFFF>
                              </ClmnBlkPtProps>
                            </ClmnBlkPt>
                          </ClmnBlkPts>
                        </ClmnBlk>
                        <ClmnBlk>
                          <ClmnBlkProps>
                            <FCPT>0</FCPT>
                            <FCN>13</FCN>
                            <LCPT>0</LCPT>
                            <LCN>13</LCN>
                          </ClmnBlkProps>
                          <ClmnBlkPts>
                            <ClmnBlkPt>
                              <ClmnBlkPtProps>
                                <CBPT>5</CBPT>
                                <ST>18</ST>
                                <SON>17</SON>
                                <VOFFF><![CDATA[=§A¿0,1,0,1,183,2,1,-1,0,0,FALSE,FALSE§Z¿]]></VOFFF>
                              </ClmnBlkPtProps>
                            </ClmnBlkPt>
                          </ClmnBlkPts>
                        </ClmnBlk>
                      </ClmnBlks>
                      <TtlCtg/>
                    </Elmt>
                    <Elmt>
                      <ElmtProps>
                        <CPT>2</CPT>
                      </ElmtProps>
                      <ClmnBlks>
                        <ClmnBlk>
                          <ClmnBlkProps>
                            <FCPT>0</FCPT>
                            <FCN>2</FCN>
                            <LCPT>0</LCPT>
                            <LCN>2</LCN>
                          </ClmnBlkProps>
                          <ClmnBlkPts>
                            <ClmnBlkPt>
                              <ClmnBlkPtProps>
                                <CBPT>5</CBPT>
                                <ST>6</ST>
                                <VOFFF><![CDATA[=§A¿0,1,0,1,58,1,1,-1,0,0,FALSE,FALSE§Z¿]]></VOFFF>
                              </ClmnBlkPtProps>
                            </ClmnBlkPt>
                          </ClmnBlkPts>
                        </ClmnBlk>
                        <ClmnBlk>
                          <ClmnBlkProps>
                            <FCPT>0</FCPT>
                            <FCN>5</FCN>
                            <LCPT>0</LCPT>
                            <LCN>5</LCN>
                          </ClmnBlkProps>
                          <ClmnBlkPts>
                            <ClmnBlkPt>
                              <ClmnBlkPtProps>
                                <CBPT>5</CBPT>
                                <ST>18</ST>
                                <SON>22</SON>
                                <VOFFF><![CDATA[=§A¿0,1,0,1,58,3,1,-1,0,0,FALSE,FALSE§Z¿]]></VOFFF>
                              </ClmnBlkPtProps>
                            </ClmnBlkPt>
                          </ClmnBlkPts>
                        </ClmnBlk>
                        <ClmnBlk>
                          <ClmnBlkProps>
                            <FCPT>0</FCPT>
                            <FCN>6</FCN>
                            <LCPT>0</LCPT>
                            <LCN>6</LCN>
                          </ClmnBlkProps>
                          <ClmnBlkPts>
                            <ClmnBlkPt>
                              <ClmnBlkPtProps>
                                <CBPT>5</CBPT>
                                <ST>18</ST>
                                <SON>22</SON>
                                <VOFFF><![CDATA[=SUM(§A¿0,1,1,1,183,2,1,-1,0,0,TRUE,FALSE,1,184,2,1,-1,0,0,FALSE,FALSE§Z¿)]]></VOFFF>
                              </ClmnBlkPtProps>
                            </ClmnBlkPt>
                          </ClmnBlkPts>
                        </ClmnBlk>
                        <ClmnBlk>
                          <ClmnBlkProps>
                            <FCPT>0</FCPT>
                            <FCN>7</FCN>
                            <LCPT>0</LCPT>
                            <LCN>7</LCN>
                          </ClmnBlkProps>
                          <ClmnBlkPts>
                            <ClmnBlkPt>
                              <ClmnBlkPtProps>
                                <CBPT>5</CBPT>
                                <ST>18</ST>
                                <SON>22</SON>
                                <VOFFF><![CDATA[=IF(SIGN(§A¿0,1,0,1,184,3,1,-1,0,0,FALSE,FALSE§Z¿)<>SIGN(OFFSET(§A¿0,1,0,1,184,3,1,-1,0,0,FALSE,FALSE§Z¿,-1,0)),0,&#10;IF(OFFSET(§A¿0,1,0,1,184,3,1,-1,0,0,FALSE,FALSE§Z¿,-1,0)>0,IF(§A¿0,1,0,1,184,2,1,-1,0,0,FALSE,FALSE§Z¿<0,§A¿0,1,0,1,184,3,1,-1,0,0,FALSE,FALSE§Z¿,OFFSET(§A¿0,1,0,1,184,3,1,-1,0,0,FALSE,FALSE§Z¿,-1,0)),0))]]></VOFFF>
                              </ClmnBlkPtProps>
                            </ClmnBlkPt>
                          </ClmnBlkPts>
                        </ClmnBlk>
                        <ClmnBlk>
                          <ClmnBlkProps>
                            <FCPT>0</FCPT>
                            <FCN>8</FCN>
                            <LCPT>0</LCPT>
                            <LCN>8</LCN>
                          </ClmnBlkProps>
                          <ClmnBlkPts>
                            <ClmnBlkPt>
                              <ClmnBlkPtProps>
                                <CBPT>5</CBPT>
                                <ST>18</ST>
                                <SON>22</SON>
                                <VOFFF><![CDATA[=IF(§A¿0,1,0,1,184,2,1,-1,0,0,FALSE,FALSE§Z¿>0,&#10;IF(§A¿0,1,0,1,184,3,1,-1,0,0,FALSE,FALSE§Z¿=0,-MIN(§A¿0,1,0,1,184,2,1,-1,0,0,FALSE,FALSE§Z¿,0),&#10;IF(SIGN(OFFSET(§A¿0,1,0,1,184,3,1,-1,0,0,FALSE,FALSE§Z¿,-1,0))<>SIGN(§A¿0,1,0,1,184,3,1,-1,0,0,FALSE,FALSE§Z¿),MAX(OFFSET(§A¿0,1,0,1,184,3,1,-1,0,0,FALSE,FALSE§Z¿,-1,0),§A¿0,1,0,1,184,3,1,-1,0,0,FALSE,FALSE§Z¿),&#10;IF(§A¿0,1,0,1,184,3,1,-1,0,0,FALSE,FALSE§Z¿>0,ABS(§A¿0,1,0,1,184,2,1,-1,0,0,FALSE,FALSE§Z¿),0))),&#10;0)]]></VOFFF>
                              </ClmnBlkPtProps>
                            </ClmnBlkPt>
                          </ClmnBlkPts>
                        </ClmnBlk>
                        <ClmnBlk>
                          <ClmnBlkProps>
                            <FCPT>0</FCPT>
                            <FCN>9</FCN>
                            <LCPT>0</LCPT>
                            <LCN>9</LCN>
                          </ClmnBlkProps>
                          <ClmnBlkPts>
                            <ClmnBlkPt>
                              <ClmnBlkPtProps>
                                <CBPT>5</CBPT>
                                <ST>18</ST>
                                <SON>22</SON>
                                <VOFFF><![CDATA[=IF(SIGN(OFFSET(§A¿0,1,0,1,184,3,1,-1,0,0,FALSE,FALSE§Z¿,-1,0))<>SIGN(§A¿0,1,0,1,184,3,1,-1,0,0,FALSE,FALSE§Z¿),0,&#10;IF(OFFSET(§A¿0,1,0,1,184,3,1,-1,0,0,FALSE,FALSE§Z¿,-1,0)<0,IF(§A¿0,1,0,1,184,2,1,-1,0,0,FALSE,FALSE§Z¿>0,§A¿0,1,0,1,184,3,1,-1,0,0,FALSE,FALSE§Z¿,OFFSET(§A¿0,1,0,1,184,3,1,-1,0,0,FALSE,FALSE§Z¿,-1,0)),0))]]></VOFFF>
                              </ClmnBlkPtProps>
                            </ClmnBlkPt>
                          </ClmnBlkPts>
                        </ClmnBlk>
                        <ClmnBlk>
                          <ClmnBlkProps>
                            <FCPT>0</FCPT>
                            <FCN>10</FCN>
                            <LCPT>0</LCPT>
                            <LCN>10</LCN>
                          </ClmnBlkProps>
                          <ClmnBlkPts>
                            <ClmnBlkPt>
                              <ClmnBlkPtProps>
                                <CBPT>5</CBPT>
                                <ST>18</ST>
                                <SON>22</SON>
                                <VOFFF><![CDATA[=IF(§A¿0,1,0,1,184,2,1,-1,0,0,FALSE,FALSE§Z¿>0,&#10;IF(§A¿0,1,0,1,184,3,1,-1,0,0,FALSE,FALSE§Z¿=0,-MAX(§A¿0,1,0,1,184,2,1,-1,0,0,FALSE,FALSE§Z¿,0),&#10;IF(SIGN(OFFSET(§A¿0,1,0,1,184,3,1,-1,0,0,FALSE,FALSE§Z¿,-1,0))<>SIGN(§A¿0,1,0,1,184,3,1,-1,0,0,FALSE,FALSE§Z¿),MIN(OFFSET(§A¿0,1,0,1,184,3,1,-1,0,0,FALSE,FALSE§Z¿,-1,0),§A¿0,1,0,1,184,3,1,-1,0,0,FALSE,FALSE§Z¿),&#10;IF(§A¿0,1,0,1,184,3,1,-1,0,0,FALSE,FALSE§Z¿<0,-ABS(§A¿0,1,0,1,184,2,1,-1,0,0,FALSE,FALSE§Z¿),0))),&#10;0)]]></VOFFF>
                              </ClmnBlkPtProps>
                            </ClmnBlkPt>
                          </ClmnBlkPts>
                        </ClmnBlk>
                        <ClmnBlk>
                          <ClmnBlkProps>
                            <FCPT>0</FCPT>
                            <FCN>11</FCN>
                            <LCPT>0</LCPT>
                            <LCN>11</LCN>
                          </ClmnBlkProps>
                          <ClmnBlkPts>
                            <ClmnBlkPt>
                              <ClmnBlkPtProps>
                                <CBPT>5</CBPT>
                                <ST>18</ST>
                                <SON>22</SON>
                                <VOFFF><![CDATA[=IF(§A¿0,1,0,1,184,2,1,-1,0,0,FALSE,FALSE§Z¿<0,&#10;IF(§A¿0,1,0,1,184,3,1,-1,0,0,FALSE,FALSE§Z¿=0,-MIN(§A¿0,1,0,1,184,2,1,-1,0,0,FALSE,FALSE§Z¿,0),&#10;IF(SIGN(OFFSET(§A¿0,1,0,1,184,3,1,-1,0,0,FALSE,FALSE§Z¿,-1,0))<>SIGN(§A¿0,1,0,1,184,3,1,-1,0,0,FALSE,FALSE§Z¿),MAX(OFFSET(§A¿0,1,0,1,184,3,1,-1,0,0,FALSE,FALSE§Z¿,-1,0),§A¿0,1,0,1,184,3,1,-1,0,0,FALSE,FALSE§Z¿),&#10;IF(§A¿0,1,0,1,184,3,1,-1,0,0,FALSE,FALSE§Z¿>0,ABS(§A¿0,1,0,1,184,2,1,-1,0,0,FALSE,FALSE§Z¿),0))),&#10;0)]]></VOFFF>
                              </ClmnBlkPtProps>
                            </ClmnBlkPt>
                          </ClmnBlkPts>
                        </ClmnBlk>
                        <ClmnBlk>
                          <ClmnBlkProps>
                            <FCPT>0</FCPT>
                            <FCN>12</FCN>
                            <LCPT>0</LCPT>
                            <LCN>12</LCN>
                          </ClmnBlkProps>
                          <ClmnBlkPts>
                            <ClmnBlkPt>
                              <ClmnBlkPtProps>
                                <CBPT>5</CBPT>
                                <ST>18</ST>
                                <SON>22</SON>
                                <VOFFF><![CDATA[=IF(§A¿0,1,0,1,184,2,1,-1,0,0,FALSE,FALSE§Z¿<0,&#10;IF(§A¿0,1,0,1,184,3,1,-1,0,0,FALSE,FALSE§Z¿=0,-MAX(§A¿0,1,0,1,184,2,1,-1,0,0,FALSE,FALSE§Z¿,0),&#10;IF(SIGN(OFFSET(§A¿0,1,0,1,184,3,1,-1,0,0,FALSE,FALSE§Z¿,-1,0))<>SIGN(§A¿0,1,0,1,184,3,1,-1,0,0,FALSE,FALSE§Z¿),MIN(OFFSET(§A¿0,1,0,1,184,3,1,-1,0,0,FALSE,FALSE§Z¿,-1,0),§A¿0,1,0,1,184,3,1,-1,0,0,FALSE,FALSE§Z¿),&#10;IF(§A¿0,1,0,1,184,3,1,-1,0,0,FALSE,FALSE§Z¿<0,-ABS(§A¿0,1,0,1,184,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59,1,1,-1,0,0,FALSE,FALSE§Z¿]]></VOFFF>
                              </ClmnBlkPtProps>
                            </ClmnBlkPt>
                          </ClmnBlkPts>
                        </ClmnBlk>
                        <ClmnBlk>
                          <ClmnBlkProps>
                            <FCPT>0</FCPT>
                            <FCN>5</FCN>
                            <LCPT>0</LCPT>
                            <LCN>5</LCN>
                          </ClmnBlkProps>
                          <ClmnBlkPts>
                            <ClmnBlkPt>
                              <ClmnBlkPtProps>
                                <CBPT>5</CBPT>
                                <ST>18</ST>
                                <SON>22</SON>
                                <VOFFF><![CDATA[=§A¿0,1,0,1,59,3,1,-1,0,0,FALSE,FALSE§Z¿]]></VOFFF>
                              </ClmnBlkPtProps>
                            </ClmnBlkPt>
                          </ClmnBlkPts>
                        </ClmnBlk>
                        <ClmnBlk>
                          <ClmnBlkProps>
                            <FCPT>0</FCPT>
                            <FCN>6</FCN>
                            <LCPT>0</LCPT>
                            <LCN>6</LCN>
                          </ClmnBlkProps>
                          <ClmnBlkPts>
                            <ClmnBlkPt>
                              <ClmnBlkPtProps>
                                <CBPT>5</CBPT>
                                <ST>18</ST>
                                <SON>22</SON>
                                <VOFFF><![CDATA[=SUM(§A¿0,1,1,1,183,2,1,-1,0,0,TRUE,FALSE,1,185,2,1,-1,0,0,FALSE,FALSE§Z¿)]]></VOFFF>
                              </ClmnBlkPtProps>
                            </ClmnBlkPt>
                          </ClmnBlkPts>
                        </ClmnBlk>
                        <ClmnBlk>
                          <ClmnBlkProps>
                            <FCPT>0</FCPT>
                            <FCN>7</FCN>
                            <LCPT>0</LCPT>
                            <LCN>7</LCN>
                          </ClmnBlkProps>
                          <ClmnBlkPts>
                            <ClmnBlkPt>
                              <ClmnBlkPtProps>
                                <CBPT>5</CBPT>
                                <ST>18</ST>
                                <SON>22</SON>
                                <VOFFF><![CDATA[=IF(SIGN(§A¿0,1,0,1,185,3,1,-1,0,0,FALSE,FALSE§Z¿)<>SIGN(OFFSET(§A¿0,1,0,1,185,3,1,-1,0,0,FALSE,FALSE§Z¿,-1,0)),0,&#10;IF(OFFSET(§A¿0,1,0,1,185,3,1,-1,0,0,FALSE,FALSE§Z¿,-1,0)>0,IF(§A¿0,1,0,1,185,2,1,-1,0,0,FALSE,FALSE§Z¿<0,§A¿0,1,0,1,185,3,1,-1,0,0,FALSE,FALSE§Z¿,OFFSET(§A¿0,1,0,1,185,3,1,-1,0,0,FALSE,FALSE§Z¿,-1,0)),0))]]></VOFFF>
                              </ClmnBlkPtProps>
                            </ClmnBlkPt>
                          </ClmnBlkPts>
                        </ClmnBlk>
                        <ClmnBlk>
                          <ClmnBlkProps>
                            <FCPT>0</FCPT>
                            <FCN>8</FCN>
                            <LCPT>0</LCPT>
                            <LCN>8</LCN>
                          </ClmnBlkProps>
                          <ClmnBlkPts>
                            <ClmnBlkPt>
                              <ClmnBlkPtProps>
                                <CBPT>5</CBPT>
                                <ST>18</ST>
                                <SON>22</SON>
                                <VOFFF><![CDATA[=IF(§A¿0,1,0,1,185,2,1,-1,0,0,FALSE,FALSE§Z¿>0,&#10;IF(§A¿0,1,0,1,185,3,1,-1,0,0,FALSE,FALSE§Z¿=0,-MIN(§A¿0,1,0,1,185,2,1,-1,0,0,FALSE,FALSE§Z¿,0),&#10;IF(SIGN(OFFSET(§A¿0,1,0,1,185,3,1,-1,0,0,FALSE,FALSE§Z¿,-1,0))<>SIGN(§A¿0,1,0,1,185,3,1,-1,0,0,FALSE,FALSE§Z¿),MAX(OFFSET(§A¿0,1,0,1,185,3,1,-1,0,0,FALSE,FALSE§Z¿,-1,0),§A¿0,1,0,1,185,3,1,-1,0,0,FALSE,FALSE§Z¿),&#10;IF(§A¿0,1,0,1,185,3,1,-1,0,0,FALSE,FALSE§Z¿>0,ABS(§A¿0,1,0,1,185,2,1,-1,0,0,FALSE,FALSE§Z¿),0))),&#10;0)]]></VOFFF>
                              </ClmnBlkPtProps>
                            </ClmnBlkPt>
                          </ClmnBlkPts>
                        </ClmnBlk>
                        <ClmnBlk>
                          <ClmnBlkProps>
                            <FCPT>0</FCPT>
                            <FCN>9</FCN>
                            <LCPT>0</LCPT>
                            <LCN>9</LCN>
                          </ClmnBlkProps>
                          <ClmnBlkPts>
                            <ClmnBlkPt>
                              <ClmnBlkPtProps>
                                <CBPT>5</CBPT>
                                <ST>18</ST>
                                <SON>22</SON>
                                <VOFFF><![CDATA[=IF(SIGN(OFFSET(§A¿0,1,0,1,185,3,1,-1,0,0,FALSE,FALSE§Z¿,-1,0))<>SIGN(§A¿0,1,0,1,185,3,1,-1,0,0,FALSE,FALSE§Z¿),0,&#10;IF(OFFSET(§A¿0,1,0,1,185,3,1,-1,0,0,FALSE,FALSE§Z¿,-1,0)<0,IF(§A¿0,1,0,1,185,2,1,-1,0,0,FALSE,FALSE§Z¿>0,§A¿0,1,0,1,185,3,1,-1,0,0,FALSE,FALSE§Z¿,OFFSET(§A¿0,1,0,1,185,3,1,-1,0,0,FALSE,FALSE§Z¿,-1,0)),0))]]></VOFFF>
                              </ClmnBlkPtProps>
                            </ClmnBlkPt>
                          </ClmnBlkPts>
                        </ClmnBlk>
                        <ClmnBlk>
                          <ClmnBlkProps>
                            <FCPT>0</FCPT>
                            <FCN>10</FCN>
                            <LCPT>0</LCPT>
                            <LCN>10</LCN>
                          </ClmnBlkProps>
                          <ClmnBlkPts>
                            <ClmnBlkPt>
                              <ClmnBlkPtProps>
                                <CBPT>5</CBPT>
                                <ST>18</ST>
                                <SON>22</SON>
                                <VOFFF><![CDATA[=IF(§A¿0,1,0,1,185,2,1,-1,0,0,FALSE,FALSE§Z¿>0,&#10;IF(§A¿0,1,0,1,185,3,1,-1,0,0,FALSE,FALSE§Z¿=0,-MAX(§A¿0,1,0,1,185,2,1,-1,0,0,FALSE,FALSE§Z¿,0),&#10;IF(SIGN(OFFSET(§A¿0,1,0,1,185,3,1,-1,0,0,FALSE,FALSE§Z¿,-1,0))<>SIGN(§A¿0,1,0,1,185,3,1,-1,0,0,FALSE,FALSE§Z¿),MIN(OFFSET(§A¿0,1,0,1,185,3,1,-1,0,0,FALSE,FALSE§Z¿,-1,0),§A¿0,1,0,1,185,3,1,-1,0,0,FALSE,FALSE§Z¿),&#10;IF(§A¿0,1,0,1,185,3,1,-1,0,0,FALSE,FALSE§Z¿<0,-ABS(§A¿0,1,0,1,185,2,1,-1,0,0,FALSE,FALSE§Z¿),0))),&#10;0)]]></VOFFF>
                              </ClmnBlkPtProps>
                            </ClmnBlkPt>
                          </ClmnBlkPts>
                        </ClmnBlk>
                        <ClmnBlk>
                          <ClmnBlkProps>
                            <FCPT>0</FCPT>
                            <FCN>11</FCN>
                            <LCPT>0</LCPT>
                            <LCN>11</LCN>
                          </ClmnBlkProps>
                          <ClmnBlkPts>
                            <ClmnBlkPt>
                              <ClmnBlkPtProps>
                                <CBPT>5</CBPT>
                                <ST>18</ST>
                                <SON>22</SON>
                                <VOFFF><![CDATA[=IF(§A¿0,1,0,1,185,2,1,-1,0,0,FALSE,FALSE§Z¿<0,&#10;IF(§A¿0,1,0,1,185,3,1,-1,0,0,FALSE,FALSE§Z¿=0,-MIN(§A¿0,1,0,1,185,2,1,-1,0,0,FALSE,FALSE§Z¿,0),&#10;IF(SIGN(OFFSET(§A¿0,1,0,1,185,3,1,-1,0,0,FALSE,FALSE§Z¿,-1,0))<>SIGN(§A¿0,1,0,1,185,3,1,-1,0,0,FALSE,FALSE§Z¿),MAX(OFFSET(§A¿0,1,0,1,185,3,1,-1,0,0,FALSE,FALSE§Z¿,-1,0),§A¿0,1,0,1,185,3,1,-1,0,0,FALSE,FALSE§Z¿),&#10;IF(§A¿0,1,0,1,185,3,1,-1,0,0,FALSE,FALSE§Z¿>0,ABS(§A¿0,1,0,1,185,2,1,-1,0,0,FALSE,FALSE§Z¿),0))),&#10;0)]]></VOFFF>
                              </ClmnBlkPtProps>
                            </ClmnBlkPt>
                          </ClmnBlkPts>
                        </ClmnBlk>
                        <ClmnBlk>
                          <ClmnBlkProps>
                            <FCPT>0</FCPT>
                            <FCN>12</FCN>
                            <LCPT>0</LCPT>
                            <LCN>12</LCN>
                          </ClmnBlkProps>
                          <ClmnBlkPts>
                            <ClmnBlkPt>
                              <ClmnBlkPtProps>
                                <CBPT>5</CBPT>
                                <ST>18</ST>
                                <SON>22</SON>
                                <VOFFF><![CDATA[=IF(§A¿0,1,0,1,185,2,1,-1,0,0,FALSE,FALSE§Z¿<0,&#10;IF(§A¿0,1,0,1,185,3,1,-1,0,0,FALSE,FALSE§Z¿=0,-MAX(§A¿0,1,0,1,185,2,1,-1,0,0,FALSE,FALSE§Z¿,0),&#10;IF(SIGN(OFFSET(§A¿0,1,0,1,185,3,1,-1,0,0,FALSE,FALSE§Z¿,-1,0))<>SIGN(§A¿0,1,0,1,185,3,1,-1,0,0,FALSE,FALSE§Z¿),MIN(OFFSET(§A¿0,1,0,1,185,3,1,-1,0,0,FALSE,FALSE§Z¿,-1,0),§A¿0,1,0,1,185,3,1,-1,0,0,FALSE,FALSE§Z¿),&#10;IF(§A¿0,1,0,1,185,3,1,-1,0,0,FALSE,FALSE§Z¿<0,-ABS(§A¿0,1,0,1,185,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0,1,1,-1,0,0,FALSE,FALSE§Z¿]]></VOFFF>
                              </ClmnBlkPtProps>
                            </ClmnBlkPt>
                          </ClmnBlkPts>
                        </ClmnBlk>
                        <ClmnBlk>
                          <ClmnBlkProps>
                            <FCPT>0</FCPT>
                            <FCN>5</FCN>
                            <LCPT>0</LCPT>
                            <LCN>5</LCN>
                          </ClmnBlkProps>
                          <ClmnBlkPts>
                            <ClmnBlkPt>
                              <ClmnBlkPtProps>
                                <CBPT>5</CBPT>
                                <ST>18</ST>
                                <SON>22</SON>
                                <VOFFF><![CDATA[=§A¿0,1,0,1,60,3,1,-1,0,0,FALSE,FALSE§Z¿]]></VOFFF>
                              </ClmnBlkPtProps>
                            </ClmnBlkPt>
                          </ClmnBlkPts>
                        </ClmnBlk>
                        <ClmnBlk>
                          <ClmnBlkProps>
                            <FCPT>0</FCPT>
                            <FCN>6</FCN>
                            <LCPT>0</LCPT>
                            <LCN>6</LCN>
                          </ClmnBlkProps>
                          <ClmnBlkPts>
                            <ClmnBlkPt>
                              <ClmnBlkPtProps>
                                <CBPT>5</CBPT>
                                <ST>18</ST>
                                <SON>22</SON>
                                <VOFFF><![CDATA[=SUM(§A¿0,1,1,1,183,2,1,-1,0,0,TRUE,FALSE,1,186,2,1,-1,0,0,FALSE,FALSE§Z¿)]]></VOFFF>
                              </ClmnBlkPtProps>
                            </ClmnBlkPt>
                          </ClmnBlkPts>
                        </ClmnBlk>
                        <ClmnBlk>
                          <ClmnBlkProps>
                            <FCPT>0</FCPT>
                            <FCN>7</FCN>
                            <LCPT>0</LCPT>
                            <LCN>7</LCN>
                          </ClmnBlkProps>
                          <ClmnBlkPts>
                            <ClmnBlkPt>
                              <ClmnBlkPtProps>
                                <CBPT>5</CBPT>
                                <ST>18</ST>
                                <SON>22</SON>
                                <VOFFF><![CDATA[=IF(SIGN(§A¿0,1,0,1,186,3,1,-1,0,0,FALSE,FALSE§Z¿)<>SIGN(OFFSET(§A¿0,1,0,1,186,3,1,-1,0,0,FALSE,FALSE§Z¿,-1,0)),0,&#10;IF(OFFSET(§A¿0,1,0,1,186,3,1,-1,0,0,FALSE,FALSE§Z¿,-1,0)>0,IF(§A¿0,1,0,1,186,2,1,-1,0,0,FALSE,FALSE§Z¿<0,§A¿0,1,0,1,186,3,1,-1,0,0,FALSE,FALSE§Z¿,OFFSET(§A¿0,1,0,1,186,3,1,-1,0,0,FALSE,FALSE§Z¿,-1,0)),0))]]></VOFFF>
                              </ClmnBlkPtProps>
                            </ClmnBlkPt>
                          </ClmnBlkPts>
                        </ClmnBlk>
                        <ClmnBlk>
                          <ClmnBlkProps>
                            <FCPT>0</FCPT>
                            <FCN>8</FCN>
                            <LCPT>0</LCPT>
                            <LCN>8</LCN>
                          </ClmnBlkProps>
                          <ClmnBlkPts>
                            <ClmnBlkPt>
                              <ClmnBlkPtProps>
                                <CBPT>5</CBPT>
                                <ST>18</ST>
                                <SON>22</SON>
                                <VOFFF><![CDATA[=IF(§A¿0,1,0,1,186,2,1,-1,0,0,FALSE,FALSE§Z¿>0,&#10;IF(§A¿0,1,0,1,186,3,1,-1,0,0,FALSE,FALSE§Z¿=0,-MIN(§A¿0,1,0,1,186,2,1,-1,0,0,FALSE,FALSE§Z¿,0),&#10;IF(SIGN(OFFSET(§A¿0,1,0,1,186,3,1,-1,0,0,FALSE,FALSE§Z¿,-1,0))<>SIGN(§A¿0,1,0,1,186,3,1,-1,0,0,FALSE,FALSE§Z¿),MAX(OFFSET(§A¿0,1,0,1,186,3,1,-1,0,0,FALSE,FALSE§Z¿,-1,0),§A¿0,1,0,1,186,3,1,-1,0,0,FALSE,FALSE§Z¿),&#10;IF(§A¿0,1,0,1,186,3,1,-1,0,0,FALSE,FALSE§Z¿>0,ABS(§A¿0,1,0,1,186,2,1,-1,0,0,FALSE,FALSE§Z¿),0))),&#10;0)]]></VOFFF>
                              </ClmnBlkPtProps>
                            </ClmnBlkPt>
                          </ClmnBlkPts>
                        </ClmnBlk>
                        <ClmnBlk>
                          <ClmnBlkProps>
                            <FCPT>0</FCPT>
                            <FCN>9</FCN>
                            <LCPT>0</LCPT>
                            <LCN>9</LCN>
                          </ClmnBlkProps>
                          <ClmnBlkPts>
                            <ClmnBlkPt>
                              <ClmnBlkPtProps>
                                <CBPT>5</CBPT>
                                <ST>18</ST>
                                <SON>22</SON>
                                <VOFFF><![CDATA[=IF(SIGN(OFFSET(§A¿0,1,0,1,186,3,1,-1,0,0,FALSE,FALSE§Z¿,-1,0))<>SIGN(§A¿0,1,0,1,186,3,1,-1,0,0,FALSE,FALSE§Z¿),0,&#10;IF(OFFSET(§A¿0,1,0,1,186,3,1,-1,0,0,FALSE,FALSE§Z¿,-1,0)<0,IF(§A¿0,1,0,1,186,2,1,-1,0,0,FALSE,FALSE§Z¿>0,§A¿0,1,0,1,186,3,1,-1,0,0,FALSE,FALSE§Z¿,OFFSET(§A¿0,1,0,1,186,3,1,-1,0,0,FALSE,FALSE§Z¿,-1,0)),0))]]></VOFFF>
                              </ClmnBlkPtProps>
                            </ClmnBlkPt>
                          </ClmnBlkPts>
                        </ClmnBlk>
                        <ClmnBlk>
                          <ClmnBlkProps>
                            <FCPT>0</FCPT>
                            <FCN>10</FCN>
                            <LCPT>0</LCPT>
                            <LCN>10</LCN>
                          </ClmnBlkProps>
                          <ClmnBlkPts>
                            <ClmnBlkPt>
                              <ClmnBlkPtProps>
                                <CBPT>5</CBPT>
                                <ST>18</ST>
                                <SON>22</SON>
                                <VOFFF><![CDATA[=IF(§A¿0,1,0,1,186,2,1,-1,0,0,FALSE,FALSE§Z¿>0,&#10;IF(§A¿0,1,0,1,186,3,1,-1,0,0,FALSE,FALSE§Z¿=0,-MAX(§A¿0,1,0,1,186,2,1,-1,0,0,FALSE,FALSE§Z¿,0),&#10;IF(SIGN(OFFSET(§A¿0,1,0,1,186,3,1,-1,0,0,FALSE,FALSE§Z¿,-1,0))<>SIGN(§A¿0,1,0,1,186,3,1,-1,0,0,FALSE,FALSE§Z¿),MIN(OFFSET(§A¿0,1,0,1,186,3,1,-1,0,0,FALSE,FALSE§Z¿,-1,0),§A¿0,1,0,1,186,3,1,-1,0,0,FALSE,FALSE§Z¿),&#10;IF(§A¿0,1,0,1,186,3,1,-1,0,0,FALSE,FALSE§Z¿<0,-ABS(§A¿0,1,0,1,186,2,1,-1,0,0,FALSE,FALSE§Z¿),0))),&#10;0)]]></VOFFF>
                              </ClmnBlkPtProps>
                            </ClmnBlkPt>
                          </ClmnBlkPts>
                        </ClmnBlk>
                        <ClmnBlk>
                          <ClmnBlkProps>
                            <FCPT>0</FCPT>
                            <FCN>11</FCN>
                            <LCPT>0</LCPT>
                            <LCN>11</LCN>
                          </ClmnBlkProps>
                          <ClmnBlkPts>
                            <ClmnBlkPt>
                              <ClmnBlkPtProps>
                                <CBPT>5</CBPT>
                                <ST>18</ST>
                                <SON>22</SON>
                                <VOFFF><![CDATA[=IF(§A¿0,1,0,1,186,2,1,-1,0,0,FALSE,FALSE§Z¿<0,&#10;IF(§A¿0,1,0,1,186,3,1,-1,0,0,FALSE,FALSE§Z¿=0,-MIN(§A¿0,1,0,1,186,2,1,-1,0,0,FALSE,FALSE§Z¿,0),&#10;IF(SIGN(OFFSET(§A¿0,1,0,1,186,3,1,-1,0,0,FALSE,FALSE§Z¿,-1,0))<>SIGN(§A¿0,1,0,1,186,3,1,-1,0,0,FALSE,FALSE§Z¿),MAX(OFFSET(§A¿0,1,0,1,186,3,1,-1,0,0,FALSE,FALSE§Z¿,-1,0),§A¿0,1,0,1,186,3,1,-1,0,0,FALSE,FALSE§Z¿),&#10;IF(§A¿0,1,0,1,186,3,1,-1,0,0,FALSE,FALSE§Z¿>0,ABS(§A¿0,1,0,1,186,2,1,-1,0,0,FALSE,FALSE§Z¿),0))),&#10;0)]]></VOFFF>
                              </ClmnBlkPtProps>
                            </ClmnBlkPt>
                          </ClmnBlkPts>
                        </ClmnBlk>
                        <ClmnBlk>
                          <ClmnBlkProps>
                            <FCPT>0</FCPT>
                            <FCN>12</FCN>
                            <LCPT>0</LCPT>
                            <LCN>12</LCN>
                          </ClmnBlkProps>
                          <ClmnBlkPts>
                            <ClmnBlkPt>
                              <ClmnBlkPtProps>
                                <CBPT>5</CBPT>
                                <ST>18</ST>
                                <SON>22</SON>
                                <VOFFF><![CDATA[=IF(§A¿0,1,0,1,186,2,1,-1,0,0,FALSE,FALSE§Z¿<0,&#10;IF(§A¿0,1,0,1,186,3,1,-1,0,0,FALSE,FALSE§Z¿=0,-MAX(§A¿0,1,0,1,186,2,1,-1,0,0,FALSE,FALSE§Z¿,0),&#10;IF(SIGN(OFFSET(§A¿0,1,0,1,186,3,1,-1,0,0,FALSE,FALSE§Z¿,-1,0))<>SIGN(§A¿0,1,0,1,186,3,1,-1,0,0,FALSE,FALSE§Z¿),MIN(OFFSET(§A¿0,1,0,1,186,3,1,-1,0,0,FALSE,FALSE§Z¿,-1,0),§A¿0,1,0,1,186,3,1,-1,0,0,FALSE,FALSE§Z¿),&#10;IF(§A¿0,1,0,1,186,3,1,-1,0,0,FALSE,FALSE§Z¿<0,-ABS(§A¿0,1,0,1,186,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2,1,1,-1,0,0,FALSE,FALSE§Z¿]]></VOFFF>
                              </ClmnBlkPtProps>
                            </ClmnBlkPt>
                          </ClmnBlkPts>
                        </ClmnBlk>
                        <ClmnBlk>
                          <ClmnBlkProps>
                            <FCPT>0</FCPT>
                            <FCN>5</FCN>
                            <LCPT>0</LCPT>
                            <LCN>5</LCN>
                          </ClmnBlkProps>
                          <ClmnBlkPts>
                            <ClmnBlkPt>
                              <ClmnBlkPtProps>
                                <CBPT>5</CBPT>
                                <ST>18</ST>
                                <SON>22</SON>
                                <VOFFF><![CDATA[=§A¿0,1,0,1,62,3,1,-1,0,0,FALSE,FALSE§Z¿]]></VOFFF>
                              </ClmnBlkPtProps>
                            </ClmnBlkPt>
                          </ClmnBlkPts>
                        </ClmnBlk>
                        <ClmnBlk>
                          <ClmnBlkProps>
                            <FCPT>0</FCPT>
                            <FCN>6</FCN>
                            <LCPT>0</LCPT>
                            <LCN>6</LCN>
                          </ClmnBlkProps>
                          <ClmnBlkPts>
                            <ClmnBlkPt>
                              <ClmnBlkPtProps>
                                <CBPT>5</CBPT>
                                <ST>18</ST>
                                <SON>22</SON>
                                <VOFFF><![CDATA[=SUM(§A¿0,1,1,1,183,2,1,-1,0,0,TRUE,FALSE,1,187,2,1,-1,0,0,FALSE,FALSE§Z¿)]]></VOFFF>
                              </ClmnBlkPtProps>
                            </ClmnBlkPt>
                          </ClmnBlkPts>
                        </ClmnBlk>
                        <ClmnBlk>
                          <ClmnBlkProps>
                            <FCPT>0</FCPT>
                            <FCN>7</FCN>
                            <LCPT>0</LCPT>
                            <LCN>7</LCN>
                          </ClmnBlkProps>
                          <ClmnBlkPts>
                            <ClmnBlkPt>
                              <ClmnBlkPtProps>
                                <CBPT>5</CBPT>
                                <ST>18</ST>
                                <SON>22</SON>
                                <VOFFF><![CDATA[=IF(SIGN(§A¿0,1,0,1,187,3,1,-1,0,0,FALSE,FALSE§Z¿)<>SIGN(OFFSET(§A¿0,1,0,1,187,3,1,-1,0,0,FALSE,FALSE§Z¿,-1,0)),0,&#10;IF(OFFSET(§A¿0,1,0,1,187,3,1,-1,0,0,FALSE,FALSE§Z¿,-1,0)>0,IF(§A¿0,1,0,1,187,2,1,-1,0,0,FALSE,FALSE§Z¿<0,§A¿0,1,0,1,187,3,1,-1,0,0,FALSE,FALSE§Z¿,OFFSET(§A¿0,1,0,1,187,3,1,-1,0,0,FALSE,FALSE§Z¿,-1,0)),0))]]></VOFFF>
                              </ClmnBlkPtProps>
                            </ClmnBlkPt>
                          </ClmnBlkPts>
                        </ClmnBlk>
                        <ClmnBlk>
                          <ClmnBlkProps>
                            <FCPT>0</FCPT>
                            <FCN>8</FCN>
                            <LCPT>0</LCPT>
                            <LCN>8</LCN>
                          </ClmnBlkProps>
                          <ClmnBlkPts>
                            <ClmnBlkPt>
                              <ClmnBlkPtProps>
                                <CBPT>5</CBPT>
                                <ST>18</ST>
                                <SON>22</SON>
                                <VOFFF><![CDATA[=IF(§A¿0,1,0,1,187,2,1,-1,0,0,FALSE,FALSE§Z¿>0,&#10;IF(§A¿0,1,0,1,187,3,1,-1,0,0,FALSE,FALSE§Z¿=0,-MIN(§A¿0,1,0,1,187,2,1,-1,0,0,FALSE,FALSE§Z¿,0),&#10;IF(SIGN(OFFSET(§A¿0,1,0,1,187,3,1,-1,0,0,FALSE,FALSE§Z¿,-1,0))<>SIGN(§A¿0,1,0,1,187,3,1,-1,0,0,FALSE,FALSE§Z¿),MAX(OFFSET(§A¿0,1,0,1,187,3,1,-1,0,0,FALSE,FALSE§Z¿,-1,0),§A¿0,1,0,1,187,3,1,-1,0,0,FALSE,FALSE§Z¿),&#10;IF(§A¿0,1,0,1,187,3,1,-1,0,0,FALSE,FALSE§Z¿>0,ABS(§A¿0,1,0,1,187,2,1,-1,0,0,FALSE,FALSE§Z¿),0))),&#10;0)]]></VOFFF>
                              </ClmnBlkPtProps>
                            </ClmnBlkPt>
                          </ClmnBlkPts>
                        </ClmnBlk>
                        <ClmnBlk>
                          <ClmnBlkProps>
                            <FCPT>0</FCPT>
                            <FCN>9</FCN>
                            <LCPT>0</LCPT>
                            <LCN>9</LCN>
                          </ClmnBlkProps>
                          <ClmnBlkPts>
                            <ClmnBlkPt>
                              <ClmnBlkPtProps>
                                <CBPT>5</CBPT>
                                <ST>18</ST>
                                <SON>22</SON>
                                <VOFFF><![CDATA[=IF(SIGN(OFFSET(§A¿0,1,0,1,187,3,1,-1,0,0,FALSE,FALSE§Z¿,-1,0))<>SIGN(§A¿0,1,0,1,187,3,1,-1,0,0,FALSE,FALSE§Z¿),0,&#10;IF(OFFSET(§A¿0,1,0,1,187,3,1,-1,0,0,FALSE,FALSE§Z¿,-1,0)<0,IF(§A¿0,1,0,1,187,2,1,-1,0,0,FALSE,FALSE§Z¿>0,§A¿0,1,0,1,187,3,1,-1,0,0,FALSE,FALSE§Z¿,OFFSET(§A¿0,1,0,1,187,3,1,-1,0,0,FALSE,FALSE§Z¿,-1,0)),0))]]></VOFFF>
                              </ClmnBlkPtProps>
                            </ClmnBlkPt>
                          </ClmnBlkPts>
                        </ClmnBlk>
                        <ClmnBlk>
                          <ClmnBlkProps>
                            <FCPT>0</FCPT>
                            <FCN>10</FCN>
                            <LCPT>0</LCPT>
                            <LCN>10</LCN>
                          </ClmnBlkProps>
                          <ClmnBlkPts>
                            <ClmnBlkPt>
                              <ClmnBlkPtProps>
                                <CBPT>5</CBPT>
                                <ST>18</ST>
                                <SON>22</SON>
                                <VOFFF><![CDATA[=IF(§A¿0,1,0,1,187,2,1,-1,0,0,FALSE,FALSE§Z¿>0,&#10;IF(§A¿0,1,0,1,187,3,1,-1,0,0,FALSE,FALSE§Z¿=0,-MAX(§A¿0,1,0,1,187,2,1,-1,0,0,FALSE,FALSE§Z¿,0),&#10;IF(SIGN(OFFSET(§A¿0,1,0,1,187,3,1,-1,0,0,FALSE,FALSE§Z¿,-1,0))<>SIGN(§A¿0,1,0,1,187,3,1,-1,0,0,FALSE,FALSE§Z¿),MIN(OFFSET(§A¿0,1,0,1,187,3,1,-1,0,0,FALSE,FALSE§Z¿,-1,0),§A¿0,1,0,1,187,3,1,-1,0,0,FALSE,FALSE§Z¿),&#10;IF(§A¿0,1,0,1,187,3,1,-1,0,0,FALSE,FALSE§Z¿<0,-ABS(§A¿0,1,0,1,187,2,1,-1,0,0,FALSE,FALSE§Z¿),0))),&#10;0)]]></VOFFF>
                              </ClmnBlkPtProps>
                            </ClmnBlkPt>
                          </ClmnBlkPts>
                        </ClmnBlk>
                        <ClmnBlk>
                          <ClmnBlkProps>
                            <FCPT>0</FCPT>
                            <FCN>11</FCN>
                            <LCPT>0</LCPT>
                            <LCN>11</LCN>
                          </ClmnBlkProps>
                          <ClmnBlkPts>
                            <ClmnBlkPt>
                              <ClmnBlkPtProps>
                                <CBPT>5</CBPT>
                                <ST>18</ST>
                                <SON>22</SON>
                                <VOFFF><![CDATA[=IF(§A¿0,1,0,1,187,2,1,-1,0,0,FALSE,FALSE§Z¿<0,&#10;IF(§A¿0,1,0,1,187,3,1,-1,0,0,FALSE,FALSE§Z¿=0,-MIN(§A¿0,1,0,1,187,2,1,-1,0,0,FALSE,FALSE§Z¿,0),&#10;IF(SIGN(OFFSET(§A¿0,1,0,1,187,3,1,-1,0,0,FALSE,FALSE§Z¿,-1,0))<>SIGN(§A¿0,1,0,1,187,3,1,-1,0,0,FALSE,FALSE§Z¿),MAX(OFFSET(§A¿0,1,0,1,187,3,1,-1,0,0,FALSE,FALSE§Z¿,-1,0),§A¿0,1,0,1,187,3,1,-1,0,0,FALSE,FALSE§Z¿),&#10;IF(§A¿0,1,0,1,187,3,1,-1,0,0,FALSE,FALSE§Z¿>0,ABS(§A¿0,1,0,1,187,2,1,-1,0,0,FALSE,FALSE§Z¿),0))),&#10;0)]]></VOFFF>
                              </ClmnBlkPtProps>
                            </ClmnBlkPt>
                          </ClmnBlkPts>
                        </ClmnBlk>
                        <ClmnBlk>
                          <ClmnBlkProps>
                            <FCPT>0</FCPT>
                            <FCN>12</FCN>
                            <LCPT>0</LCPT>
                            <LCN>12</LCN>
                          </ClmnBlkProps>
                          <ClmnBlkPts>
                            <ClmnBlkPt>
                              <ClmnBlkPtProps>
                                <CBPT>5</CBPT>
                                <ST>18</ST>
                                <SON>22</SON>
                                <VOFFF><![CDATA[=IF(§A¿0,1,0,1,187,2,1,-1,0,0,FALSE,FALSE§Z¿<0,&#10;IF(§A¿0,1,0,1,187,3,1,-1,0,0,FALSE,FALSE§Z¿=0,-MAX(§A¿0,1,0,1,187,2,1,-1,0,0,FALSE,FALSE§Z¿,0),&#10;IF(SIGN(OFFSET(§A¿0,1,0,1,187,3,1,-1,0,0,FALSE,FALSE§Z¿,-1,0))<>SIGN(§A¿0,1,0,1,187,3,1,-1,0,0,FALSE,FALSE§Z¿),MIN(OFFSET(§A¿0,1,0,1,187,3,1,-1,0,0,FALSE,FALSE§Z¿,-1,0),§A¿0,1,0,1,187,3,1,-1,0,0,FALSE,FALSE§Z¿),&#10;IF(§A¿0,1,0,1,187,3,1,-1,0,0,FALSE,FALSE§Z¿<0,-ABS(§A¿0,1,0,1,187,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3,1,1,-1,0,0,FALSE,FALSE§Z¿]]></VOFFF>
                              </ClmnBlkPtProps>
                            </ClmnBlkPt>
                          </ClmnBlkPts>
                        </ClmnBlk>
                        <ClmnBlk>
                          <ClmnBlkProps>
                            <FCPT>0</FCPT>
                            <FCN>5</FCN>
                            <LCPT>0</LCPT>
                            <LCN>5</LCN>
                          </ClmnBlkProps>
                          <ClmnBlkPts>
                            <ClmnBlkPt>
                              <ClmnBlkPtProps>
                                <CBPT>5</CBPT>
                                <ST>18</ST>
                                <SON>22</SON>
                                <VOFFF><![CDATA[=§A¿0,1,0,1,63,3,1,-1,0,0,FALSE,FALSE§Z¿]]></VOFFF>
                              </ClmnBlkPtProps>
                            </ClmnBlkPt>
                          </ClmnBlkPts>
                        </ClmnBlk>
                        <ClmnBlk>
                          <ClmnBlkProps>
                            <FCPT>0</FCPT>
                            <FCN>6</FCN>
                            <LCPT>0</LCPT>
                            <LCN>6</LCN>
                          </ClmnBlkProps>
                          <ClmnBlkPts>
                            <ClmnBlkPt>
                              <ClmnBlkPtProps>
                                <CBPT>5</CBPT>
                                <ST>18</ST>
                                <SON>22</SON>
                                <VOFFF><![CDATA[=SUM(§A¿0,1,1,1,183,2,1,-1,0,0,TRUE,FALSE,1,188,2,1,-1,0,0,FALSE,FALSE§Z¿)]]></VOFFF>
                              </ClmnBlkPtProps>
                            </ClmnBlkPt>
                          </ClmnBlkPts>
                        </ClmnBlk>
                        <ClmnBlk>
                          <ClmnBlkProps>
                            <FCPT>0</FCPT>
                            <FCN>7</FCN>
                            <LCPT>0</LCPT>
                            <LCN>7</LCN>
                          </ClmnBlkProps>
                          <ClmnBlkPts>
                            <ClmnBlkPt>
                              <ClmnBlkPtProps>
                                <CBPT>5</CBPT>
                                <ST>18</ST>
                                <SON>22</SON>
                                <VOFFF><![CDATA[=IF(SIGN(§A¿0,1,0,1,188,3,1,-1,0,0,FALSE,FALSE§Z¿)<>SIGN(OFFSET(§A¿0,1,0,1,188,3,1,-1,0,0,FALSE,FALSE§Z¿,-1,0)),0,&#10;IF(OFFSET(§A¿0,1,0,1,188,3,1,-1,0,0,FALSE,FALSE§Z¿,-1,0)>0,IF(§A¿0,1,0,1,188,2,1,-1,0,0,FALSE,FALSE§Z¿<0,§A¿0,1,0,1,188,3,1,-1,0,0,FALSE,FALSE§Z¿,OFFSET(§A¿0,1,0,1,188,3,1,-1,0,0,FALSE,FALSE§Z¿,-1,0)),0))]]></VOFFF>
                              </ClmnBlkPtProps>
                            </ClmnBlkPt>
                          </ClmnBlkPts>
                        </ClmnBlk>
                        <ClmnBlk>
                          <ClmnBlkProps>
                            <FCPT>0</FCPT>
                            <FCN>8</FCN>
                            <LCPT>0</LCPT>
                            <LCN>8</LCN>
                          </ClmnBlkProps>
                          <ClmnBlkPts>
                            <ClmnBlkPt>
                              <ClmnBlkPtProps>
                                <CBPT>5</CBPT>
                                <ST>18</ST>
                                <SON>22</SON>
                                <VOFFF><![CDATA[=IF(§A¿0,1,0,1,188,2,1,-1,0,0,FALSE,FALSE§Z¿>0,&#10;IF(§A¿0,1,0,1,188,3,1,-1,0,0,FALSE,FALSE§Z¿=0,-MIN(§A¿0,1,0,1,188,2,1,-1,0,0,FALSE,FALSE§Z¿,0),&#10;IF(SIGN(OFFSET(§A¿0,1,0,1,188,3,1,-1,0,0,FALSE,FALSE§Z¿,-1,0))<>SIGN(§A¿0,1,0,1,188,3,1,-1,0,0,FALSE,FALSE§Z¿),MAX(OFFSET(§A¿0,1,0,1,188,3,1,-1,0,0,FALSE,FALSE§Z¿,-1,0),§A¿0,1,0,1,188,3,1,-1,0,0,FALSE,FALSE§Z¿),&#10;IF(§A¿0,1,0,1,188,3,1,-1,0,0,FALSE,FALSE§Z¿>0,ABS(§A¿0,1,0,1,188,2,1,-1,0,0,FALSE,FALSE§Z¿),0))),&#10;0)]]></VOFFF>
                              </ClmnBlkPtProps>
                            </ClmnBlkPt>
                          </ClmnBlkPts>
                        </ClmnBlk>
                        <ClmnBlk>
                          <ClmnBlkProps>
                            <FCPT>0</FCPT>
                            <FCN>9</FCN>
                            <LCPT>0</LCPT>
                            <LCN>9</LCN>
                          </ClmnBlkProps>
                          <ClmnBlkPts>
                            <ClmnBlkPt>
                              <ClmnBlkPtProps>
                                <CBPT>5</CBPT>
                                <ST>18</ST>
                                <SON>22</SON>
                                <VOFFF><![CDATA[=IF(SIGN(OFFSET(§A¿0,1,0,1,188,3,1,-1,0,0,FALSE,FALSE§Z¿,-1,0))<>SIGN(§A¿0,1,0,1,188,3,1,-1,0,0,FALSE,FALSE§Z¿),0,&#10;IF(OFFSET(§A¿0,1,0,1,188,3,1,-1,0,0,FALSE,FALSE§Z¿,-1,0)<0,IF(§A¿0,1,0,1,188,2,1,-1,0,0,FALSE,FALSE§Z¿>0,§A¿0,1,0,1,188,3,1,-1,0,0,FALSE,FALSE§Z¿,OFFSET(§A¿0,1,0,1,188,3,1,-1,0,0,FALSE,FALSE§Z¿,-1,0)),0))]]></VOFFF>
                              </ClmnBlkPtProps>
                            </ClmnBlkPt>
                          </ClmnBlkPts>
                        </ClmnBlk>
                        <ClmnBlk>
                          <ClmnBlkProps>
                            <FCPT>0</FCPT>
                            <FCN>10</FCN>
                            <LCPT>0</LCPT>
                            <LCN>10</LCN>
                          </ClmnBlkProps>
                          <ClmnBlkPts>
                            <ClmnBlkPt>
                              <ClmnBlkPtProps>
                                <CBPT>5</CBPT>
                                <ST>18</ST>
                                <SON>22</SON>
                                <VOFFF><![CDATA[=IF(§A¿0,1,0,1,188,2,1,-1,0,0,FALSE,FALSE§Z¿>0,&#10;IF(§A¿0,1,0,1,188,3,1,-1,0,0,FALSE,FALSE§Z¿=0,-MAX(§A¿0,1,0,1,188,2,1,-1,0,0,FALSE,FALSE§Z¿,0),&#10;IF(SIGN(OFFSET(§A¿0,1,0,1,188,3,1,-1,0,0,FALSE,FALSE§Z¿,-1,0))<>SIGN(§A¿0,1,0,1,188,3,1,-1,0,0,FALSE,FALSE§Z¿),MIN(OFFSET(§A¿0,1,0,1,188,3,1,-1,0,0,FALSE,FALSE§Z¿,-1,0),§A¿0,1,0,1,188,3,1,-1,0,0,FALSE,FALSE§Z¿),&#10;IF(§A¿0,1,0,1,188,3,1,-1,0,0,FALSE,FALSE§Z¿<0,-ABS(§A¿0,1,0,1,188,2,1,-1,0,0,FALSE,FALSE§Z¿),0))),&#10;0)]]></VOFFF>
                              </ClmnBlkPtProps>
                            </ClmnBlkPt>
                          </ClmnBlkPts>
                        </ClmnBlk>
                        <ClmnBlk>
                          <ClmnBlkProps>
                            <FCPT>0</FCPT>
                            <FCN>11</FCN>
                            <LCPT>0</LCPT>
                            <LCN>11</LCN>
                          </ClmnBlkProps>
                          <ClmnBlkPts>
                            <ClmnBlkPt>
                              <ClmnBlkPtProps>
                                <CBPT>5</CBPT>
                                <ST>18</ST>
                                <SON>22</SON>
                                <VOFFF><![CDATA[=IF(§A¿0,1,0,1,188,2,1,-1,0,0,FALSE,FALSE§Z¿<0,&#10;IF(§A¿0,1,0,1,188,3,1,-1,0,0,FALSE,FALSE§Z¿=0,-MIN(§A¿0,1,0,1,188,2,1,-1,0,0,FALSE,FALSE§Z¿,0),&#10;IF(SIGN(OFFSET(§A¿0,1,0,1,188,3,1,-1,0,0,FALSE,FALSE§Z¿,-1,0))<>SIGN(§A¿0,1,0,1,188,3,1,-1,0,0,FALSE,FALSE§Z¿),MAX(OFFSET(§A¿0,1,0,1,188,3,1,-1,0,0,FALSE,FALSE§Z¿,-1,0),§A¿0,1,0,1,188,3,1,-1,0,0,FALSE,FALSE§Z¿),&#10;IF(§A¿0,1,0,1,188,3,1,-1,0,0,FALSE,FALSE§Z¿>0,ABS(§A¿0,1,0,1,188,2,1,-1,0,0,FALSE,FALSE§Z¿),0))),&#10;0)]]></VOFFF>
                              </ClmnBlkPtProps>
                            </ClmnBlkPt>
                          </ClmnBlkPts>
                        </ClmnBlk>
                        <ClmnBlk>
                          <ClmnBlkProps>
                            <FCPT>0</FCPT>
                            <FCN>12</FCN>
                            <LCPT>0</LCPT>
                            <LCN>12</LCN>
                          </ClmnBlkProps>
                          <ClmnBlkPts>
                            <ClmnBlkPt>
                              <ClmnBlkPtProps>
                                <CBPT>5</CBPT>
                                <ST>18</ST>
                                <SON>22</SON>
                                <VOFFF><![CDATA[=IF(§A¿0,1,0,1,188,2,1,-1,0,0,FALSE,FALSE§Z¿<0,&#10;IF(§A¿0,1,0,1,188,3,1,-1,0,0,FALSE,FALSE§Z¿=0,-MAX(§A¿0,1,0,1,188,2,1,-1,0,0,FALSE,FALSE§Z¿,0),&#10;IF(SIGN(OFFSET(§A¿0,1,0,1,188,3,1,-1,0,0,FALSE,FALSE§Z¿,-1,0))<>SIGN(§A¿0,1,0,1,188,3,1,-1,0,0,FALSE,FALSE§Z¿),MIN(OFFSET(§A¿0,1,0,1,188,3,1,-1,0,0,FALSE,FALSE§Z¿,-1,0),§A¿0,1,0,1,188,3,1,-1,0,0,FALSE,FALSE§Z¿),&#10;IF(§A¿0,1,0,1,188,3,1,-1,0,0,FALSE,FALSE§Z¿<0,-ABS(§A¿0,1,0,1,188,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4,1,1,-1,0,0,FALSE,FALSE§Z¿]]></VOFFF>
                              </ClmnBlkPtProps>
                            </ClmnBlkPt>
                          </ClmnBlkPts>
                        </ClmnBlk>
                        <ClmnBlk>
                          <ClmnBlkProps>
                            <FCPT>0</FCPT>
                            <FCN>5</FCN>
                            <LCPT>0</LCPT>
                            <LCN>5</LCN>
                          </ClmnBlkProps>
                          <ClmnBlkPts>
                            <ClmnBlkPt>
                              <ClmnBlkPtProps>
                                <CBPT>5</CBPT>
                                <ST>18</ST>
                                <SON>22</SON>
                                <VOFFF><![CDATA[=§A¿0,1,0,1,64,3,1,-1,0,0,FALSE,FALSE§Z¿]]></VOFFF>
                              </ClmnBlkPtProps>
                            </ClmnBlkPt>
                          </ClmnBlkPts>
                        </ClmnBlk>
                        <ClmnBlk>
                          <ClmnBlkProps>
                            <FCPT>0</FCPT>
                            <FCN>6</FCN>
                            <LCPT>0</LCPT>
                            <LCN>6</LCN>
                          </ClmnBlkProps>
                          <ClmnBlkPts>
                            <ClmnBlkPt>
                              <ClmnBlkPtProps>
                                <CBPT>5</CBPT>
                                <ST>18</ST>
                                <SON>22</SON>
                                <VOFFF><![CDATA[=SUM(§A¿0,1,1,1,183,2,1,-1,0,0,TRUE,FALSE,1,189,2,1,-1,0,0,FALSE,FALSE§Z¿)]]></VOFFF>
                              </ClmnBlkPtProps>
                            </ClmnBlkPt>
                          </ClmnBlkPts>
                        </ClmnBlk>
                        <ClmnBlk>
                          <ClmnBlkProps>
                            <FCPT>0</FCPT>
                            <FCN>7</FCN>
                            <LCPT>0</LCPT>
                            <LCN>7</LCN>
                          </ClmnBlkProps>
                          <ClmnBlkPts>
                            <ClmnBlkPt>
                              <ClmnBlkPtProps>
                                <CBPT>5</CBPT>
                                <ST>18</ST>
                                <SON>22</SON>
                                <VOFFF><![CDATA[=IF(SIGN(§A¿0,1,0,1,189,3,1,-1,0,0,FALSE,FALSE§Z¿)<>SIGN(OFFSET(§A¿0,1,0,1,189,3,1,-1,0,0,FALSE,FALSE§Z¿,-1,0)),0,&#10;IF(OFFSET(§A¿0,1,0,1,189,3,1,-1,0,0,FALSE,FALSE§Z¿,-1,0)>0,IF(§A¿0,1,0,1,189,2,1,-1,0,0,FALSE,FALSE§Z¿<0,§A¿0,1,0,1,189,3,1,-1,0,0,FALSE,FALSE§Z¿,OFFSET(§A¿0,1,0,1,189,3,1,-1,0,0,FALSE,FALSE§Z¿,-1,0)),0))]]></VOFFF>
                              </ClmnBlkPtProps>
                            </ClmnBlkPt>
                          </ClmnBlkPts>
                        </ClmnBlk>
                        <ClmnBlk>
                          <ClmnBlkProps>
                            <FCPT>0</FCPT>
                            <FCN>8</FCN>
                            <LCPT>0</LCPT>
                            <LCN>8</LCN>
                          </ClmnBlkProps>
                          <ClmnBlkPts>
                            <ClmnBlkPt>
                              <ClmnBlkPtProps>
                                <CBPT>5</CBPT>
                                <ST>18</ST>
                                <SON>22</SON>
                                <VOFFF><![CDATA[=IF(§A¿0,1,0,1,189,2,1,-1,0,0,FALSE,FALSE§Z¿>0,&#10;IF(§A¿0,1,0,1,189,3,1,-1,0,0,FALSE,FALSE§Z¿=0,-MIN(§A¿0,1,0,1,189,2,1,-1,0,0,FALSE,FALSE§Z¿,0),&#10;IF(SIGN(OFFSET(§A¿0,1,0,1,189,3,1,-1,0,0,FALSE,FALSE§Z¿,-1,0))<>SIGN(§A¿0,1,0,1,189,3,1,-1,0,0,FALSE,FALSE§Z¿),MAX(OFFSET(§A¿0,1,0,1,189,3,1,-1,0,0,FALSE,FALSE§Z¿,-1,0),§A¿0,1,0,1,189,3,1,-1,0,0,FALSE,FALSE§Z¿),&#10;IF(§A¿0,1,0,1,189,3,1,-1,0,0,FALSE,FALSE§Z¿>0,ABS(§A¿0,1,0,1,189,2,1,-1,0,0,FALSE,FALSE§Z¿),0))),&#10;0)]]></VOFFF>
                              </ClmnBlkPtProps>
                            </ClmnBlkPt>
                          </ClmnBlkPts>
                        </ClmnBlk>
                        <ClmnBlk>
                          <ClmnBlkProps>
                            <FCPT>0</FCPT>
                            <FCN>9</FCN>
                            <LCPT>0</LCPT>
                            <LCN>9</LCN>
                          </ClmnBlkProps>
                          <ClmnBlkPts>
                            <ClmnBlkPt>
                              <ClmnBlkPtProps>
                                <CBPT>5</CBPT>
                                <ST>18</ST>
                                <SON>22</SON>
                                <VOFFF><![CDATA[=IF(SIGN(OFFSET(§A¿0,1,0,1,189,3,1,-1,0,0,FALSE,FALSE§Z¿,-1,0))<>SIGN(§A¿0,1,0,1,189,3,1,-1,0,0,FALSE,FALSE§Z¿),0,&#10;IF(OFFSET(§A¿0,1,0,1,189,3,1,-1,0,0,FALSE,FALSE§Z¿,-1,0)<0,IF(§A¿0,1,0,1,189,2,1,-1,0,0,FALSE,FALSE§Z¿>0,§A¿0,1,0,1,189,3,1,-1,0,0,FALSE,FALSE§Z¿,OFFSET(§A¿0,1,0,1,189,3,1,-1,0,0,FALSE,FALSE§Z¿,-1,0)),0))]]></VOFFF>
                              </ClmnBlkPtProps>
                            </ClmnBlkPt>
                          </ClmnBlkPts>
                        </ClmnBlk>
                        <ClmnBlk>
                          <ClmnBlkProps>
                            <FCPT>0</FCPT>
                            <FCN>10</FCN>
                            <LCPT>0</LCPT>
                            <LCN>10</LCN>
                          </ClmnBlkProps>
                          <ClmnBlkPts>
                            <ClmnBlkPt>
                              <ClmnBlkPtProps>
                                <CBPT>5</CBPT>
                                <ST>18</ST>
                                <SON>22</SON>
                                <VOFFF><![CDATA[=IF(§A¿0,1,0,1,189,2,1,-1,0,0,FALSE,FALSE§Z¿>0,&#10;IF(§A¿0,1,0,1,189,3,1,-1,0,0,FALSE,FALSE§Z¿=0,-MAX(§A¿0,1,0,1,189,2,1,-1,0,0,FALSE,FALSE§Z¿,0),&#10;IF(SIGN(OFFSET(§A¿0,1,0,1,189,3,1,-1,0,0,FALSE,FALSE§Z¿,-1,0))<>SIGN(§A¿0,1,0,1,189,3,1,-1,0,0,FALSE,FALSE§Z¿),MIN(OFFSET(§A¿0,1,0,1,189,3,1,-1,0,0,FALSE,FALSE§Z¿,-1,0),§A¿0,1,0,1,189,3,1,-1,0,0,FALSE,FALSE§Z¿),&#10;IF(§A¿0,1,0,1,189,3,1,-1,0,0,FALSE,FALSE§Z¿<0,-ABS(§A¿0,1,0,1,189,2,1,-1,0,0,FALSE,FALSE§Z¿),0))),&#10;0)]]></VOFFF>
                              </ClmnBlkPtProps>
                            </ClmnBlkPt>
                          </ClmnBlkPts>
                        </ClmnBlk>
                        <ClmnBlk>
                          <ClmnBlkProps>
                            <FCPT>0</FCPT>
                            <FCN>11</FCN>
                            <LCPT>0</LCPT>
                            <LCN>11</LCN>
                          </ClmnBlkProps>
                          <ClmnBlkPts>
                            <ClmnBlkPt>
                              <ClmnBlkPtProps>
                                <CBPT>5</CBPT>
                                <ST>18</ST>
                                <SON>22</SON>
                                <VOFFF><![CDATA[=IF(§A¿0,1,0,1,189,2,1,-1,0,0,FALSE,FALSE§Z¿<0,&#10;IF(§A¿0,1,0,1,189,3,1,-1,0,0,FALSE,FALSE§Z¿=0,-MIN(§A¿0,1,0,1,189,2,1,-1,0,0,FALSE,FALSE§Z¿,0),&#10;IF(SIGN(OFFSET(§A¿0,1,0,1,189,3,1,-1,0,0,FALSE,FALSE§Z¿,-1,0))<>SIGN(§A¿0,1,0,1,189,3,1,-1,0,0,FALSE,FALSE§Z¿),MAX(OFFSET(§A¿0,1,0,1,189,3,1,-1,0,0,FALSE,FALSE§Z¿,-1,0),§A¿0,1,0,1,189,3,1,-1,0,0,FALSE,FALSE§Z¿),&#10;IF(§A¿0,1,0,1,189,3,1,-1,0,0,FALSE,FALSE§Z¿>0,ABS(§A¿0,1,0,1,189,2,1,-1,0,0,FALSE,FALSE§Z¿),0))),&#10;0)]]></VOFFF>
                              </ClmnBlkPtProps>
                            </ClmnBlkPt>
                          </ClmnBlkPts>
                        </ClmnBlk>
                        <ClmnBlk>
                          <ClmnBlkProps>
                            <FCPT>0</FCPT>
                            <FCN>12</FCN>
                            <LCPT>0</LCPT>
                            <LCN>12</LCN>
                          </ClmnBlkProps>
                          <ClmnBlkPts>
                            <ClmnBlkPt>
                              <ClmnBlkPtProps>
                                <CBPT>5</CBPT>
                                <ST>18</ST>
                                <SON>22</SON>
                                <VOFFF><![CDATA[=IF(§A¿0,1,0,1,189,2,1,-1,0,0,FALSE,FALSE§Z¿<0,&#10;IF(§A¿0,1,0,1,189,3,1,-1,0,0,FALSE,FALSE§Z¿=0,-MAX(§A¿0,1,0,1,189,2,1,-1,0,0,FALSE,FALSE§Z¿,0),&#10;IF(SIGN(OFFSET(§A¿0,1,0,1,189,3,1,-1,0,0,FALSE,FALSE§Z¿,-1,0))<>SIGN(§A¿0,1,0,1,189,3,1,-1,0,0,FALSE,FALSE§Z¿),MIN(OFFSET(§A¿0,1,0,1,189,3,1,-1,0,0,FALSE,FALSE§Z¿,-1,0),§A¿0,1,0,1,189,3,1,-1,0,0,FALSE,FALSE§Z¿),&#10;IF(§A¿0,1,0,1,189,3,1,-1,0,0,FALSE,FALSE§Z¿<0,-ABS(§A¿0,1,0,1,189,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5,1,1,-1,0,0,FALSE,FALSE§Z¿]]></VOFFF>
                              </ClmnBlkPtProps>
                            </ClmnBlkPt>
                          </ClmnBlkPts>
                        </ClmnBlk>
                        <ClmnBlk>
                          <ClmnBlkProps>
                            <FCPT>0</FCPT>
                            <FCN>5</FCN>
                            <LCPT>0</LCPT>
                            <LCN>5</LCN>
                          </ClmnBlkProps>
                          <ClmnBlkPts>
                            <ClmnBlkPt>
                              <ClmnBlkPtProps>
                                <CBPT>5</CBPT>
                                <ST>18</ST>
                                <SON>22</SON>
                                <VOFFF><![CDATA[=§A¿0,1,0,1,65,3,1,-1,0,0,FALSE,FALSE§Z¿]]></VOFFF>
                              </ClmnBlkPtProps>
                            </ClmnBlkPt>
                          </ClmnBlkPts>
                        </ClmnBlk>
                        <ClmnBlk>
                          <ClmnBlkProps>
                            <FCPT>0</FCPT>
                            <FCN>6</FCN>
                            <LCPT>0</LCPT>
                            <LCN>6</LCN>
                          </ClmnBlkProps>
                          <ClmnBlkPts>
                            <ClmnBlkPt>
                              <ClmnBlkPtProps>
                                <CBPT>5</CBPT>
                                <ST>18</ST>
                                <SON>22</SON>
                                <VOFFF><![CDATA[=SUM(§A¿0,1,1,1,183,2,1,-1,0,0,TRUE,FALSE,1,190,2,1,-1,0,0,FALSE,FALSE§Z¿)]]></VOFFF>
                              </ClmnBlkPtProps>
                            </ClmnBlkPt>
                          </ClmnBlkPts>
                        </ClmnBlk>
                        <ClmnBlk>
                          <ClmnBlkProps>
                            <FCPT>0</FCPT>
                            <FCN>7</FCN>
                            <LCPT>0</LCPT>
                            <LCN>7</LCN>
                          </ClmnBlkProps>
                          <ClmnBlkPts>
                            <ClmnBlkPt>
                              <ClmnBlkPtProps>
                                <CBPT>5</CBPT>
                                <ST>18</ST>
                                <SON>22</SON>
                                <VOFFF><![CDATA[=IF(SIGN(§A¿0,1,0,1,190,3,1,-1,0,0,FALSE,FALSE§Z¿)<>SIGN(OFFSET(§A¿0,1,0,1,190,3,1,-1,0,0,FALSE,FALSE§Z¿,-1,0)),0,&#10;IF(OFFSET(§A¿0,1,0,1,190,3,1,-1,0,0,FALSE,FALSE§Z¿,-1,0)>0,IF(§A¿0,1,0,1,190,2,1,-1,0,0,FALSE,FALSE§Z¿<0,§A¿0,1,0,1,190,3,1,-1,0,0,FALSE,FALSE§Z¿,OFFSET(§A¿0,1,0,1,190,3,1,-1,0,0,FALSE,FALSE§Z¿,-1,0)),0))]]></VOFFF>
                              </ClmnBlkPtProps>
                            </ClmnBlkPt>
                          </ClmnBlkPts>
                        </ClmnBlk>
                        <ClmnBlk>
                          <ClmnBlkProps>
                            <FCPT>0</FCPT>
                            <FCN>8</FCN>
                            <LCPT>0</LCPT>
                            <LCN>8</LCN>
                          </ClmnBlkProps>
                          <ClmnBlkPts>
                            <ClmnBlkPt>
                              <ClmnBlkPtProps>
                                <CBPT>5</CBPT>
                                <ST>18</ST>
                                <SON>22</SON>
                                <VOFFF><![CDATA[=IF(§A¿0,1,0,1,190,2,1,-1,0,0,FALSE,FALSE§Z¿>0,&#10;IF(§A¿0,1,0,1,190,3,1,-1,0,0,FALSE,FALSE§Z¿=0,-MIN(§A¿0,1,0,1,190,2,1,-1,0,0,FALSE,FALSE§Z¿,0),&#10;IF(SIGN(OFFSET(§A¿0,1,0,1,190,3,1,-1,0,0,FALSE,FALSE§Z¿,-1,0))<>SIGN(§A¿0,1,0,1,190,3,1,-1,0,0,FALSE,FALSE§Z¿),MAX(OFFSET(§A¿0,1,0,1,190,3,1,-1,0,0,FALSE,FALSE§Z¿,-1,0),§A¿0,1,0,1,190,3,1,-1,0,0,FALSE,FALSE§Z¿),&#10;IF(§A¿0,1,0,1,190,3,1,-1,0,0,FALSE,FALSE§Z¿>0,ABS(§A¿0,1,0,1,190,2,1,-1,0,0,FALSE,FALSE§Z¿),0))),&#10;0)]]></VOFFF>
                              </ClmnBlkPtProps>
                            </ClmnBlkPt>
                          </ClmnBlkPts>
                        </ClmnBlk>
                        <ClmnBlk>
                          <ClmnBlkProps>
                            <FCPT>0</FCPT>
                            <FCN>9</FCN>
                            <LCPT>0</LCPT>
                            <LCN>9</LCN>
                          </ClmnBlkProps>
                          <ClmnBlkPts>
                            <ClmnBlkPt>
                              <ClmnBlkPtProps>
                                <CBPT>5</CBPT>
                                <ST>18</ST>
                                <SON>22</SON>
                                <VOFFF><![CDATA[=IF(SIGN(OFFSET(§A¿0,1,0,1,190,3,1,-1,0,0,FALSE,FALSE§Z¿,-1,0))<>SIGN(§A¿0,1,0,1,190,3,1,-1,0,0,FALSE,FALSE§Z¿),0,&#10;IF(OFFSET(§A¿0,1,0,1,190,3,1,-1,0,0,FALSE,FALSE§Z¿,-1,0)<0,IF(§A¿0,1,0,1,190,2,1,-1,0,0,FALSE,FALSE§Z¿>0,§A¿0,1,0,1,190,3,1,-1,0,0,FALSE,FALSE§Z¿,OFFSET(§A¿0,1,0,1,190,3,1,-1,0,0,FALSE,FALSE§Z¿,-1,0)),0))]]></VOFFF>
                              </ClmnBlkPtProps>
                            </ClmnBlkPt>
                          </ClmnBlkPts>
                        </ClmnBlk>
                        <ClmnBlk>
                          <ClmnBlkProps>
                            <FCPT>0</FCPT>
                            <FCN>10</FCN>
                            <LCPT>0</LCPT>
                            <LCN>10</LCN>
                          </ClmnBlkProps>
                          <ClmnBlkPts>
                            <ClmnBlkPt>
                              <ClmnBlkPtProps>
                                <CBPT>5</CBPT>
                                <ST>18</ST>
                                <SON>22</SON>
                                <VOFFF><![CDATA[=IF(§A¿0,1,0,1,190,2,1,-1,0,0,FALSE,FALSE§Z¿>0,&#10;IF(§A¿0,1,0,1,190,3,1,-1,0,0,FALSE,FALSE§Z¿=0,-MAX(§A¿0,1,0,1,190,2,1,-1,0,0,FALSE,FALSE§Z¿,0),&#10;IF(SIGN(OFFSET(§A¿0,1,0,1,190,3,1,-1,0,0,FALSE,FALSE§Z¿,-1,0))<>SIGN(§A¿0,1,0,1,190,3,1,-1,0,0,FALSE,FALSE§Z¿),MIN(OFFSET(§A¿0,1,0,1,190,3,1,-1,0,0,FALSE,FALSE§Z¿,-1,0),§A¿0,1,0,1,190,3,1,-1,0,0,FALSE,FALSE§Z¿),&#10;IF(§A¿0,1,0,1,190,3,1,-1,0,0,FALSE,FALSE§Z¿<0,-ABS(§A¿0,1,0,1,190,2,1,-1,0,0,FALSE,FALSE§Z¿),0))),&#10;0)]]></VOFFF>
                              </ClmnBlkPtProps>
                            </ClmnBlkPt>
                          </ClmnBlkPts>
                        </ClmnBlk>
                        <ClmnBlk>
                          <ClmnBlkProps>
                            <FCPT>0</FCPT>
                            <FCN>11</FCN>
                            <LCPT>0</LCPT>
                            <LCN>11</LCN>
                          </ClmnBlkProps>
                          <ClmnBlkPts>
                            <ClmnBlkPt>
                              <ClmnBlkPtProps>
                                <CBPT>5</CBPT>
                                <ST>18</ST>
                                <SON>22</SON>
                                <VOFFF><![CDATA[=IF(§A¿0,1,0,1,190,2,1,-1,0,0,FALSE,FALSE§Z¿<0,&#10;IF(§A¿0,1,0,1,190,3,1,-1,0,0,FALSE,FALSE§Z¿=0,-MIN(§A¿0,1,0,1,190,2,1,-1,0,0,FALSE,FALSE§Z¿,0),&#10;IF(SIGN(OFFSET(§A¿0,1,0,1,190,3,1,-1,0,0,FALSE,FALSE§Z¿,-1,0))<>SIGN(§A¿0,1,0,1,190,3,1,-1,0,0,FALSE,FALSE§Z¿),MAX(OFFSET(§A¿0,1,0,1,190,3,1,-1,0,0,FALSE,FALSE§Z¿,-1,0),§A¿0,1,0,1,190,3,1,-1,0,0,FALSE,FALSE§Z¿),&#10;IF(§A¿0,1,0,1,190,3,1,-1,0,0,FALSE,FALSE§Z¿>0,ABS(§A¿0,1,0,1,190,2,1,-1,0,0,FALSE,FALSE§Z¿),0))),&#10;0)]]></VOFFF>
                              </ClmnBlkPtProps>
                            </ClmnBlkPt>
                          </ClmnBlkPts>
                        </ClmnBlk>
                        <ClmnBlk>
                          <ClmnBlkProps>
                            <FCPT>0</FCPT>
                            <FCN>12</FCN>
                            <LCPT>0</LCPT>
                            <LCN>12</LCN>
                          </ClmnBlkProps>
                          <ClmnBlkPts>
                            <ClmnBlkPt>
                              <ClmnBlkPtProps>
                                <CBPT>5</CBPT>
                                <ST>18</ST>
                                <SON>22</SON>
                                <VOFFF><![CDATA[=IF(§A¿0,1,0,1,190,2,1,-1,0,0,FALSE,FALSE§Z¿<0,&#10;IF(§A¿0,1,0,1,190,3,1,-1,0,0,FALSE,FALSE§Z¿=0,-MAX(§A¿0,1,0,1,190,2,1,-1,0,0,FALSE,FALSE§Z¿,0),&#10;IF(SIGN(OFFSET(§A¿0,1,0,1,190,3,1,-1,0,0,FALSE,FALSE§Z¿,-1,0))<>SIGN(§A¿0,1,0,1,190,3,1,-1,0,0,FALSE,FALSE§Z¿),MIN(OFFSET(§A¿0,1,0,1,190,3,1,-1,0,0,FALSE,FALSE§Z¿,-1,0),§A¿0,1,0,1,190,3,1,-1,0,0,FALSE,FALSE§Z¿),&#10;IF(§A¿0,1,0,1,190,3,1,-1,0,0,FALSE,FALSE§Z¿<0,-ABS(§A¿0,1,0,1,190,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6,1,1,-1,0,0,FALSE,FALSE§Z¿]]></VOFFF>
                              </ClmnBlkPtProps>
                            </ClmnBlkPt>
                          </ClmnBlkPts>
                        </ClmnBlk>
                        <ClmnBlk>
                          <ClmnBlkProps>
                            <FCPT>0</FCPT>
                            <FCN>5</FCN>
                            <LCPT>0</LCPT>
                            <LCN>5</LCN>
                          </ClmnBlkProps>
                          <ClmnBlkPts>
                            <ClmnBlkPt>
                              <ClmnBlkPtProps>
                                <CBPT>5</CBPT>
                                <ST>18</ST>
                                <SON>22</SON>
                                <VOFFF><![CDATA[=§A¿0,1,0,1,66,3,1,-1,0,0,FALSE,FALSE§Z¿]]></VOFFF>
                              </ClmnBlkPtProps>
                            </ClmnBlkPt>
                          </ClmnBlkPts>
                        </ClmnBlk>
                        <ClmnBlk>
                          <ClmnBlkProps>
                            <FCPT>0</FCPT>
                            <FCN>6</FCN>
                            <LCPT>0</LCPT>
                            <LCN>6</LCN>
                          </ClmnBlkProps>
                          <ClmnBlkPts>
                            <ClmnBlkPt>
                              <ClmnBlkPtProps>
                                <CBPT>5</CBPT>
                                <ST>18</ST>
                                <SON>22</SON>
                                <VOFFF><![CDATA[=SUM(§A¿0,1,1,1,183,2,1,-1,0,0,TRUE,FALSE,1,191,2,1,-1,0,0,FALSE,FALSE§Z¿)]]></VOFFF>
                              </ClmnBlkPtProps>
                            </ClmnBlkPt>
                          </ClmnBlkPts>
                        </ClmnBlk>
                        <ClmnBlk>
                          <ClmnBlkProps>
                            <FCPT>0</FCPT>
                            <FCN>7</FCN>
                            <LCPT>0</LCPT>
                            <LCN>7</LCN>
                          </ClmnBlkProps>
                          <ClmnBlkPts>
                            <ClmnBlkPt>
                              <ClmnBlkPtProps>
                                <CBPT>5</CBPT>
                                <ST>18</ST>
                                <SON>22</SON>
                                <VOFFF><![CDATA[=IF(SIGN(§A¿0,1,0,1,191,3,1,-1,0,0,FALSE,FALSE§Z¿)<>SIGN(OFFSET(§A¿0,1,0,1,191,3,1,-1,0,0,FALSE,FALSE§Z¿,-1,0)),0,&#10;IF(OFFSET(§A¿0,1,0,1,191,3,1,-1,0,0,FALSE,FALSE§Z¿,-1,0)>0,IF(§A¿0,1,0,1,191,2,1,-1,0,0,FALSE,FALSE§Z¿<0,§A¿0,1,0,1,191,3,1,-1,0,0,FALSE,FALSE§Z¿,OFFSET(§A¿0,1,0,1,191,3,1,-1,0,0,FALSE,FALSE§Z¿,-1,0)),0))]]></VOFFF>
                              </ClmnBlkPtProps>
                            </ClmnBlkPt>
                          </ClmnBlkPts>
                        </ClmnBlk>
                        <ClmnBlk>
                          <ClmnBlkProps>
                            <FCPT>0</FCPT>
                            <FCN>8</FCN>
                            <LCPT>0</LCPT>
                            <LCN>8</LCN>
                          </ClmnBlkProps>
                          <ClmnBlkPts>
                            <ClmnBlkPt>
                              <ClmnBlkPtProps>
                                <CBPT>5</CBPT>
                                <ST>18</ST>
                                <SON>22</SON>
                                <VOFFF><![CDATA[=IF(§A¿0,1,0,1,191,2,1,-1,0,0,FALSE,FALSE§Z¿>0,&#10;IF(§A¿0,1,0,1,191,3,1,-1,0,0,FALSE,FALSE§Z¿=0,-MIN(§A¿0,1,0,1,191,2,1,-1,0,0,FALSE,FALSE§Z¿,0),&#10;IF(SIGN(OFFSET(§A¿0,1,0,1,191,3,1,-1,0,0,FALSE,FALSE§Z¿,-1,0))<>SIGN(§A¿0,1,0,1,191,3,1,-1,0,0,FALSE,FALSE§Z¿),MAX(OFFSET(§A¿0,1,0,1,191,3,1,-1,0,0,FALSE,FALSE§Z¿,-1,0),§A¿0,1,0,1,191,3,1,-1,0,0,FALSE,FALSE§Z¿),&#10;IF(§A¿0,1,0,1,191,3,1,-1,0,0,FALSE,FALSE§Z¿>0,ABS(§A¿0,1,0,1,191,2,1,-1,0,0,FALSE,FALSE§Z¿),0))),&#10;0)]]></VOFFF>
                              </ClmnBlkPtProps>
                            </ClmnBlkPt>
                          </ClmnBlkPts>
                        </ClmnBlk>
                        <ClmnBlk>
                          <ClmnBlkProps>
                            <FCPT>0</FCPT>
                            <FCN>9</FCN>
                            <LCPT>0</LCPT>
                            <LCN>9</LCN>
                          </ClmnBlkProps>
                          <ClmnBlkPts>
                            <ClmnBlkPt>
                              <ClmnBlkPtProps>
                                <CBPT>5</CBPT>
                                <ST>18</ST>
                                <SON>22</SON>
                                <VOFFF><![CDATA[=IF(SIGN(OFFSET(§A¿0,1,0,1,191,3,1,-1,0,0,FALSE,FALSE§Z¿,-1,0))<>SIGN(§A¿0,1,0,1,191,3,1,-1,0,0,FALSE,FALSE§Z¿),0,&#10;IF(OFFSET(§A¿0,1,0,1,191,3,1,-1,0,0,FALSE,FALSE§Z¿,-1,0)<0,IF(§A¿0,1,0,1,191,2,1,-1,0,0,FALSE,FALSE§Z¿>0,§A¿0,1,0,1,191,3,1,-1,0,0,FALSE,FALSE§Z¿,OFFSET(§A¿0,1,0,1,191,3,1,-1,0,0,FALSE,FALSE§Z¿,-1,0)),0))]]></VOFFF>
                              </ClmnBlkPtProps>
                            </ClmnBlkPt>
                          </ClmnBlkPts>
                        </ClmnBlk>
                        <ClmnBlk>
                          <ClmnBlkProps>
                            <FCPT>0</FCPT>
                            <FCN>10</FCN>
                            <LCPT>0</LCPT>
                            <LCN>10</LCN>
                          </ClmnBlkProps>
                          <ClmnBlkPts>
                            <ClmnBlkPt>
                              <ClmnBlkPtProps>
                                <CBPT>5</CBPT>
                                <ST>18</ST>
                                <SON>22</SON>
                                <VOFFF><![CDATA[=IF(§A¿0,1,0,1,191,2,1,-1,0,0,FALSE,FALSE§Z¿>0,&#10;IF(§A¿0,1,0,1,191,3,1,-1,0,0,FALSE,FALSE§Z¿=0,-MAX(§A¿0,1,0,1,191,2,1,-1,0,0,FALSE,FALSE§Z¿,0),&#10;IF(SIGN(OFFSET(§A¿0,1,0,1,191,3,1,-1,0,0,FALSE,FALSE§Z¿,-1,0))<>SIGN(§A¿0,1,0,1,191,3,1,-1,0,0,FALSE,FALSE§Z¿),MIN(OFFSET(§A¿0,1,0,1,191,3,1,-1,0,0,FALSE,FALSE§Z¿,-1,0),§A¿0,1,0,1,191,3,1,-1,0,0,FALSE,FALSE§Z¿),&#10;IF(§A¿0,1,0,1,191,3,1,-1,0,0,FALSE,FALSE§Z¿<0,-ABS(§A¿0,1,0,1,191,2,1,-1,0,0,FALSE,FALSE§Z¿),0))),&#10;0)]]></VOFFF>
                              </ClmnBlkPtProps>
                            </ClmnBlkPt>
                          </ClmnBlkPts>
                        </ClmnBlk>
                        <ClmnBlk>
                          <ClmnBlkProps>
                            <FCPT>0</FCPT>
                            <FCN>11</FCN>
                            <LCPT>0</LCPT>
                            <LCN>11</LCN>
                          </ClmnBlkProps>
                          <ClmnBlkPts>
                            <ClmnBlkPt>
                              <ClmnBlkPtProps>
                                <CBPT>5</CBPT>
                                <ST>18</ST>
                                <SON>22</SON>
                                <VOFFF><![CDATA[=IF(§A¿0,1,0,1,191,2,1,-1,0,0,FALSE,FALSE§Z¿<0,&#10;IF(§A¿0,1,0,1,191,3,1,-1,0,0,FALSE,FALSE§Z¿=0,-MIN(§A¿0,1,0,1,191,2,1,-1,0,0,FALSE,FALSE§Z¿,0),&#10;IF(SIGN(OFFSET(§A¿0,1,0,1,191,3,1,-1,0,0,FALSE,FALSE§Z¿,-1,0))<>SIGN(§A¿0,1,0,1,191,3,1,-1,0,0,FALSE,FALSE§Z¿),MAX(OFFSET(§A¿0,1,0,1,191,3,1,-1,0,0,FALSE,FALSE§Z¿,-1,0),§A¿0,1,0,1,191,3,1,-1,0,0,FALSE,FALSE§Z¿),&#10;IF(§A¿0,1,0,1,191,3,1,-1,0,0,FALSE,FALSE§Z¿>0,ABS(§A¿0,1,0,1,191,2,1,-1,0,0,FALSE,FALSE§Z¿),0))),&#10;0)]]></VOFFF>
                              </ClmnBlkPtProps>
                            </ClmnBlkPt>
                          </ClmnBlkPts>
                        </ClmnBlk>
                        <ClmnBlk>
                          <ClmnBlkProps>
                            <FCPT>0</FCPT>
                            <FCN>12</FCN>
                            <LCPT>0</LCPT>
                            <LCN>12</LCN>
                          </ClmnBlkProps>
                          <ClmnBlkPts>
                            <ClmnBlkPt>
                              <ClmnBlkPtProps>
                                <CBPT>5</CBPT>
                                <ST>18</ST>
                                <SON>22</SON>
                                <VOFFF><![CDATA[=IF(§A¿0,1,0,1,191,2,1,-1,0,0,FALSE,FALSE§Z¿<0,&#10;IF(§A¿0,1,0,1,191,3,1,-1,0,0,FALSE,FALSE§Z¿=0,-MAX(§A¿0,1,0,1,191,2,1,-1,0,0,FALSE,FALSE§Z¿,0),&#10;IF(SIGN(OFFSET(§A¿0,1,0,1,191,3,1,-1,0,0,FALSE,FALSE§Z¿,-1,0))<>SIGN(§A¿0,1,0,1,191,3,1,-1,0,0,FALSE,FALSE§Z¿),MIN(OFFSET(§A¿0,1,0,1,191,3,1,-1,0,0,FALSE,FALSE§Z¿,-1,0),§A¿0,1,0,1,191,3,1,-1,0,0,FALSE,FALSE§Z¿),&#10;IF(§A¿0,1,0,1,191,3,1,-1,0,0,FALSE,FALSE§Z¿<0,-ABS(§A¿0,1,0,1,191,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7,1,1,-1,0,0,FALSE,FALSE§Z¿]]></VOFFF>
                              </ClmnBlkPtProps>
                            </ClmnBlkPt>
                          </ClmnBlkPts>
                        </ClmnBlk>
                        <ClmnBlk>
                          <ClmnBlkProps>
                            <FCPT>0</FCPT>
                            <FCN>5</FCN>
                            <LCPT>0</LCPT>
                            <LCN>5</LCN>
                          </ClmnBlkProps>
                          <ClmnBlkPts>
                            <ClmnBlkPt>
                              <ClmnBlkPtProps>
                                <CBPT>5</CBPT>
                                <ST>18</ST>
                                <SON>22</SON>
                                <VOFFF><![CDATA[=§A¿0,1,0,1,67,3,1,-1,0,0,FALSE,FALSE§Z¿]]></VOFFF>
                              </ClmnBlkPtProps>
                            </ClmnBlkPt>
                          </ClmnBlkPts>
                        </ClmnBlk>
                        <ClmnBlk>
                          <ClmnBlkProps>
                            <FCPT>0</FCPT>
                            <FCN>6</FCN>
                            <LCPT>0</LCPT>
                            <LCN>6</LCN>
                          </ClmnBlkProps>
                          <ClmnBlkPts>
                            <ClmnBlkPt>
                              <ClmnBlkPtProps>
                                <CBPT>5</CBPT>
                                <ST>18</ST>
                                <SON>22</SON>
                                <VOFFF><![CDATA[=SUM(§A¿0,1,1,1,183,2,1,-1,0,0,TRUE,FALSE,1,192,2,1,-1,0,0,FALSE,FALSE§Z¿)]]></VOFFF>
                              </ClmnBlkPtProps>
                            </ClmnBlkPt>
                          </ClmnBlkPts>
                        </ClmnBlk>
                        <ClmnBlk>
                          <ClmnBlkProps>
                            <FCPT>0</FCPT>
                            <FCN>7</FCN>
                            <LCPT>0</LCPT>
                            <LCN>7</LCN>
                          </ClmnBlkProps>
                          <ClmnBlkPts>
                            <ClmnBlkPt>
                              <ClmnBlkPtProps>
                                <CBPT>5</CBPT>
                                <ST>18</ST>
                                <SON>22</SON>
                                <VOFFF><![CDATA[=IF(SIGN(§A¿0,1,0,1,192,3,1,-1,0,0,FALSE,FALSE§Z¿)<>SIGN(OFFSET(§A¿0,1,0,1,192,3,1,-1,0,0,FALSE,FALSE§Z¿,-1,0)),0,&#10;IF(OFFSET(§A¿0,1,0,1,192,3,1,-1,0,0,FALSE,FALSE§Z¿,-1,0)>0,IF(§A¿0,1,0,1,192,2,1,-1,0,0,FALSE,FALSE§Z¿<0,§A¿0,1,0,1,192,3,1,-1,0,0,FALSE,FALSE§Z¿,OFFSET(§A¿0,1,0,1,192,3,1,-1,0,0,FALSE,FALSE§Z¿,-1,0)),0))]]></VOFFF>
                              </ClmnBlkPtProps>
                            </ClmnBlkPt>
                          </ClmnBlkPts>
                        </ClmnBlk>
                        <ClmnBlk>
                          <ClmnBlkProps>
                            <FCPT>0</FCPT>
                            <FCN>8</FCN>
                            <LCPT>0</LCPT>
                            <LCN>8</LCN>
                          </ClmnBlkProps>
                          <ClmnBlkPts>
                            <ClmnBlkPt>
                              <ClmnBlkPtProps>
                                <CBPT>5</CBPT>
                                <ST>18</ST>
                                <SON>22</SON>
                                <VOFFF><![CDATA[=IF(§A¿0,1,0,1,192,2,1,-1,0,0,FALSE,FALSE§Z¿>0,&#10;IF(§A¿0,1,0,1,192,3,1,-1,0,0,FALSE,FALSE§Z¿=0,-MIN(§A¿0,1,0,1,192,2,1,-1,0,0,FALSE,FALSE§Z¿,0),&#10;IF(SIGN(OFFSET(§A¿0,1,0,1,192,3,1,-1,0,0,FALSE,FALSE§Z¿,-1,0))<>SIGN(§A¿0,1,0,1,192,3,1,-1,0,0,FALSE,FALSE§Z¿),MAX(OFFSET(§A¿0,1,0,1,192,3,1,-1,0,0,FALSE,FALSE§Z¿,-1,0),§A¿0,1,0,1,192,3,1,-1,0,0,FALSE,FALSE§Z¿),&#10;IF(§A¿0,1,0,1,192,3,1,-1,0,0,FALSE,FALSE§Z¿>0,ABS(§A¿0,1,0,1,192,2,1,-1,0,0,FALSE,FALSE§Z¿),0))),&#10;0)]]></VOFFF>
                              </ClmnBlkPtProps>
                            </ClmnBlkPt>
                          </ClmnBlkPts>
                        </ClmnBlk>
                        <ClmnBlk>
                          <ClmnBlkProps>
                            <FCPT>0</FCPT>
                            <FCN>9</FCN>
                            <LCPT>0</LCPT>
                            <LCN>9</LCN>
                          </ClmnBlkProps>
                          <ClmnBlkPts>
                            <ClmnBlkPt>
                              <ClmnBlkPtProps>
                                <CBPT>5</CBPT>
                                <ST>18</ST>
                                <SON>22</SON>
                                <VOFFF><![CDATA[=IF(SIGN(OFFSET(§A¿0,1,0,1,192,3,1,-1,0,0,FALSE,FALSE§Z¿,-1,0))<>SIGN(§A¿0,1,0,1,192,3,1,-1,0,0,FALSE,FALSE§Z¿),0,&#10;IF(OFFSET(§A¿0,1,0,1,192,3,1,-1,0,0,FALSE,FALSE§Z¿,-1,0)<0,IF(§A¿0,1,0,1,192,2,1,-1,0,0,FALSE,FALSE§Z¿>0,§A¿0,1,0,1,192,3,1,-1,0,0,FALSE,FALSE§Z¿,OFFSET(§A¿0,1,0,1,192,3,1,-1,0,0,FALSE,FALSE§Z¿,-1,0)),0))]]></VOFFF>
                              </ClmnBlkPtProps>
                            </ClmnBlkPt>
                          </ClmnBlkPts>
                        </ClmnBlk>
                        <ClmnBlk>
                          <ClmnBlkProps>
                            <FCPT>0</FCPT>
                            <FCN>10</FCN>
                            <LCPT>0</LCPT>
                            <LCN>10</LCN>
                          </ClmnBlkProps>
                          <ClmnBlkPts>
                            <ClmnBlkPt>
                              <ClmnBlkPtProps>
                                <CBPT>5</CBPT>
                                <ST>18</ST>
                                <SON>22</SON>
                                <VOFFF><![CDATA[=IF(§A¿0,1,0,1,192,2,1,-1,0,0,FALSE,FALSE§Z¿>0,&#10;IF(§A¿0,1,0,1,192,3,1,-1,0,0,FALSE,FALSE§Z¿=0,-MAX(§A¿0,1,0,1,192,2,1,-1,0,0,FALSE,FALSE§Z¿,0),&#10;IF(SIGN(OFFSET(§A¿0,1,0,1,192,3,1,-1,0,0,FALSE,FALSE§Z¿,-1,0))<>SIGN(§A¿0,1,0,1,192,3,1,-1,0,0,FALSE,FALSE§Z¿),MIN(OFFSET(§A¿0,1,0,1,192,3,1,-1,0,0,FALSE,FALSE§Z¿,-1,0),§A¿0,1,0,1,192,3,1,-1,0,0,FALSE,FALSE§Z¿),&#10;IF(§A¿0,1,0,1,192,3,1,-1,0,0,FALSE,FALSE§Z¿<0,-ABS(§A¿0,1,0,1,192,2,1,-1,0,0,FALSE,FALSE§Z¿),0))),&#10;0)]]></VOFFF>
                              </ClmnBlkPtProps>
                            </ClmnBlkPt>
                          </ClmnBlkPts>
                        </ClmnBlk>
                        <ClmnBlk>
                          <ClmnBlkProps>
                            <FCPT>0</FCPT>
                            <FCN>11</FCN>
                            <LCPT>0</LCPT>
                            <LCN>11</LCN>
                          </ClmnBlkProps>
                          <ClmnBlkPts>
                            <ClmnBlkPt>
                              <ClmnBlkPtProps>
                                <CBPT>5</CBPT>
                                <ST>18</ST>
                                <SON>22</SON>
                                <VOFFF><![CDATA[=IF(§A¿0,1,0,1,192,2,1,-1,0,0,FALSE,FALSE§Z¿<0,&#10;IF(§A¿0,1,0,1,192,3,1,-1,0,0,FALSE,FALSE§Z¿=0,-MIN(§A¿0,1,0,1,192,2,1,-1,0,0,FALSE,FALSE§Z¿,0),&#10;IF(SIGN(OFFSET(§A¿0,1,0,1,192,3,1,-1,0,0,FALSE,FALSE§Z¿,-1,0))<>SIGN(§A¿0,1,0,1,192,3,1,-1,0,0,FALSE,FALSE§Z¿),MAX(OFFSET(§A¿0,1,0,1,192,3,1,-1,0,0,FALSE,FALSE§Z¿,-1,0),§A¿0,1,0,1,192,3,1,-1,0,0,FALSE,FALSE§Z¿),&#10;IF(§A¿0,1,0,1,192,3,1,-1,0,0,FALSE,FALSE§Z¿>0,ABS(§A¿0,1,0,1,192,2,1,-1,0,0,FALSE,FALSE§Z¿),0))),&#10;0)]]></VOFFF>
                              </ClmnBlkPtProps>
                            </ClmnBlkPt>
                          </ClmnBlkPts>
                        </ClmnBlk>
                        <ClmnBlk>
                          <ClmnBlkProps>
                            <FCPT>0</FCPT>
                            <FCN>12</FCN>
                            <LCPT>0</LCPT>
                            <LCN>12</LCN>
                          </ClmnBlkProps>
                          <ClmnBlkPts>
                            <ClmnBlkPt>
                              <ClmnBlkPtProps>
                                <CBPT>5</CBPT>
                                <ST>18</ST>
                                <SON>22</SON>
                                <VOFFF><![CDATA[=IF(§A¿0,1,0,1,192,2,1,-1,0,0,FALSE,FALSE§Z¿<0,&#10;IF(§A¿0,1,0,1,192,3,1,-1,0,0,FALSE,FALSE§Z¿=0,-MAX(§A¿0,1,0,1,192,2,1,-1,0,0,FALSE,FALSE§Z¿,0),&#10;IF(SIGN(OFFSET(§A¿0,1,0,1,192,3,1,-1,0,0,FALSE,FALSE§Z¿,-1,0))<>SIGN(§A¿0,1,0,1,192,3,1,-1,0,0,FALSE,FALSE§Z¿),MIN(OFFSET(§A¿0,1,0,1,192,3,1,-1,0,0,FALSE,FALSE§Z¿,-1,0),§A¿0,1,0,1,192,3,1,-1,0,0,FALSE,FALSE§Z¿),&#10;IF(§A¿0,1,0,1,192,3,1,-1,0,0,FALSE,FALSE§Z¿<0,-ABS(§A¿0,1,0,1,192,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69,1,1,-1,0,0,FALSE,FALSE§Z¿]]></VOFFF>
                              </ClmnBlkPtProps>
                            </ClmnBlkPt>
                          </ClmnBlkPts>
                        </ClmnBlk>
                        <ClmnBlk>
                          <ClmnBlkProps>
                            <FCPT>0</FCPT>
                            <FCN>5</FCN>
                            <LCPT>0</LCPT>
                            <LCN>5</LCN>
                          </ClmnBlkProps>
                          <ClmnBlkPts>
                            <ClmnBlkPt>
                              <ClmnBlkPtProps>
                                <CBPT>5</CBPT>
                                <ST>18</ST>
                                <SON>22</SON>
                                <VOFFF><![CDATA[=§A¿0,1,0,1,69,3,1,-1,0,0,FALSE,FALSE§Z¿]]></VOFFF>
                              </ClmnBlkPtProps>
                            </ClmnBlkPt>
                          </ClmnBlkPts>
                        </ClmnBlk>
                        <ClmnBlk>
                          <ClmnBlkProps>
                            <FCPT>0</FCPT>
                            <FCN>6</FCN>
                            <LCPT>0</LCPT>
                            <LCN>6</LCN>
                          </ClmnBlkProps>
                          <ClmnBlkPts>
                            <ClmnBlkPt>
                              <ClmnBlkPtProps>
                                <CBPT>5</CBPT>
                                <ST>18</ST>
                                <SON>22</SON>
                                <VOFFF><![CDATA[=SUM(§A¿0,1,1,1,183,2,1,-1,0,0,TRUE,FALSE,1,193,2,1,-1,0,0,FALSE,FALSE§Z¿)]]></VOFFF>
                              </ClmnBlkPtProps>
                            </ClmnBlkPt>
                          </ClmnBlkPts>
                        </ClmnBlk>
                        <ClmnBlk>
                          <ClmnBlkProps>
                            <FCPT>0</FCPT>
                            <FCN>7</FCN>
                            <LCPT>0</LCPT>
                            <LCN>7</LCN>
                          </ClmnBlkProps>
                          <ClmnBlkPts>
                            <ClmnBlkPt>
                              <ClmnBlkPtProps>
                                <CBPT>5</CBPT>
                                <ST>18</ST>
                                <SON>22</SON>
                                <VOFFF><![CDATA[=IF(SIGN(§A¿0,1,0,1,193,3,1,-1,0,0,FALSE,FALSE§Z¿)<>SIGN(OFFSET(§A¿0,1,0,1,193,3,1,-1,0,0,FALSE,FALSE§Z¿,-1,0)),0,&#10;IF(OFFSET(§A¿0,1,0,1,193,3,1,-1,0,0,FALSE,FALSE§Z¿,-1,0)>0,IF(§A¿0,1,0,1,193,2,1,-1,0,0,FALSE,FALSE§Z¿<0,§A¿0,1,0,1,193,3,1,-1,0,0,FALSE,FALSE§Z¿,OFFSET(§A¿0,1,0,1,193,3,1,-1,0,0,FALSE,FALSE§Z¿,-1,0)),0))]]></VOFFF>
                              </ClmnBlkPtProps>
                            </ClmnBlkPt>
                          </ClmnBlkPts>
                        </ClmnBlk>
                        <ClmnBlk>
                          <ClmnBlkProps>
                            <FCPT>0</FCPT>
                            <FCN>8</FCN>
                            <LCPT>0</LCPT>
                            <LCN>8</LCN>
                          </ClmnBlkProps>
                          <ClmnBlkPts>
                            <ClmnBlkPt>
                              <ClmnBlkPtProps>
                                <CBPT>5</CBPT>
                                <ST>18</ST>
                                <SON>22</SON>
                                <VOFFF><![CDATA[=IF(§A¿0,1,0,1,193,2,1,-1,0,0,FALSE,FALSE§Z¿>0,&#10;IF(§A¿0,1,0,1,193,3,1,-1,0,0,FALSE,FALSE§Z¿=0,-MIN(§A¿0,1,0,1,193,2,1,-1,0,0,FALSE,FALSE§Z¿,0),&#10;IF(SIGN(OFFSET(§A¿0,1,0,1,193,3,1,-1,0,0,FALSE,FALSE§Z¿,-1,0))<>SIGN(§A¿0,1,0,1,193,3,1,-1,0,0,FALSE,FALSE§Z¿),MAX(OFFSET(§A¿0,1,0,1,193,3,1,-1,0,0,FALSE,FALSE§Z¿,-1,0),§A¿0,1,0,1,193,3,1,-1,0,0,FALSE,FALSE§Z¿),&#10;IF(§A¿0,1,0,1,193,3,1,-1,0,0,FALSE,FALSE§Z¿>0,ABS(§A¿0,1,0,1,193,2,1,-1,0,0,FALSE,FALSE§Z¿),0))),&#10;0)]]></VOFFF>
                              </ClmnBlkPtProps>
                            </ClmnBlkPt>
                          </ClmnBlkPts>
                        </ClmnBlk>
                        <ClmnBlk>
                          <ClmnBlkProps>
                            <FCPT>0</FCPT>
                            <FCN>9</FCN>
                            <LCPT>0</LCPT>
                            <LCN>9</LCN>
                          </ClmnBlkProps>
                          <ClmnBlkPts>
                            <ClmnBlkPt>
                              <ClmnBlkPtProps>
                                <CBPT>5</CBPT>
                                <ST>18</ST>
                                <SON>22</SON>
                                <VOFFF><![CDATA[=IF(SIGN(OFFSET(§A¿0,1,0,1,193,3,1,-1,0,0,FALSE,FALSE§Z¿,-1,0))<>SIGN(§A¿0,1,0,1,193,3,1,-1,0,0,FALSE,FALSE§Z¿),0,&#10;IF(OFFSET(§A¿0,1,0,1,193,3,1,-1,0,0,FALSE,FALSE§Z¿,-1,0)<0,IF(§A¿0,1,0,1,193,2,1,-1,0,0,FALSE,FALSE§Z¿>0,§A¿0,1,0,1,193,3,1,-1,0,0,FALSE,FALSE§Z¿,OFFSET(§A¿0,1,0,1,193,3,1,-1,0,0,FALSE,FALSE§Z¿,-1,0)),0))]]></VOFFF>
                              </ClmnBlkPtProps>
                            </ClmnBlkPt>
                          </ClmnBlkPts>
                        </ClmnBlk>
                        <ClmnBlk>
                          <ClmnBlkProps>
                            <FCPT>0</FCPT>
                            <FCN>10</FCN>
                            <LCPT>0</LCPT>
                            <LCN>10</LCN>
                          </ClmnBlkProps>
                          <ClmnBlkPts>
                            <ClmnBlkPt>
                              <ClmnBlkPtProps>
                                <CBPT>5</CBPT>
                                <ST>18</ST>
                                <SON>22</SON>
                                <VOFFF><![CDATA[=IF(§A¿0,1,0,1,193,2,1,-1,0,0,FALSE,FALSE§Z¿>0,&#10;IF(§A¿0,1,0,1,193,3,1,-1,0,0,FALSE,FALSE§Z¿=0,-MAX(§A¿0,1,0,1,193,2,1,-1,0,0,FALSE,FALSE§Z¿,0),&#10;IF(SIGN(OFFSET(§A¿0,1,0,1,193,3,1,-1,0,0,FALSE,FALSE§Z¿,-1,0))<>SIGN(§A¿0,1,0,1,193,3,1,-1,0,0,FALSE,FALSE§Z¿),MIN(OFFSET(§A¿0,1,0,1,193,3,1,-1,0,0,FALSE,FALSE§Z¿,-1,0),§A¿0,1,0,1,193,3,1,-1,0,0,FALSE,FALSE§Z¿),&#10;IF(§A¿0,1,0,1,193,3,1,-1,0,0,FALSE,FALSE§Z¿<0,-ABS(§A¿0,1,0,1,193,2,1,-1,0,0,FALSE,FALSE§Z¿),0))),&#10;0)]]></VOFFF>
                              </ClmnBlkPtProps>
                            </ClmnBlkPt>
                          </ClmnBlkPts>
                        </ClmnBlk>
                        <ClmnBlk>
                          <ClmnBlkProps>
                            <FCPT>0</FCPT>
                            <FCN>11</FCN>
                            <LCPT>0</LCPT>
                            <LCN>11</LCN>
                          </ClmnBlkProps>
                          <ClmnBlkPts>
                            <ClmnBlkPt>
                              <ClmnBlkPtProps>
                                <CBPT>5</CBPT>
                                <ST>18</ST>
                                <SON>22</SON>
                                <VOFFF><![CDATA[=IF(§A¿0,1,0,1,193,2,1,-1,0,0,FALSE,FALSE§Z¿<0,&#10;IF(§A¿0,1,0,1,193,3,1,-1,0,0,FALSE,FALSE§Z¿=0,-MIN(§A¿0,1,0,1,193,2,1,-1,0,0,FALSE,FALSE§Z¿,0),&#10;IF(SIGN(OFFSET(§A¿0,1,0,1,193,3,1,-1,0,0,FALSE,FALSE§Z¿,-1,0))<>SIGN(§A¿0,1,0,1,193,3,1,-1,0,0,FALSE,FALSE§Z¿),MAX(OFFSET(§A¿0,1,0,1,193,3,1,-1,0,0,FALSE,FALSE§Z¿,-1,0),§A¿0,1,0,1,193,3,1,-1,0,0,FALSE,FALSE§Z¿),&#10;IF(§A¿0,1,0,1,193,3,1,-1,0,0,FALSE,FALSE§Z¿>0,ABS(§A¿0,1,0,1,193,2,1,-1,0,0,FALSE,FALSE§Z¿),0))),&#10;0)]]></VOFFF>
                              </ClmnBlkPtProps>
                            </ClmnBlkPt>
                          </ClmnBlkPts>
                        </ClmnBlk>
                        <ClmnBlk>
                          <ClmnBlkProps>
                            <FCPT>0</FCPT>
                            <FCN>12</FCN>
                            <LCPT>0</LCPT>
                            <LCN>12</LCN>
                          </ClmnBlkProps>
                          <ClmnBlkPts>
                            <ClmnBlkPt>
                              <ClmnBlkPtProps>
                                <CBPT>5</CBPT>
                                <ST>18</ST>
                                <SON>22</SON>
                                <VOFFF><![CDATA[=IF(§A¿0,1,0,1,193,2,1,-1,0,0,FALSE,FALSE§Z¿<0,&#10;IF(§A¿0,1,0,1,193,3,1,-1,0,0,FALSE,FALSE§Z¿=0,-MAX(§A¿0,1,0,1,193,2,1,-1,0,0,FALSE,FALSE§Z¿,0),&#10;IF(SIGN(OFFSET(§A¿0,1,0,1,193,3,1,-1,0,0,FALSE,FALSE§Z¿,-1,0))<>SIGN(§A¿0,1,0,1,193,3,1,-1,0,0,FALSE,FALSE§Z¿),MIN(OFFSET(§A¿0,1,0,1,193,3,1,-1,0,0,FALSE,FALSE§Z¿,-1,0),§A¿0,1,0,1,193,3,1,-1,0,0,FALSE,FALSE§Z¿),&#10;IF(§A¿0,1,0,1,193,3,1,-1,0,0,FALSE,FALSE§Z¿<0,-ABS(§A¿0,1,0,1,193,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0,1,1,-1,0,0,FALSE,FALSE§Z¿]]></VOFFF>
                              </ClmnBlkPtProps>
                            </ClmnBlkPt>
                          </ClmnBlkPts>
                        </ClmnBlk>
                        <ClmnBlk>
                          <ClmnBlkProps>
                            <FCPT>0</FCPT>
                            <FCN>5</FCN>
                            <LCPT>0</LCPT>
                            <LCN>5</LCN>
                          </ClmnBlkProps>
                          <ClmnBlkPts>
                            <ClmnBlkPt>
                              <ClmnBlkPtProps>
                                <CBPT>5</CBPT>
                                <ST>18</ST>
                                <SON>22</SON>
                                <VOFFF><![CDATA[=§A¿0,1,0,1,70,3,1,-1,0,0,FALSE,FALSE§Z¿]]></VOFFF>
                              </ClmnBlkPtProps>
                            </ClmnBlkPt>
                          </ClmnBlkPts>
                        </ClmnBlk>
                        <ClmnBlk>
                          <ClmnBlkProps>
                            <FCPT>0</FCPT>
                            <FCN>6</FCN>
                            <LCPT>0</LCPT>
                            <LCN>6</LCN>
                          </ClmnBlkProps>
                          <ClmnBlkPts>
                            <ClmnBlkPt>
                              <ClmnBlkPtProps>
                                <CBPT>5</CBPT>
                                <ST>18</ST>
                                <SON>22</SON>
                                <VOFFF><![CDATA[=SUM(§A¿0,1,1,1,183,2,1,-1,0,0,TRUE,FALSE,1,194,2,1,-1,0,0,FALSE,FALSE§Z¿)]]></VOFFF>
                              </ClmnBlkPtProps>
                            </ClmnBlkPt>
                          </ClmnBlkPts>
                        </ClmnBlk>
                        <ClmnBlk>
                          <ClmnBlkProps>
                            <FCPT>0</FCPT>
                            <FCN>7</FCN>
                            <LCPT>0</LCPT>
                            <LCN>7</LCN>
                          </ClmnBlkProps>
                          <ClmnBlkPts>
                            <ClmnBlkPt>
                              <ClmnBlkPtProps>
                                <CBPT>5</CBPT>
                                <ST>18</ST>
                                <SON>22</SON>
                                <VOFFF><![CDATA[=IF(SIGN(§A¿0,1,0,1,194,3,1,-1,0,0,FALSE,FALSE§Z¿)<>SIGN(OFFSET(§A¿0,1,0,1,194,3,1,-1,0,0,FALSE,FALSE§Z¿,-1,0)),0,&#10;IF(OFFSET(§A¿0,1,0,1,194,3,1,-1,0,0,FALSE,FALSE§Z¿,-1,0)>0,IF(§A¿0,1,0,1,194,2,1,-1,0,0,FALSE,FALSE§Z¿<0,§A¿0,1,0,1,194,3,1,-1,0,0,FALSE,FALSE§Z¿,OFFSET(§A¿0,1,0,1,194,3,1,-1,0,0,FALSE,FALSE§Z¿,-1,0)),0))]]></VOFFF>
                              </ClmnBlkPtProps>
                            </ClmnBlkPt>
                          </ClmnBlkPts>
                        </ClmnBlk>
                        <ClmnBlk>
                          <ClmnBlkProps>
                            <FCPT>0</FCPT>
                            <FCN>8</FCN>
                            <LCPT>0</LCPT>
                            <LCN>8</LCN>
                          </ClmnBlkProps>
                          <ClmnBlkPts>
                            <ClmnBlkPt>
                              <ClmnBlkPtProps>
                                <CBPT>5</CBPT>
                                <ST>18</ST>
                                <SON>22</SON>
                                <VOFFF><![CDATA[=IF(§A¿0,1,0,1,194,2,1,-1,0,0,FALSE,FALSE§Z¿>0,&#10;IF(§A¿0,1,0,1,194,3,1,-1,0,0,FALSE,FALSE§Z¿=0,-MIN(§A¿0,1,0,1,194,2,1,-1,0,0,FALSE,FALSE§Z¿,0),&#10;IF(SIGN(OFFSET(§A¿0,1,0,1,194,3,1,-1,0,0,FALSE,FALSE§Z¿,-1,0))<>SIGN(§A¿0,1,0,1,194,3,1,-1,0,0,FALSE,FALSE§Z¿),MAX(OFFSET(§A¿0,1,0,1,194,3,1,-1,0,0,FALSE,FALSE§Z¿,-1,0),§A¿0,1,0,1,194,3,1,-1,0,0,FALSE,FALSE§Z¿),&#10;IF(§A¿0,1,0,1,194,3,1,-1,0,0,FALSE,FALSE§Z¿>0,ABS(§A¿0,1,0,1,194,2,1,-1,0,0,FALSE,FALSE§Z¿),0))),&#10;0)]]></VOFFF>
                              </ClmnBlkPtProps>
                            </ClmnBlkPt>
                          </ClmnBlkPts>
                        </ClmnBlk>
                        <ClmnBlk>
                          <ClmnBlkProps>
                            <FCPT>0</FCPT>
                            <FCN>9</FCN>
                            <LCPT>0</LCPT>
                            <LCN>9</LCN>
                          </ClmnBlkProps>
                          <ClmnBlkPts>
                            <ClmnBlkPt>
                              <ClmnBlkPtProps>
                                <CBPT>5</CBPT>
                                <ST>18</ST>
                                <SON>22</SON>
                                <VOFFF><![CDATA[=IF(SIGN(OFFSET(§A¿0,1,0,1,194,3,1,-1,0,0,FALSE,FALSE§Z¿,-1,0))<>SIGN(§A¿0,1,0,1,194,3,1,-1,0,0,FALSE,FALSE§Z¿),0,&#10;IF(OFFSET(§A¿0,1,0,1,194,3,1,-1,0,0,FALSE,FALSE§Z¿,-1,0)<0,IF(§A¿0,1,0,1,194,2,1,-1,0,0,FALSE,FALSE§Z¿>0,§A¿0,1,0,1,194,3,1,-1,0,0,FALSE,FALSE§Z¿,OFFSET(§A¿0,1,0,1,194,3,1,-1,0,0,FALSE,FALSE§Z¿,-1,0)),0))]]></VOFFF>
                              </ClmnBlkPtProps>
                            </ClmnBlkPt>
                          </ClmnBlkPts>
                        </ClmnBlk>
                        <ClmnBlk>
                          <ClmnBlkProps>
                            <FCPT>0</FCPT>
                            <FCN>10</FCN>
                            <LCPT>0</LCPT>
                            <LCN>10</LCN>
                          </ClmnBlkProps>
                          <ClmnBlkPts>
                            <ClmnBlkPt>
                              <ClmnBlkPtProps>
                                <CBPT>5</CBPT>
                                <ST>18</ST>
                                <SON>22</SON>
                                <VOFFF><![CDATA[=IF(§A¿0,1,0,1,194,2,1,-1,0,0,FALSE,FALSE§Z¿>0,&#10;IF(§A¿0,1,0,1,194,3,1,-1,0,0,FALSE,FALSE§Z¿=0,-MAX(§A¿0,1,0,1,194,2,1,-1,0,0,FALSE,FALSE§Z¿,0),&#10;IF(SIGN(OFFSET(§A¿0,1,0,1,194,3,1,-1,0,0,FALSE,FALSE§Z¿,-1,0))<>SIGN(§A¿0,1,0,1,194,3,1,-1,0,0,FALSE,FALSE§Z¿),MIN(OFFSET(§A¿0,1,0,1,194,3,1,-1,0,0,FALSE,FALSE§Z¿,-1,0),§A¿0,1,0,1,194,3,1,-1,0,0,FALSE,FALSE§Z¿),&#10;IF(§A¿0,1,0,1,194,3,1,-1,0,0,FALSE,FALSE§Z¿<0,-ABS(§A¿0,1,0,1,194,2,1,-1,0,0,FALSE,FALSE§Z¿),0))),&#10;0)]]></VOFFF>
                              </ClmnBlkPtProps>
                            </ClmnBlkPt>
                          </ClmnBlkPts>
                        </ClmnBlk>
                        <ClmnBlk>
                          <ClmnBlkProps>
                            <FCPT>0</FCPT>
                            <FCN>11</FCN>
                            <LCPT>0</LCPT>
                            <LCN>11</LCN>
                          </ClmnBlkProps>
                          <ClmnBlkPts>
                            <ClmnBlkPt>
                              <ClmnBlkPtProps>
                                <CBPT>5</CBPT>
                                <ST>18</ST>
                                <SON>22</SON>
                                <VOFFF><![CDATA[=IF(§A¿0,1,0,1,194,2,1,-1,0,0,FALSE,FALSE§Z¿<0,&#10;IF(§A¿0,1,0,1,194,3,1,-1,0,0,FALSE,FALSE§Z¿=0,-MIN(§A¿0,1,0,1,194,2,1,-1,0,0,FALSE,FALSE§Z¿,0),&#10;IF(SIGN(OFFSET(§A¿0,1,0,1,194,3,1,-1,0,0,FALSE,FALSE§Z¿,-1,0))<>SIGN(§A¿0,1,0,1,194,3,1,-1,0,0,FALSE,FALSE§Z¿),MAX(OFFSET(§A¿0,1,0,1,194,3,1,-1,0,0,FALSE,FALSE§Z¿,-1,0),§A¿0,1,0,1,194,3,1,-1,0,0,FALSE,FALSE§Z¿),&#10;IF(§A¿0,1,0,1,194,3,1,-1,0,0,FALSE,FALSE§Z¿>0,ABS(§A¿0,1,0,1,194,2,1,-1,0,0,FALSE,FALSE§Z¿),0))),&#10;0)]]></VOFFF>
                              </ClmnBlkPtProps>
                            </ClmnBlkPt>
                          </ClmnBlkPts>
                        </ClmnBlk>
                        <ClmnBlk>
                          <ClmnBlkProps>
                            <FCPT>0</FCPT>
                            <FCN>12</FCN>
                            <LCPT>0</LCPT>
                            <LCN>12</LCN>
                          </ClmnBlkProps>
                          <ClmnBlkPts>
                            <ClmnBlkPt>
                              <ClmnBlkPtProps>
                                <CBPT>5</CBPT>
                                <ST>18</ST>
                                <SON>22</SON>
                                <VOFFF><![CDATA[=IF(§A¿0,1,0,1,194,2,1,-1,0,0,FALSE,FALSE§Z¿<0,&#10;IF(§A¿0,1,0,1,194,3,1,-1,0,0,FALSE,FALSE§Z¿=0,-MAX(§A¿0,1,0,1,194,2,1,-1,0,0,FALSE,FALSE§Z¿,0),&#10;IF(SIGN(OFFSET(§A¿0,1,0,1,194,3,1,-1,0,0,FALSE,FALSE§Z¿,-1,0))<>SIGN(§A¿0,1,0,1,194,3,1,-1,0,0,FALSE,FALSE§Z¿),MIN(OFFSET(§A¿0,1,0,1,194,3,1,-1,0,0,FALSE,FALSE§Z¿,-1,0),§A¿0,1,0,1,194,3,1,-1,0,0,FALSE,FALSE§Z¿),&#10;IF(§A¿0,1,0,1,194,3,1,-1,0,0,FALSE,FALSE§Z¿<0,-ABS(§A¿0,1,0,1,194,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1,1,1,-1,0,0,FALSE,FALSE§Z¿]]></VOFFF>
                              </ClmnBlkPtProps>
                            </ClmnBlkPt>
                          </ClmnBlkPts>
                        </ClmnBlk>
                        <ClmnBlk>
                          <ClmnBlkProps>
                            <FCPT>0</FCPT>
                            <FCN>5</FCN>
                            <LCPT>0</LCPT>
                            <LCN>5</LCN>
                          </ClmnBlkProps>
                          <ClmnBlkPts>
                            <ClmnBlkPt>
                              <ClmnBlkPtProps>
                                <CBPT>5</CBPT>
                                <ST>18</ST>
                                <SON>22</SON>
                                <VOFFF><![CDATA[=§A¿0,1,0,1,71,3,1,-1,0,0,FALSE,FALSE§Z¿]]></VOFFF>
                              </ClmnBlkPtProps>
                            </ClmnBlkPt>
                          </ClmnBlkPts>
                        </ClmnBlk>
                        <ClmnBlk>
                          <ClmnBlkProps>
                            <FCPT>0</FCPT>
                            <FCN>6</FCN>
                            <LCPT>0</LCPT>
                            <LCN>6</LCN>
                          </ClmnBlkProps>
                          <ClmnBlkPts>
                            <ClmnBlkPt>
                              <ClmnBlkPtProps>
                                <CBPT>5</CBPT>
                                <ST>18</ST>
                                <SON>22</SON>
                                <VOFFF><![CDATA[=SUM(§A¿0,1,1,1,183,2,1,-1,0,0,TRUE,FALSE,1,195,2,1,-1,0,0,FALSE,FALSE§Z¿)]]></VOFFF>
                              </ClmnBlkPtProps>
                            </ClmnBlkPt>
                          </ClmnBlkPts>
                        </ClmnBlk>
                        <ClmnBlk>
                          <ClmnBlkProps>
                            <FCPT>0</FCPT>
                            <FCN>7</FCN>
                            <LCPT>0</LCPT>
                            <LCN>7</LCN>
                          </ClmnBlkProps>
                          <ClmnBlkPts>
                            <ClmnBlkPt>
                              <ClmnBlkPtProps>
                                <CBPT>5</CBPT>
                                <ST>18</ST>
                                <SON>22</SON>
                                <VOFFF><![CDATA[=IF(SIGN(§A¿0,1,0,1,195,3,1,-1,0,0,FALSE,FALSE§Z¿)<>SIGN(OFFSET(§A¿0,1,0,1,195,3,1,-1,0,0,FALSE,FALSE§Z¿,-1,0)),0,&#10;IF(OFFSET(§A¿0,1,0,1,195,3,1,-1,0,0,FALSE,FALSE§Z¿,-1,0)>0,IF(§A¿0,1,0,1,195,2,1,-1,0,0,FALSE,FALSE§Z¿<0,§A¿0,1,0,1,195,3,1,-1,0,0,FALSE,FALSE§Z¿,OFFSET(§A¿0,1,0,1,195,3,1,-1,0,0,FALSE,FALSE§Z¿,-1,0)),0))]]></VOFFF>
                              </ClmnBlkPtProps>
                            </ClmnBlkPt>
                          </ClmnBlkPts>
                        </ClmnBlk>
                        <ClmnBlk>
                          <ClmnBlkProps>
                            <FCPT>0</FCPT>
                            <FCN>8</FCN>
                            <LCPT>0</LCPT>
                            <LCN>8</LCN>
                          </ClmnBlkProps>
                          <ClmnBlkPts>
                            <ClmnBlkPt>
                              <ClmnBlkPtProps>
                                <CBPT>5</CBPT>
                                <ST>18</ST>
                                <SON>22</SON>
                                <VOFFF><![CDATA[=IF(§A¿0,1,0,1,195,2,1,-1,0,0,FALSE,FALSE§Z¿>0,&#10;IF(§A¿0,1,0,1,195,3,1,-1,0,0,FALSE,FALSE§Z¿=0,-MIN(§A¿0,1,0,1,195,2,1,-1,0,0,FALSE,FALSE§Z¿,0),&#10;IF(SIGN(OFFSET(§A¿0,1,0,1,195,3,1,-1,0,0,FALSE,FALSE§Z¿,-1,0))<>SIGN(§A¿0,1,0,1,195,3,1,-1,0,0,FALSE,FALSE§Z¿),MAX(OFFSET(§A¿0,1,0,1,195,3,1,-1,0,0,FALSE,FALSE§Z¿,-1,0),§A¿0,1,0,1,195,3,1,-1,0,0,FALSE,FALSE§Z¿),&#10;IF(§A¿0,1,0,1,195,3,1,-1,0,0,FALSE,FALSE§Z¿>0,ABS(§A¿0,1,0,1,195,2,1,-1,0,0,FALSE,FALSE§Z¿),0))),&#10;0)]]></VOFFF>
                              </ClmnBlkPtProps>
                            </ClmnBlkPt>
                          </ClmnBlkPts>
                        </ClmnBlk>
                        <ClmnBlk>
                          <ClmnBlkProps>
                            <FCPT>0</FCPT>
                            <FCN>9</FCN>
                            <LCPT>0</LCPT>
                            <LCN>9</LCN>
                          </ClmnBlkProps>
                          <ClmnBlkPts>
                            <ClmnBlkPt>
                              <ClmnBlkPtProps>
                                <CBPT>5</CBPT>
                                <ST>18</ST>
                                <SON>22</SON>
                                <VOFFF><![CDATA[=IF(SIGN(OFFSET(§A¿0,1,0,1,195,3,1,-1,0,0,FALSE,FALSE§Z¿,-1,0))<>SIGN(§A¿0,1,0,1,195,3,1,-1,0,0,FALSE,FALSE§Z¿),0,&#10;IF(OFFSET(§A¿0,1,0,1,195,3,1,-1,0,0,FALSE,FALSE§Z¿,-1,0)<0,IF(§A¿0,1,0,1,195,2,1,-1,0,0,FALSE,FALSE§Z¿>0,§A¿0,1,0,1,195,3,1,-1,0,0,FALSE,FALSE§Z¿,OFFSET(§A¿0,1,0,1,195,3,1,-1,0,0,FALSE,FALSE§Z¿,-1,0)),0))]]></VOFFF>
                              </ClmnBlkPtProps>
                            </ClmnBlkPt>
                          </ClmnBlkPts>
                        </ClmnBlk>
                        <ClmnBlk>
                          <ClmnBlkProps>
                            <FCPT>0</FCPT>
                            <FCN>10</FCN>
                            <LCPT>0</LCPT>
                            <LCN>10</LCN>
                          </ClmnBlkProps>
                          <ClmnBlkPts>
                            <ClmnBlkPt>
                              <ClmnBlkPtProps>
                                <CBPT>5</CBPT>
                                <ST>18</ST>
                                <SON>22</SON>
                                <VOFFF><![CDATA[=IF(§A¿0,1,0,1,195,2,1,-1,0,0,FALSE,FALSE§Z¿>0,&#10;IF(§A¿0,1,0,1,195,3,1,-1,0,0,FALSE,FALSE§Z¿=0,-MAX(§A¿0,1,0,1,195,2,1,-1,0,0,FALSE,FALSE§Z¿,0),&#10;IF(SIGN(OFFSET(§A¿0,1,0,1,195,3,1,-1,0,0,FALSE,FALSE§Z¿,-1,0))<>SIGN(§A¿0,1,0,1,195,3,1,-1,0,0,FALSE,FALSE§Z¿),MIN(OFFSET(§A¿0,1,0,1,195,3,1,-1,0,0,FALSE,FALSE§Z¿,-1,0),§A¿0,1,0,1,195,3,1,-1,0,0,FALSE,FALSE§Z¿),&#10;IF(§A¿0,1,0,1,195,3,1,-1,0,0,FALSE,FALSE§Z¿<0,-ABS(§A¿0,1,0,1,195,2,1,-1,0,0,FALSE,FALSE§Z¿),0))),&#10;0)]]></VOFFF>
                              </ClmnBlkPtProps>
                            </ClmnBlkPt>
                          </ClmnBlkPts>
                        </ClmnBlk>
                        <ClmnBlk>
                          <ClmnBlkProps>
                            <FCPT>0</FCPT>
                            <FCN>11</FCN>
                            <LCPT>0</LCPT>
                            <LCN>11</LCN>
                          </ClmnBlkProps>
                          <ClmnBlkPts>
                            <ClmnBlkPt>
                              <ClmnBlkPtProps>
                                <CBPT>5</CBPT>
                                <ST>18</ST>
                                <SON>22</SON>
                                <VOFFF><![CDATA[=IF(§A¿0,1,0,1,195,2,1,-1,0,0,FALSE,FALSE§Z¿<0,&#10;IF(§A¿0,1,0,1,195,3,1,-1,0,0,FALSE,FALSE§Z¿=0,-MIN(§A¿0,1,0,1,195,2,1,-1,0,0,FALSE,FALSE§Z¿,0),&#10;IF(SIGN(OFFSET(§A¿0,1,0,1,195,3,1,-1,0,0,FALSE,FALSE§Z¿,-1,0))<>SIGN(§A¿0,1,0,1,195,3,1,-1,0,0,FALSE,FALSE§Z¿),MAX(OFFSET(§A¿0,1,0,1,195,3,1,-1,0,0,FALSE,FALSE§Z¿,-1,0),§A¿0,1,0,1,195,3,1,-1,0,0,FALSE,FALSE§Z¿),&#10;IF(§A¿0,1,0,1,195,3,1,-1,0,0,FALSE,FALSE§Z¿>0,ABS(§A¿0,1,0,1,195,2,1,-1,0,0,FALSE,FALSE§Z¿),0))),&#10;0)]]></VOFFF>
                              </ClmnBlkPtProps>
                            </ClmnBlkPt>
                          </ClmnBlkPts>
                        </ClmnBlk>
                        <ClmnBlk>
                          <ClmnBlkProps>
                            <FCPT>0</FCPT>
                            <FCN>12</FCN>
                            <LCPT>0</LCPT>
                            <LCN>12</LCN>
                          </ClmnBlkProps>
                          <ClmnBlkPts>
                            <ClmnBlkPt>
                              <ClmnBlkPtProps>
                                <CBPT>5</CBPT>
                                <ST>18</ST>
                                <SON>22</SON>
                                <VOFFF><![CDATA[=IF(§A¿0,1,0,1,195,2,1,-1,0,0,FALSE,FALSE§Z¿<0,&#10;IF(§A¿0,1,0,1,195,3,1,-1,0,0,FALSE,FALSE§Z¿=0,-MAX(§A¿0,1,0,1,195,2,1,-1,0,0,FALSE,FALSE§Z¿,0),&#10;IF(SIGN(OFFSET(§A¿0,1,0,1,195,3,1,-1,0,0,FALSE,FALSE§Z¿,-1,0))<>SIGN(§A¿0,1,0,1,195,3,1,-1,0,0,FALSE,FALSE§Z¿),MIN(OFFSET(§A¿0,1,0,1,195,3,1,-1,0,0,FALSE,FALSE§Z¿,-1,0),§A¿0,1,0,1,195,3,1,-1,0,0,FALSE,FALSE§Z¿),&#10;IF(§A¿0,1,0,1,195,3,1,-1,0,0,FALSE,FALSE§Z¿<0,-ABS(§A¿0,1,0,1,195,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2,1,1,-1,0,0,FALSE,FALSE§Z¿]]></VOFFF>
                              </ClmnBlkPtProps>
                            </ClmnBlkPt>
                          </ClmnBlkPts>
                        </ClmnBlk>
                        <ClmnBlk>
                          <ClmnBlkProps>
                            <FCPT>0</FCPT>
                            <FCN>5</FCN>
                            <LCPT>0</LCPT>
                            <LCN>5</LCN>
                          </ClmnBlkProps>
                          <ClmnBlkPts>
                            <ClmnBlkPt>
                              <ClmnBlkPtProps>
                                <CBPT>5</CBPT>
                                <ST>18</ST>
                                <SON>22</SON>
                                <VOFFF><![CDATA[=§A¿0,1,0,1,72,3,1,-1,0,0,FALSE,FALSE§Z¿]]></VOFFF>
                              </ClmnBlkPtProps>
                            </ClmnBlkPt>
                          </ClmnBlkPts>
                        </ClmnBlk>
                        <ClmnBlk>
                          <ClmnBlkProps>
                            <FCPT>0</FCPT>
                            <FCN>6</FCN>
                            <LCPT>0</LCPT>
                            <LCN>6</LCN>
                          </ClmnBlkProps>
                          <ClmnBlkPts>
                            <ClmnBlkPt>
                              <ClmnBlkPtProps>
                                <CBPT>5</CBPT>
                                <ST>18</ST>
                                <SON>22</SON>
                                <VOFFF><![CDATA[=SUM(§A¿0,1,1,1,183,2,1,-1,0,0,TRUE,FALSE,1,196,2,1,-1,0,0,FALSE,FALSE§Z¿)]]></VOFFF>
                              </ClmnBlkPtProps>
                            </ClmnBlkPt>
                          </ClmnBlkPts>
                        </ClmnBlk>
                        <ClmnBlk>
                          <ClmnBlkProps>
                            <FCPT>0</FCPT>
                            <FCN>7</FCN>
                            <LCPT>0</LCPT>
                            <LCN>7</LCN>
                          </ClmnBlkProps>
                          <ClmnBlkPts>
                            <ClmnBlkPt>
                              <ClmnBlkPtProps>
                                <CBPT>5</CBPT>
                                <ST>18</ST>
                                <SON>22</SON>
                                <VOFFF><![CDATA[=IF(SIGN(§A¿0,1,0,1,196,3,1,-1,0,0,FALSE,FALSE§Z¿)<>SIGN(OFFSET(§A¿0,1,0,1,196,3,1,-1,0,0,FALSE,FALSE§Z¿,-1,0)),0,&#10;IF(OFFSET(§A¿0,1,0,1,196,3,1,-1,0,0,FALSE,FALSE§Z¿,-1,0)>0,IF(§A¿0,1,0,1,196,2,1,-1,0,0,FALSE,FALSE§Z¿<0,§A¿0,1,0,1,196,3,1,-1,0,0,FALSE,FALSE§Z¿,OFFSET(§A¿0,1,0,1,196,3,1,-1,0,0,FALSE,FALSE§Z¿,-1,0)),0))]]></VOFFF>
                              </ClmnBlkPtProps>
                            </ClmnBlkPt>
                          </ClmnBlkPts>
                        </ClmnBlk>
                        <ClmnBlk>
                          <ClmnBlkProps>
                            <FCPT>0</FCPT>
                            <FCN>8</FCN>
                            <LCPT>0</LCPT>
                            <LCN>8</LCN>
                          </ClmnBlkProps>
                          <ClmnBlkPts>
                            <ClmnBlkPt>
                              <ClmnBlkPtProps>
                                <CBPT>5</CBPT>
                                <ST>18</ST>
                                <SON>22</SON>
                                <VOFFF><![CDATA[=IF(§A¿0,1,0,1,196,2,1,-1,0,0,FALSE,FALSE§Z¿>0,&#10;IF(§A¿0,1,0,1,196,3,1,-1,0,0,FALSE,FALSE§Z¿=0,-MIN(§A¿0,1,0,1,196,2,1,-1,0,0,FALSE,FALSE§Z¿,0),&#10;IF(SIGN(OFFSET(§A¿0,1,0,1,196,3,1,-1,0,0,FALSE,FALSE§Z¿,-1,0))<>SIGN(§A¿0,1,0,1,196,3,1,-1,0,0,FALSE,FALSE§Z¿),MAX(OFFSET(§A¿0,1,0,1,196,3,1,-1,0,0,FALSE,FALSE§Z¿,-1,0),§A¿0,1,0,1,196,3,1,-1,0,0,FALSE,FALSE§Z¿),&#10;IF(§A¿0,1,0,1,196,3,1,-1,0,0,FALSE,FALSE§Z¿>0,ABS(§A¿0,1,0,1,196,2,1,-1,0,0,FALSE,FALSE§Z¿),0))),&#10;0)]]></VOFFF>
                              </ClmnBlkPtProps>
                            </ClmnBlkPt>
                          </ClmnBlkPts>
                        </ClmnBlk>
                        <ClmnBlk>
                          <ClmnBlkProps>
                            <FCPT>0</FCPT>
                            <FCN>9</FCN>
                            <LCPT>0</LCPT>
                            <LCN>9</LCN>
                          </ClmnBlkProps>
                          <ClmnBlkPts>
                            <ClmnBlkPt>
                              <ClmnBlkPtProps>
                                <CBPT>5</CBPT>
                                <ST>18</ST>
                                <SON>22</SON>
                                <VOFFF><![CDATA[=IF(SIGN(OFFSET(§A¿0,1,0,1,196,3,1,-1,0,0,FALSE,FALSE§Z¿,-1,0))<>SIGN(§A¿0,1,0,1,196,3,1,-1,0,0,FALSE,FALSE§Z¿),0,&#10;IF(OFFSET(§A¿0,1,0,1,196,3,1,-1,0,0,FALSE,FALSE§Z¿,-1,0)<0,IF(§A¿0,1,0,1,196,2,1,-1,0,0,FALSE,FALSE§Z¿>0,§A¿0,1,0,1,196,3,1,-1,0,0,FALSE,FALSE§Z¿,OFFSET(§A¿0,1,0,1,196,3,1,-1,0,0,FALSE,FALSE§Z¿,-1,0)),0))]]></VOFFF>
                              </ClmnBlkPtProps>
                            </ClmnBlkPt>
                          </ClmnBlkPts>
                        </ClmnBlk>
                        <ClmnBlk>
                          <ClmnBlkProps>
                            <FCPT>0</FCPT>
                            <FCN>10</FCN>
                            <LCPT>0</LCPT>
                            <LCN>10</LCN>
                          </ClmnBlkProps>
                          <ClmnBlkPts>
                            <ClmnBlkPt>
                              <ClmnBlkPtProps>
                                <CBPT>5</CBPT>
                                <ST>18</ST>
                                <SON>22</SON>
                                <VOFFF><![CDATA[=IF(§A¿0,1,0,1,196,2,1,-1,0,0,FALSE,FALSE§Z¿>0,&#10;IF(§A¿0,1,0,1,196,3,1,-1,0,0,FALSE,FALSE§Z¿=0,-MAX(§A¿0,1,0,1,196,2,1,-1,0,0,FALSE,FALSE§Z¿,0),&#10;IF(SIGN(OFFSET(§A¿0,1,0,1,196,3,1,-1,0,0,FALSE,FALSE§Z¿,-1,0))<>SIGN(§A¿0,1,0,1,196,3,1,-1,0,0,FALSE,FALSE§Z¿),MIN(OFFSET(§A¿0,1,0,1,196,3,1,-1,0,0,FALSE,FALSE§Z¿,-1,0),§A¿0,1,0,1,196,3,1,-1,0,0,FALSE,FALSE§Z¿),&#10;IF(§A¿0,1,0,1,196,3,1,-1,0,0,FALSE,FALSE§Z¿<0,-ABS(§A¿0,1,0,1,196,2,1,-1,0,0,FALSE,FALSE§Z¿),0))),&#10;0)]]></VOFFF>
                              </ClmnBlkPtProps>
                            </ClmnBlkPt>
                          </ClmnBlkPts>
                        </ClmnBlk>
                        <ClmnBlk>
                          <ClmnBlkProps>
                            <FCPT>0</FCPT>
                            <FCN>11</FCN>
                            <LCPT>0</LCPT>
                            <LCN>11</LCN>
                          </ClmnBlkProps>
                          <ClmnBlkPts>
                            <ClmnBlkPt>
                              <ClmnBlkPtProps>
                                <CBPT>5</CBPT>
                                <ST>18</ST>
                                <SON>22</SON>
                                <VOFFF><![CDATA[=IF(§A¿0,1,0,1,196,2,1,-1,0,0,FALSE,FALSE§Z¿<0,&#10;IF(§A¿0,1,0,1,196,3,1,-1,0,0,FALSE,FALSE§Z¿=0,-MIN(§A¿0,1,0,1,196,2,1,-1,0,0,FALSE,FALSE§Z¿,0),&#10;IF(SIGN(OFFSET(§A¿0,1,0,1,196,3,1,-1,0,0,FALSE,FALSE§Z¿,-1,0))<>SIGN(§A¿0,1,0,1,196,3,1,-1,0,0,FALSE,FALSE§Z¿),MAX(OFFSET(§A¿0,1,0,1,196,3,1,-1,0,0,FALSE,FALSE§Z¿,-1,0),§A¿0,1,0,1,196,3,1,-1,0,0,FALSE,FALSE§Z¿),&#10;IF(§A¿0,1,0,1,196,3,1,-1,0,0,FALSE,FALSE§Z¿>0,ABS(§A¿0,1,0,1,196,2,1,-1,0,0,FALSE,FALSE§Z¿),0))),&#10;0)]]></VOFFF>
                              </ClmnBlkPtProps>
                            </ClmnBlkPt>
                          </ClmnBlkPts>
                        </ClmnBlk>
                        <ClmnBlk>
                          <ClmnBlkProps>
                            <FCPT>0</FCPT>
                            <FCN>12</FCN>
                            <LCPT>0</LCPT>
                            <LCN>12</LCN>
                          </ClmnBlkProps>
                          <ClmnBlkPts>
                            <ClmnBlkPt>
                              <ClmnBlkPtProps>
                                <CBPT>5</CBPT>
                                <ST>18</ST>
                                <SON>22</SON>
                                <VOFFF><![CDATA[=IF(§A¿0,1,0,1,196,2,1,-1,0,0,FALSE,FALSE§Z¿<0,&#10;IF(§A¿0,1,0,1,196,3,1,-1,0,0,FALSE,FALSE§Z¿=0,-MAX(§A¿0,1,0,1,196,2,1,-1,0,0,FALSE,FALSE§Z¿,0),&#10;IF(SIGN(OFFSET(§A¿0,1,0,1,196,3,1,-1,0,0,FALSE,FALSE§Z¿,-1,0))<>SIGN(§A¿0,1,0,1,196,3,1,-1,0,0,FALSE,FALSE§Z¿),MIN(OFFSET(§A¿0,1,0,1,196,3,1,-1,0,0,FALSE,FALSE§Z¿,-1,0),§A¿0,1,0,1,196,3,1,-1,0,0,FALSE,FALSE§Z¿),&#10;IF(§A¿0,1,0,1,196,3,1,-1,0,0,FALSE,FALSE§Z¿<0,-ABS(§A¿0,1,0,1,196,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3,1,1,-1,0,0,FALSE,FALSE§Z¿]]></VOFFF>
                              </ClmnBlkPtProps>
                            </ClmnBlkPt>
                          </ClmnBlkPts>
                        </ClmnBlk>
                        <ClmnBlk>
                          <ClmnBlkProps>
                            <FCPT>0</FCPT>
                            <FCN>5</FCN>
                            <LCPT>0</LCPT>
                            <LCN>5</LCN>
                          </ClmnBlkProps>
                          <ClmnBlkPts>
                            <ClmnBlkPt>
                              <ClmnBlkPtProps>
                                <CBPT>5</CBPT>
                                <ST>18</ST>
                                <SON>22</SON>
                                <VOFFF><![CDATA[=§A¿0,1,0,1,73,3,1,-1,0,0,FALSE,FALSE§Z¿]]></VOFFF>
                              </ClmnBlkPtProps>
                            </ClmnBlkPt>
                          </ClmnBlkPts>
                        </ClmnBlk>
                        <ClmnBlk>
                          <ClmnBlkProps>
                            <FCPT>0</FCPT>
                            <FCN>6</FCN>
                            <LCPT>0</LCPT>
                            <LCN>6</LCN>
                          </ClmnBlkProps>
                          <ClmnBlkPts>
                            <ClmnBlkPt>
                              <ClmnBlkPtProps>
                                <CBPT>5</CBPT>
                                <ST>18</ST>
                                <SON>22</SON>
                                <VOFFF><![CDATA[=SUM(§A¿0,1,1,1,183,2,1,-1,0,0,TRUE,FALSE,1,197,2,1,-1,0,0,FALSE,FALSE§Z¿)]]></VOFFF>
                              </ClmnBlkPtProps>
                            </ClmnBlkPt>
                          </ClmnBlkPts>
                        </ClmnBlk>
                        <ClmnBlk>
                          <ClmnBlkProps>
                            <FCPT>0</FCPT>
                            <FCN>7</FCN>
                            <LCPT>0</LCPT>
                            <LCN>7</LCN>
                          </ClmnBlkProps>
                          <ClmnBlkPts>
                            <ClmnBlkPt>
                              <ClmnBlkPtProps>
                                <CBPT>5</CBPT>
                                <ST>18</ST>
                                <SON>22</SON>
                                <VOFFF><![CDATA[=IF(SIGN(§A¿0,1,0,1,197,3,1,-1,0,0,FALSE,FALSE§Z¿)<>SIGN(OFFSET(§A¿0,1,0,1,197,3,1,-1,0,0,FALSE,FALSE§Z¿,-1,0)),0,&#10;IF(OFFSET(§A¿0,1,0,1,197,3,1,-1,0,0,FALSE,FALSE§Z¿,-1,0)>0,IF(§A¿0,1,0,1,197,2,1,-1,0,0,FALSE,FALSE§Z¿<0,§A¿0,1,0,1,197,3,1,-1,0,0,FALSE,FALSE§Z¿,OFFSET(§A¿0,1,0,1,197,3,1,-1,0,0,FALSE,FALSE§Z¿,-1,0)),0))]]></VOFFF>
                              </ClmnBlkPtProps>
                            </ClmnBlkPt>
                          </ClmnBlkPts>
                        </ClmnBlk>
                        <ClmnBlk>
                          <ClmnBlkProps>
                            <FCPT>0</FCPT>
                            <FCN>8</FCN>
                            <LCPT>0</LCPT>
                            <LCN>8</LCN>
                          </ClmnBlkProps>
                          <ClmnBlkPts>
                            <ClmnBlkPt>
                              <ClmnBlkPtProps>
                                <CBPT>5</CBPT>
                                <ST>18</ST>
                                <SON>22</SON>
                                <VOFFF><![CDATA[=IF(§A¿0,1,0,1,197,2,1,-1,0,0,FALSE,FALSE§Z¿>0,&#10;IF(§A¿0,1,0,1,197,3,1,-1,0,0,FALSE,FALSE§Z¿=0,-MIN(§A¿0,1,0,1,197,2,1,-1,0,0,FALSE,FALSE§Z¿,0),&#10;IF(SIGN(OFFSET(§A¿0,1,0,1,197,3,1,-1,0,0,FALSE,FALSE§Z¿,-1,0))<>SIGN(§A¿0,1,0,1,197,3,1,-1,0,0,FALSE,FALSE§Z¿),MAX(OFFSET(§A¿0,1,0,1,197,3,1,-1,0,0,FALSE,FALSE§Z¿,-1,0),§A¿0,1,0,1,197,3,1,-1,0,0,FALSE,FALSE§Z¿),&#10;IF(§A¿0,1,0,1,197,3,1,-1,0,0,FALSE,FALSE§Z¿>0,ABS(§A¿0,1,0,1,197,2,1,-1,0,0,FALSE,FALSE§Z¿),0))),&#10;0)]]></VOFFF>
                              </ClmnBlkPtProps>
                            </ClmnBlkPt>
                          </ClmnBlkPts>
                        </ClmnBlk>
                        <ClmnBlk>
                          <ClmnBlkProps>
                            <FCPT>0</FCPT>
                            <FCN>9</FCN>
                            <LCPT>0</LCPT>
                            <LCN>9</LCN>
                          </ClmnBlkProps>
                          <ClmnBlkPts>
                            <ClmnBlkPt>
                              <ClmnBlkPtProps>
                                <CBPT>5</CBPT>
                                <ST>18</ST>
                                <SON>22</SON>
                                <VOFFF><![CDATA[=IF(SIGN(OFFSET(§A¿0,1,0,1,197,3,1,-1,0,0,FALSE,FALSE§Z¿,-1,0))<>SIGN(§A¿0,1,0,1,197,3,1,-1,0,0,FALSE,FALSE§Z¿),0,&#10;IF(OFFSET(§A¿0,1,0,1,197,3,1,-1,0,0,FALSE,FALSE§Z¿,-1,0)<0,IF(§A¿0,1,0,1,197,2,1,-1,0,0,FALSE,FALSE§Z¿>0,§A¿0,1,0,1,197,3,1,-1,0,0,FALSE,FALSE§Z¿,OFFSET(§A¿0,1,0,1,197,3,1,-1,0,0,FALSE,FALSE§Z¿,-1,0)),0))]]></VOFFF>
                              </ClmnBlkPtProps>
                            </ClmnBlkPt>
                          </ClmnBlkPts>
                        </ClmnBlk>
                        <ClmnBlk>
                          <ClmnBlkProps>
                            <FCPT>0</FCPT>
                            <FCN>10</FCN>
                            <LCPT>0</LCPT>
                            <LCN>10</LCN>
                          </ClmnBlkProps>
                          <ClmnBlkPts>
                            <ClmnBlkPt>
                              <ClmnBlkPtProps>
                                <CBPT>5</CBPT>
                                <ST>18</ST>
                                <SON>22</SON>
                                <VOFFF><![CDATA[=IF(§A¿0,1,0,1,197,2,1,-1,0,0,FALSE,FALSE§Z¿>0,&#10;IF(§A¿0,1,0,1,197,3,1,-1,0,0,FALSE,FALSE§Z¿=0,-MAX(§A¿0,1,0,1,197,2,1,-1,0,0,FALSE,FALSE§Z¿,0),&#10;IF(SIGN(OFFSET(§A¿0,1,0,1,197,3,1,-1,0,0,FALSE,FALSE§Z¿,-1,0))<>SIGN(§A¿0,1,0,1,197,3,1,-1,0,0,FALSE,FALSE§Z¿),MIN(OFFSET(§A¿0,1,0,1,197,3,1,-1,0,0,FALSE,FALSE§Z¿,-1,0),§A¿0,1,0,1,197,3,1,-1,0,0,FALSE,FALSE§Z¿),&#10;IF(§A¿0,1,0,1,197,3,1,-1,0,0,FALSE,FALSE§Z¿<0,-ABS(§A¿0,1,0,1,197,2,1,-1,0,0,FALSE,FALSE§Z¿),0))),&#10;0)]]></VOFFF>
                              </ClmnBlkPtProps>
                            </ClmnBlkPt>
                          </ClmnBlkPts>
                        </ClmnBlk>
                        <ClmnBlk>
                          <ClmnBlkProps>
                            <FCPT>0</FCPT>
                            <FCN>11</FCN>
                            <LCPT>0</LCPT>
                            <LCN>11</LCN>
                          </ClmnBlkProps>
                          <ClmnBlkPts>
                            <ClmnBlkPt>
                              <ClmnBlkPtProps>
                                <CBPT>5</CBPT>
                                <ST>18</ST>
                                <SON>22</SON>
                                <VOFFF><![CDATA[=IF(§A¿0,1,0,1,197,2,1,-1,0,0,FALSE,FALSE§Z¿<0,&#10;IF(§A¿0,1,0,1,197,3,1,-1,0,0,FALSE,FALSE§Z¿=0,-MIN(§A¿0,1,0,1,197,2,1,-1,0,0,FALSE,FALSE§Z¿,0),&#10;IF(SIGN(OFFSET(§A¿0,1,0,1,197,3,1,-1,0,0,FALSE,FALSE§Z¿,-1,0))<>SIGN(§A¿0,1,0,1,197,3,1,-1,0,0,FALSE,FALSE§Z¿),MAX(OFFSET(§A¿0,1,0,1,197,3,1,-1,0,0,FALSE,FALSE§Z¿,-1,0),§A¿0,1,0,1,197,3,1,-1,0,0,FALSE,FALSE§Z¿),&#10;IF(§A¿0,1,0,1,197,3,1,-1,0,0,FALSE,FALSE§Z¿>0,ABS(§A¿0,1,0,1,197,2,1,-1,0,0,FALSE,FALSE§Z¿),0))),&#10;0)]]></VOFFF>
                              </ClmnBlkPtProps>
                            </ClmnBlkPt>
                          </ClmnBlkPts>
                        </ClmnBlk>
                        <ClmnBlk>
                          <ClmnBlkProps>
                            <FCPT>0</FCPT>
                            <FCN>12</FCN>
                            <LCPT>0</LCPT>
                            <LCN>12</LCN>
                          </ClmnBlkProps>
                          <ClmnBlkPts>
                            <ClmnBlkPt>
                              <ClmnBlkPtProps>
                                <CBPT>5</CBPT>
                                <ST>18</ST>
                                <SON>22</SON>
                                <VOFFF><![CDATA[=IF(§A¿0,1,0,1,197,2,1,-1,0,0,FALSE,FALSE§Z¿<0,&#10;IF(§A¿0,1,0,1,197,3,1,-1,0,0,FALSE,FALSE§Z¿=0,-MAX(§A¿0,1,0,1,197,2,1,-1,0,0,FALSE,FALSE§Z¿,0),&#10;IF(SIGN(OFFSET(§A¿0,1,0,1,197,3,1,-1,0,0,FALSE,FALSE§Z¿,-1,0))<>SIGN(§A¿0,1,0,1,197,3,1,-1,0,0,FALSE,FALSE§Z¿),MIN(OFFSET(§A¿0,1,0,1,197,3,1,-1,0,0,FALSE,FALSE§Z¿,-1,0),§A¿0,1,0,1,197,3,1,-1,0,0,FALSE,FALSE§Z¿),&#10;IF(§A¿0,1,0,1,197,3,1,-1,0,0,FALSE,FALSE§Z¿<0,-ABS(§A¿0,1,0,1,197,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5,1,1,-1,0,0,FALSE,FALSE§Z¿]]></VOFFF>
                              </ClmnBlkPtProps>
                            </ClmnBlkPt>
                          </ClmnBlkPts>
                        </ClmnBlk>
                        <ClmnBlk>
                          <ClmnBlkProps>
                            <FCPT>0</FCPT>
                            <FCN>5</FCN>
                            <LCPT>0</LCPT>
                            <LCN>5</LCN>
                          </ClmnBlkProps>
                          <ClmnBlkPts>
                            <ClmnBlkPt>
                              <ClmnBlkPtProps>
                                <CBPT>5</CBPT>
                                <ST>18</ST>
                                <SON>22</SON>
                                <VOFFF><![CDATA[=§A¿0,1,0,1,75,3,1,-1,0,0,FALSE,FALSE§Z¿]]></VOFFF>
                              </ClmnBlkPtProps>
                            </ClmnBlkPt>
                          </ClmnBlkPts>
                        </ClmnBlk>
                        <ClmnBlk>
                          <ClmnBlkProps>
                            <FCPT>0</FCPT>
                            <FCN>6</FCN>
                            <LCPT>0</LCPT>
                            <LCN>6</LCN>
                          </ClmnBlkProps>
                          <ClmnBlkPts>
                            <ClmnBlkPt>
                              <ClmnBlkPtProps>
                                <CBPT>5</CBPT>
                                <ST>18</ST>
                                <SON>22</SON>
                                <VOFFF><![CDATA[=SUM(§A¿0,1,1,1,183,2,1,-1,0,0,TRUE,FALSE,1,198,2,1,-1,0,0,FALSE,FALSE§Z¿)]]></VOFFF>
                              </ClmnBlkPtProps>
                            </ClmnBlkPt>
                          </ClmnBlkPts>
                        </ClmnBlk>
                        <ClmnBlk>
                          <ClmnBlkProps>
                            <FCPT>0</FCPT>
                            <FCN>7</FCN>
                            <LCPT>0</LCPT>
                            <LCN>7</LCN>
                          </ClmnBlkProps>
                          <ClmnBlkPts>
                            <ClmnBlkPt>
                              <ClmnBlkPtProps>
                                <CBPT>5</CBPT>
                                <ST>18</ST>
                                <SON>22</SON>
                                <VOFFF><![CDATA[=IF(SIGN(§A¿0,1,0,1,198,3,1,-1,0,0,FALSE,FALSE§Z¿)<>SIGN(OFFSET(§A¿0,1,0,1,198,3,1,-1,0,0,FALSE,FALSE§Z¿,-1,0)),0,&#10;IF(OFFSET(§A¿0,1,0,1,198,3,1,-1,0,0,FALSE,FALSE§Z¿,-1,0)>0,IF(§A¿0,1,0,1,198,2,1,-1,0,0,FALSE,FALSE§Z¿<0,§A¿0,1,0,1,198,3,1,-1,0,0,FALSE,FALSE§Z¿,OFFSET(§A¿0,1,0,1,198,3,1,-1,0,0,FALSE,FALSE§Z¿,-1,0)),0))]]></VOFFF>
                              </ClmnBlkPtProps>
                            </ClmnBlkPt>
                          </ClmnBlkPts>
                        </ClmnBlk>
                        <ClmnBlk>
                          <ClmnBlkProps>
                            <FCPT>0</FCPT>
                            <FCN>8</FCN>
                            <LCPT>0</LCPT>
                            <LCN>8</LCN>
                          </ClmnBlkProps>
                          <ClmnBlkPts>
                            <ClmnBlkPt>
                              <ClmnBlkPtProps>
                                <CBPT>5</CBPT>
                                <ST>18</ST>
                                <SON>22</SON>
                                <VOFFF><![CDATA[=IF(§A¿0,1,0,1,198,2,1,-1,0,0,FALSE,FALSE§Z¿>0,&#10;IF(§A¿0,1,0,1,198,3,1,-1,0,0,FALSE,FALSE§Z¿=0,-MIN(§A¿0,1,0,1,198,2,1,-1,0,0,FALSE,FALSE§Z¿,0),&#10;IF(SIGN(OFFSET(§A¿0,1,0,1,198,3,1,-1,0,0,FALSE,FALSE§Z¿,-1,0))<>SIGN(§A¿0,1,0,1,198,3,1,-1,0,0,FALSE,FALSE§Z¿),MAX(OFFSET(§A¿0,1,0,1,198,3,1,-1,0,0,FALSE,FALSE§Z¿,-1,0),§A¿0,1,0,1,198,3,1,-1,0,0,FALSE,FALSE§Z¿),&#10;IF(§A¿0,1,0,1,198,3,1,-1,0,0,FALSE,FALSE§Z¿>0,ABS(§A¿0,1,0,1,198,2,1,-1,0,0,FALSE,FALSE§Z¿),0))),&#10;0)]]></VOFFF>
                              </ClmnBlkPtProps>
                            </ClmnBlkPt>
                          </ClmnBlkPts>
                        </ClmnBlk>
                        <ClmnBlk>
                          <ClmnBlkProps>
                            <FCPT>0</FCPT>
                            <FCN>9</FCN>
                            <LCPT>0</LCPT>
                            <LCN>9</LCN>
                          </ClmnBlkProps>
                          <ClmnBlkPts>
                            <ClmnBlkPt>
                              <ClmnBlkPtProps>
                                <CBPT>5</CBPT>
                                <ST>18</ST>
                                <SON>22</SON>
                                <VOFFF><![CDATA[=IF(SIGN(OFFSET(§A¿0,1,0,1,198,3,1,-1,0,0,FALSE,FALSE§Z¿,-1,0))<>SIGN(§A¿0,1,0,1,198,3,1,-1,0,0,FALSE,FALSE§Z¿),0,&#10;IF(OFFSET(§A¿0,1,0,1,198,3,1,-1,0,0,FALSE,FALSE§Z¿,-1,0)<0,IF(§A¿0,1,0,1,198,2,1,-1,0,0,FALSE,FALSE§Z¿>0,§A¿0,1,0,1,198,3,1,-1,0,0,FALSE,FALSE§Z¿,OFFSET(§A¿0,1,0,1,198,3,1,-1,0,0,FALSE,FALSE§Z¿,-1,0)),0))]]></VOFFF>
                              </ClmnBlkPtProps>
                            </ClmnBlkPt>
                          </ClmnBlkPts>
                        </ClmnBlk>
                        <ClmnBlk>
                          <ClmnBlkProps>
                            <FCPT>0</FCPT>
                            <FCN>10</FCN>
                            <LCPT>0</LCPT>
                            <LCN>10</LCN>
                          </ClmnBlkProps>
                          <ClmnBlkPts>
                            <ClmnBlkPt>
                              <ClmnBlkPtProps>
                                <CBPT>5</CBPT>
                                <ST>18</ST>
                                <SON>22</SON>
                                <VOFFF><![CDATA[=IF(§A¿0,1,0,1,198,2,1,-1,0,0,FALSE,FALSE§Z¿>0,&#10;IF(§A¿0,1,0,1,198,3,1,-1,0,0,FALSE,FALSE§Z¿=0,-MAX(§A¿0,1,0,1,198,2,1,-1,0,0,FALSE,FALSE§Z¿,0),&#10;IF(SIGN(OFFSET(§A¿0,1,0,1,198,3,1,-1,0,0,FALSE,FALSE§Z¿,-1,0))<>SIGN(§A¿0,1,0,1,198,3,1,-1,0,0,FALSE,FALSE§Z¿),MIN(OFFSET(§A¿0,1,0,1,198,3,1,-1,0,0,FALSE,FALSE§Z¿,-1,0),§A¿0,1,0,1,198,3,1,-1,0,0,FALSE,FALSE§Z¿),&#10;IF(§A¿0,1,0,1,198,3,1,-1,0,0,FALSE,FALSE§Z¿<0,-ABS(§A¿0,1,0,1,198,2,1,-1,0,0,FALSE,FALSE§Z¿),0))),&#10;0)]]></VOFFF>
                              </ClmnBlkPtProps>
                            </ClmnBlkPt>
                          </ClmnBlkPts>
                        </ClmnBlk>
                        <ClmnBlk>
                          <ClmnBlkProps>
                            <FCPT>0</FCPT>
                            <FCN>11</FCN>
                            <LCPT>0</LCPT>
                            <LCN>11</LCN>
                          </ClmnBlkProps>
                          <ClmnBlkPts>
                            <ClmnBlkPt>
                              <ClmnBlkPtProps>
                                <CBPT>5</CBPT>
                                <ST>18</ST>
                                <SON>22</SON>
                                <VOFFF><![CDATA[=IF(§A¿0,1,0,1,198,2,1,-1,0,0,FALSE,FALSE§Z¿<0,&#10;IF(§A¿0,1,0,1,198,3,1,-1,0,0,FALSE,FALSE§Z¿=0,-MIN(§A¿0,1,0,1,198,2,1,-1,0,0,FALSE,FALSE§Z¿,0),&#10;IF(SIGN(OFFSET(§A¿0,1,0,1,198,3,1,-1,0,0,FALSE,FALSE§Z¿,-1,0))<>SIGN(§A¿0,1,0,1,198,3,1,-1,0,0,FALSE,FALSE§Z¿),MAX(OFFSET(§A¿0,1,0,1,198,3,1,-1,0,0,FALSE,FALSE§Z¿,-1,0),§A¿0,1,0,1,198,3,1,-1,0,0,FALSE,FALSE§Z¿),&#10;IF(§A¿0,1,0,1,198,3,1,-1,0,0,FALSE,FALSE§Z¿>0,ABS(§A¿0,1,0,1,198,2,1,-1,0,0,FALSE,FALSE§Z¿),0))),&#10;0)]]></VOFFF>
                              </ClmnBlkPtProps>
                            </ClmnBlkPt>
                          </ClmnBlkPts>
                        </ClmnBlk>
                        <ClmnBlk>
                          <ClmnBlkProps>
                            <FCPT>0</FCPT>
                            <FCN>12</FCN>
                            <LCPT>0</LCPT>
                            <LCN>12</LCN>
                          </ClmnBlkProps>
                          <ClmnBlkPts>
                            <ClmnBlkPt>
                              <ClmnBlkPtProps>
                                <CBPT>5</CBPT>
                                <ST>18</ST>
                                <SON>22</SON>
                                <VOFFF><![CDATA[=IF(§A¿0,1,0,1,198,2,1,-1,0,0,FALSE,FALSE§Z¿<0,&#10;IF(§A¿0,1,0,1,198,3,1,-1,0,0,FALSE,FALSE§Z¿=0,-MAX(§A¿0,1,0,1,198,2,1,-1,0,0,FALSE,FALSE§Z¿,0),&#10;IF(SIGN(OFFSET(§A¿0,1,0,1,198,3,1,-1,0,0,FALSE,FALSE§Z¿,-1,0))<>SIGN(§A¿0,1,0,1,198,3,1,-1,0,0,FALSE,FALSE§Z¿),MIN(OFFSET(§A¿0,1,0,1,198,3,1,-1,0,0,FALSE,FALSE§Z¿,-1,0),§A¿0,1,0,1,198,3,1,-1,0,0,FALSE,FALSE§Z¿),&#10;IF(§A¿0,1,0,1,198,3,1,-1,0,0,FALSE,FALSE§Z¿<0,-ABS(§A¿0,1,0,1,198,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6,1,1,-1,0,0,FALSE,FALSE§Z¿]]></VOFFF>
                              </ClmnBlkPtProps>
                            </ClmnBlkPt>
                          </ClmnBlkPts>
                        </ClmnBlk>
                        <ClmnBlk>
                          <ClmnBlkProps>
                            <FCPT>0</FCPT>
                            <FCN>5</FCN>
                            <LCPT>0</LCPT>
                            <LCN>5</LCN>
                          </ClmnBlkProps>
                          <ClmnBlkPts>
                            <ClmnBlkPt>
                              <ClmnBlkPtProps>
                                <CBPT>5</CBPT>
                                <ST>18</ST>
                                <SON>22</SON>
                                <VOFFF><![CDATA[=§A¿0,1,0,1,76,3,1,-1,0,0,FALSE,FALSE§Z¿]]></VOFFF>
                              </ClmnBlkPtProps>
                            </ClmnBlkPt>
                          </ClmnBlkPts>
                        </ClmnBlk>
                        <ClmnBlk>
                          <ClmnBlkProps>
                            <FCPT>0</FCPT>
                            <FCN>6</FCN>
                            <LCPT>0</LCPT>
                            <LCN>6</LCN>
                          </ClmnBlkProps>
                          <ClmnBlkPts>
                            <ClmnBlkPt>
                              <ClmnBlkPtProps>
                                <CBPT>5</CBPT>
                                <ST>18</ST>
                                <SON>22</SON>
                                <VOFFF><![CDATA[=SUM(§A¿0,1,1,1,183,2,1,-1,0,0,TRUE,FALSE,1,199,2,1,-1,0,0,FALSE,FALSE§Z¿)]]></VOFFF>
                              </ClmnBlkPtProps>
                            </ClmnBlkPt>
                          </ClmnBlkPts>
                        </ClmnBlk>
                        <ClmnBlk>
                          <ClmnBlkProps>
                            <FCPT>0</FCPT>
                            <FCN>7</FCN>
                            <LCPT>0</LCPT>
                            <LCN>7</LCN>
                          </ClmnBlkProps>
                          <ClmnBlkPts>
                            <ClmnBlkPt>
                              <ClmnBlkPtProps>
                                <CBPT>5</CBPT>
                                <ST>18</ST>
                                <SON>22</SON>
                                <VOFFF><![CDATA[=IF(SIGN(§A¿0,1,0,1,199,3,1,-1,0,0,FALSE,FALSE§Z¿)<>SIGN(OFFSET(§A¿0,1,0,1,199,3,1,-1,0,0,FALSE,FALSE§Z¿,-1,0)),0,&#10;IF(OFFSET(§A¿0,1,0,1,199,3,1,-1,0,0,FALSE,FALSE§Z¿,-1,0)>0,IF(§A¿0,1,0,1,199,2,1,-1,0,0,FALSE,FALSE§Z¿<0,§A¿0,1,0,1,199,3,1,-1,0,0,FALSE,FALSE§Z¿,OFFSET(§A¿0,1,0,1,199,3,1,-1,0,0,FALSE,FALSE§Z¿,-1,0)),0))]]></VOFFF>
                              </ClmnBlkPtProps>
                            </ClmnBlkPt>
                          </ClmnBlkPts>
                        </ClmnBlk>
                        <ClmnBlk>
                          <ClmnBlkProps>
                            <FCPT>0</FCPT>
                            <FCN>8</FCN>
                            <LCPT>0</LCPT>
                            <LCN>8</LCN>
                          </ClmnBlkProps>
                          <ClmnBlkPts>
                            <ClmnBlkPt>
                              <ClmnBlkPtProps>
                                <CBPT>5</CBPT>
                                <ST>18</ST>
                                <SON>22</SON>
                                <VOFFF><![CDATA[=IF(§A¿0,1,0,1,199,2,1,-1,0,0,FALSE,FALSE§Z¿>0,&#10;IF(§A¿0,1,0,1,199,3,1,-1,0,0,FALSE,FALSE§Z¿=0,-MIN(§A¿0,1,0,1,199,2,1,-1,0,0,FALSE,FALSE§Z¿,0),&#10;IF(SIGN(OFFSET(§A¿0,1,0,1,199,3,1,-1,0,0,FALSE,FALSE§Z¿,-1,0))<>SIGN(§A¿0,1,0,1,199,3,1,-1,0,0,FALSE,FALSE§Z¿),MAX(OFFSET(§A¿0,1,0,1,199,3,1,-1,0,0,FALSE,FALSE§Z¿,-1,0),§A¿0,1,0,1,199,3,1,-1,0,0,FALSE,FALSE§Z¿),&#10;IF(§A¿0,1,0,1,199,3,1,-1,0,0,FALSE,FALSE§Z¿>0,ABS(§A¿0,1,0,1,199,2,1,-1,0,0,FALSE,FALSE§Z¿),0))),&#10;0)]]></VOFFF>
                              </ClmnBlkPtProps>
                            </ClmnBlkPt>
                          </ClmnBlkPts>
                        </ClmnBlk>
                        <ClmnBlk>
                          <ClmnBlkProps>
                            <FCPT>0</FCPT>
                            <FCN>9</FCN>
                            <LCPT>0</LCPT>
                            <LCN>9</LCN>
                          </ClmnBlkProps>
                          <ClmnBlkPts>
                            <ClmnBlkPt>
                              <ClmnBlkPtProps>
                                <CBPT>5</CBPT>
                                <ST>18</ST>
                                <SON>22</SON>
                                <VOFFF><![CDATA[=IF(SIGN(OFFSET(§A¿0,1,0,1,199,3,1,-1,0,0,FALSE,FALSE§Z¿,-1,0))<>SIGN(§A¿0,1,0,1,199,3,1,-1,0,0,FALSE,FALSE§Z¿),0,&#10;IF(OFFSET(§A¿0,1,0,1,199,3,1,-1,0,0,FALSE,FALSE§Z¿,-1,0)<0,IF(§A¿0,1,0,1,199,2,1,-1,0,0,FALSE,FALSE§Z¿>0,§A¿0,1,0,1,199,3,1,-1,0,0,FALSE,FALSE§Z¿,OFFSET(§A¿0,1,0,1,199,3,1,-1,0,0,FALSE,FALSE§Z¿,-1,0)),0))]]></VOFFF>
                              </ClmnBlkPtProps>
                            </ClmnBlkPt>
                          </ClmnBlkPts>
                        </ClmnBlk>
                        <ClmnBlk>
                          <ClmnBlkProps>
                            <FCPT>0</FCPT>
                            <FCN>10</FCN>
                            <LCPT>0</LCPT>
                            <LCN>10</LCN>
                          </ClmnBlkProps>
                          <ClmnBlkPts>
                            <ClmnBlkPt>
                              <ClmnBlkPtProps>
                                <CBPT>5</CBPT>
                                <ST>18</ST>
                                <SON>22</SON>
                                <VOFFF><![CDATA[=IF(§A¿0,1,0,1,199,2,1,-1,0,0,FALSE,FALSE§Z¿>0,&#10;IF(§A¿0,1,0,1,199,3,1,-1,0,0,FALSE,FALSE§Z¿=0,-MAX(§A¿0,1,0,1,199,2,1,-1,0,0,FALSE,FALSE§Z¿,0),&#10;IF(SIGN(OFFSET(§A¿0,1,0,1,199,3,1,-1,0,0,FALSE,FALSE§Z¿,-1,0))<>SIGN(§A¿0,1,0,1,199,3,1,-1,0,0,FALSE,FALSE§Z¿),MIN(OFFSET(§A¿0,1,0,1,199,3,1,-1,0,0,FALSE,FALSE§Z¿,-1,0),§A¿0,1,0,1,199,3,1,-1,0,0,FALSE,FALSE§Z¿),&#10;IF(§A¿0,1,0,1,199,3,1,-1,0,0,FALSE,FALSE§Z¿<0,-ABS(§A¿0,1,0,1,199,2,1,-1,0,0,FALSE,FALSE§Z¿),0))),&#10;0)]]></VOFFF>
                              </ClmnBlkPtProps>
                            </ClmnBlkPt>
                          </ClmnBlkPts>
                        </ClmnBlk>
                        <ClmnBlk>
                          <ClmnBlkProps>
                            <FCPT>0</FCPT>
                            <FCN>11</FCN>
                            <LCPT>0</LCPT>
                            <LCN>11</LCN>
                          </ClmnBlkProps>
                          <ClmnBlkPts>
                            <ClmnBlkPt>
                              <ClmnBlkPtProps>
                                <CBPT>5</CBPT>
                                <ST>18</ST>
                                <SON>22</SON>
                                <VOFFF><![CDATA[=IF(§A¿0,1,0,1,199,2,1,-1,0,0,FALSE,FALSE§Z¿<0,&#10;IF(§A¿0,1,0,1,199,3,1,-1,0,0,FALSE,FALSE§Z¿=0,-MIN(§A¿0,1,0,1,199,2,1,-1,0,0,FALSE,FALSE§Z¿,0),&#10;IF(SIGN(OFFSET(§A¿0,1,0,1,199,3,1,-1,0,0,FALSE,FALSE§Z¿,-1,0))<>SIGN(§A¿0,1,0,1,199,3,1,-1,0,0,FALSE,FALSE§Z¿),MAX(OFFSET(§A¿0,1,0,1,199,3,1,-1,0,0,FALSE,FALSE§Z¿,-1,0),§A¿0,1,0,1,199,3,1,-1,0,0,FALSE,FALSE§Z¿),&#10;IF(§A¿0,1,0,1,199,3,1,-1,0,0,FALSE,FALSE§Z¿>0,ABS(§A¿0,1,0,1,199,2,1,-1,0,0,FALSE,FALSE§Z¿),0))),&#10;0)]]></VOFFF>
                              </ClmnBlkPtProps>
                            </ClmnBlkPt>
                          </ClmnBlkPts>
                        </ClmnBlk>
                        <ClmnBlk>
                          <ClmnBlkProps>
                            <FCPT>0</FCPT>
                            <FCN>12</FCN>
                            <LCPT>0</LCPT>
                            <LCN>12</LCN>
                          </ClmnBlkProps>
                          <ClmnBlkPts>
                            <ClmnBlkPt>
                              <ClmnBlkPtProps>
                                <CBPT>5</CBPT>
                                <ST>18</ST>
                                <SON>22</SON>
                                <VOFFF><![CDATA[=IF(§A¿0,1,0,1,199,2,1,-1,0,0,FALSE,FALSE§Z¿<0,&#10;IF(§A¿0,1,0,1,199,3,1,-1,0,0,FALSE,FALSE§Z¿=0,-MAX(§A¿0,1,0,1,199,2,1,-1,0,0,FALSE,FALSE§Z¿,0),&#10;IF(SIGN(OFFSET(§A¿0,1,0,1,199,3,1,-1,0,0,FALSE,FALSE§Z¿,-1,0))<>SIGN(§A¿0,1,0,1,199,3,1,-1,0,0,FALSE,FALSE§Z¿),MIN(OFFSET(§A¿0,1,0,1,199,3,1,-1,0,0,FALSE,FALSE§Z¿,-1,0),§A¿0,1,0,1,199,3,1,-1,0,0,FALSE,FALSE§Z¿),&#10;IF(§A¿0,1,0,1,199,3,1,-1,0,0,FALSE,FALSE§Z¿<0,-ABS(§A¿0,1,0,1,199,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8,1,1,-1,0,0,FALSE,FALSE§Z¿]]></VOFFF>
                              </ClmnBlkPtProps>
                            </ClmnBlkPt>
                          </ClmnBlkPts>
                        </ClmnBlk>
                        <ClmnBlk>
                          <ClmnBlkProps>
                            <FCPT>0</FCPT>
                            <FCN>5</FCN>
                            <LCPT>0</LCPT>
                            <LCN>5</LCN>
                          </ClmnBlkProps>
                          <ClmnBlkPts>
                            <ClmnBlkPt>
                              <ClmnBlkPtProps>
                                <CBPT>5</CBPT>
                                <ST>18</ST>
                                <SON>22</SON>
                                <VOFFF><![CDATA[=§A¿0,1,0,1,78,3,1,-1,0,0,FALSE,FALSE§Z¿]]></VOFFF>
                              </ClmnBlkPtProps>
                            </ClmnBlkPt>
                          </ClmnBlkPts>
                        </ClmnBlk>
                        <ClmnBlk>
                          <ClmnBlkProps>
                            <FCPT>0</FCPT>
                            <FCN>6</FCN>
                            <LCPT>0</LCPT>
                            <LCN>6</LCN>
                          </ClmnBlkProps>
                          <ClmnBlkPts>
                            <ClmnBlkPt>
                              <ClmnBlkPtProps>
                                <CBPT>5</CBPT>
                                <ST>18</ST>
                                <SON>22</SON>
                                <VOFFF><![CDATA[=SUM(§A¿0,1,1,1,183,2,1,-1,0,0,TRUE,FALSE,1,200,2,1,-1,0,0,FALSE,FALSE§Z¿)]]></VOFFF>
                              </ClmnBlkPtProps>
                            </ClmnBlkPt>
                          </ClmnBlkPts>
                        </ClmnBlk>
                        <ClmnBlk>
                          <ClmnBlkProps>
                            <FCPT>0</FCPT>
                            <FCN>7</FCN>
                            <LCPT>0</LCPT>
                            <LCN>7</LCN>
                          </ClmnBlkProps>
                          <ClmnBlkPts>
                            <ClmnBlkPt>
                              <ClmnBlkPtProps>
                                <CBPT>5</CBPT>
                                <ST>18</ST>
                                <SON>22</SON>
                                <VOFFF><![CDATA[=IF(SIGN(§A¿0,1,0,1,200,3,1,-1,0,0,FALSE,FALSE§Z¿)<>SIGN(OFFSET(§A¿0,1,0,1,200,3,1,-1,0,0,FALSE,FALSE§Z¿,-1,0)),0,&#10;IF(OFFSET(§A¿0,1,0,1,200,3,1,-1,0,0,FALSE,FALSE§Z¿,-1,0)>0,IF(§A¿0,1,0,1,200,2,1,-1,0,0,FALSE,FALSE§Z¿<0,§A¿0,1,0,1,200,3,1,-1,0,0,FALSE,FALSE§Z¿,OFFSET(§A¿0,1,0,1,200,3,1,-1,0,0,FALSE,FALSE§Z¿,-1,0)),0))]]></VOFFF>
                              </ClmnBlkPtProps>
                            </ClmnBlkPt>
                          </ClmnBlkPts>
                        </ClmnBlk>
                        <ClmnBlk>
                          <ClmnBlkProps>
                            <FCPT>0</FCPT>
                            <FCN>8</FCN>
                            <LCPT>0</LCPT>
                            <LCN>8</LCN>
                          </ClmnBlkProps>
                          <ClmnBlkPts>
                            <ClmnBlkPt>
                              <ClmnBlkPtProps>
                                <CBPT>5</CBPT>
                                <ST>18</ST>
                                <SON>22</SON>
                                <VOFFF><![CDATA[=IF(§A¿0,1,0,1,200,2,1,-1,0,0,FALSE,FALSE§Z¿>0,&#10;IF(§A¿0,1,0,1,200,3,1,-1,0,0,FALSE,FALSE§Z¿=0,-MIN(§A¿0,1,0,1,200,2,1,-1,0,0,FALSE,FALSE§Z¿,0),&#10;IF(SIGN(OFFSET(§A¿0,1,0,1,200,3,1,-1,0,0,FALSE,FALSE§Z¿,-1,0))<>SIGN(§A¿0,1,0,1,200,3,1,-1,0,0,FALSE,FALSE§Z¿),MAX(OFFSET(§A¿0,1,0,1,200,3,1,-1,0,0,FALSE,FALSE§Z¿,-1,0),§A¿0,1,0,1,200,3,1,-1,0,0,FALSE,FALSE§Z¿),&#10;IF(§A¿0,1,0,1,200,3,1,-1,0,0,FALSE,FALSE§Z¿>0,ABS(§A¿0,1,0,1,200,2,1,-1,0,0,FALSE,FALSE§Z¿),0))),&#10;0)]]></VOFFF>
                              </ClmnBlkPtProps>
                            </ClmnBlkPt>
                          </ClmnBlkPts>
                        </ClmnBlk>
                        <ClmnBlk>
                          <ClmnBlkProps>
                            <FCPT>0</FCPT>
                            <FCN>9</FCN>
                            <LCPT>0</LCPT>
                            <LCN>9</LCN>
                          </ClmnBlkProps>
                          <ClmnBlkPts>
                            <ClmnBlkPt>
                              <ClmnBlkPtProps>
                                <CBPT>5</CBPT>
                                <ST>18</ST>
                                <SON>22</SON>
                                <VOFFF><![CDATA[=IF(SIGN(OFFSET(§A¿0,1,0,1,200,3,1,-1,0,0,FALSE,FALSE§Z¿,-1,0))<>SIGN(§A¿0,1,0,1,200,3,1,-1,0,0,FALSE,FALSE§Z¿),0,&#10;IF(OFFSET(§A¿0,1,0,1,200,3,1,-1,0,0,FALSE,FALSE§Z¿,-1,0)<0,IF(§A¿0,1,0,1,200,2,1,-1,0,0,FALSE,FALSE§Z¿>0,§A¿0,1,0,1,200,3,1,-1,0,0,FALSE,FALSE§Z¿,OFFSET(§A¿0,1,0,1,200,3,1,-1,0,0,FALSE,FALSE§Z¿,-1,0)),0))]]></VOFFF>
                              </ClmnBlkPtProps>
                            </ClmnBlkPt>
                          </ClmnBlkPts>
                        </ClmnBlk>
                        <ClmnBlk>
                          <ClmnBlkProps>
                            <FCPT>0</FCPT>
                            <FCN>10</FCN>
                            <LCPT>0</LCPT>
                            <LCN>10</LCN>
                          </ClmnBlkProps>
                          <ClmnBlkPts>
                            <ClmnBlkPt>
                              <ClmnBlkPtProps>
                                <CBPT>5</CBPT>
                                <ST>18</ST>
                                <SON>22</SON>
                                <VOFFF><![CDATA[=IF(§A¿0,1,0,1,200,2,1,-1,0,0,FALSE,FALSE§Z¿>0,&#10;IF(§A¿0,1,0,1,200,3,1,-1,0,0,FALSE,FALSE§Z¿=0,-MAX(§A¿0,1,0,1,200,2,1,-1,0,0,FALSE,FALSE§Z¿,0),&#10;IF(SIGN(OFFSET(§A¿0,1,0,1,200,3,1,-1,0,0,FALSE,FALSE§Z¿,-1,0))<>SIGN(§A¿0,1,0,1,200,3,1,-1,0,0,FALSE,FALSE§Z¿),MIN(OFFSET(§A¿0,1,0,1,200,3,1,-1,0,0,FALSE,FALSE§Z¿,-1,0),§A¿0,1,0,1,200,3,1,-1,0,0,FALSE,FALSE§Z¿),&#10;IF(§A¿0,1,0,1,200,3,1,-1,0,0,FALSE,FALSE§Z¿<0,-ABS(§A¿0,1,0,1,200,2,1,-1,0,0,FALSE,FALSE§Z¿),0))),&#10;0)]]></VOFFF>
                              </ClmnBlkPtProps>
                            </ClmnBlkPt>
                          </ClmnBlkPts>
                        </ClmnBlk>
                        <ClmnBlk>
                          <ClmnBlkProps>
                            <FCPT>0</FCPT>
                            <FCN>11</FCN>
                            <LCPT>0</LCPT>
                            <LCN>11</LCN>
                          </ClmnBlkProps>
                          <ClmnBlkPts>
                            <ClmnBlkPt>
                              <ClmnBlkPtProps>
                                <CBPT>5</CBPT>
                                <ST>18</ST>
                                <SON>22</SON>
                                <VOFFF><![CDATA[=IF(§A¿0,1,0,1,200,2,1,-1,0,0,FALSE,FALSE§Z¿<0,&#10;IF(§A¿0,1,0,1,200,3,1,-1,0,0,FALSE,FALSE§Z¿=0,-MIN(§A¿0,1,0,1,200,2,1,-1,0,0,FALSE,FALSE§Z¿,0),&#10;IF(SIGN(OFFSET(§A¿0,1,0,1,200,3,1,-1,0,0,FALSE,FALSE§Z¿,-1,0))<>SIGN(§A¿0,1,0,1,200,3,1,-1,0,0,FALSE,FALSE§Z¿),MAX(OFFSET(§A¿0,1,0,1,200,3,1,-1,0,0,FALSE,FALSE§Z¿,-1,0),§A¿0,1,0,1,200,3,1,-1,0,0,FALSE,FALSE§Z¿),&#10;IF(§A¿0,1,0,1,200,3,1,-1,0,0,FALSE,FALSE§Z¿>0,ABS(§A¿0,1,0,1,200,2,1,-1,0,0,FALSE,FALSE§Z¿),0))),&#10;0)]]></VOFFF>
                              </ClmnBlkPtProps>
                            </ClmnBlkPt>
                          </ClmnBlkPts>
                        </ClmnBlk>
                        <ClmnBlk>
                          <ClmnBlkProps>
                            <FCPT>0</FCPT>
                            <FCN>12</FCN>
                            <LCPT>0</LCPT>
                            <LCN>12</LCN>
                          </ClmnBlkProps>
                          <ClmnBlkPts>
                            <ClmnBlkPt>
                              <ClmnBlkPtProps>
                                <CBPT>5</CBPT>
                                <ST>18</ST>
                                <SON>22</SON>
                                <VOFFF><![CDATA[=IF(§A¿0,1,0,1,200,2,1,-1,0,0,FALSE,FALSE§Z¿<0,&#10;IF(§A¿0,1,0,1,200,3,1,-1,0,0,FALSE,FALSE§Z¿=0,-MAX(§A¿0,1,0,1,200,2,1,-1,0,0,FALSE,FALSE§Z¿,0),&#10;IF(SIGN(OFFSET(§A¿0,1,0,1,200,3,1,-1,0,0,FALSE,FALSE§Z¿,-1,0))<>SIGN(§A¿0,1,0,1,200,3,1,-1,0,0,FALSE,FALSE§Z¿),MIN(OFFSET(§A¿0,1,0,1,200,3,1,-1,0,0,FALSE,FALSE§Z¿,-1,0),§A¿0,1,0,1,200,3,1,-1,0,0,FALSE,FALSE§Z¿),&#10;IF(§A¿0,1,0,1,200,3,1,-1,0,0,FALSE,FALSE§Z¿<0,-ABS(§A¿0,1,0,1,200,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79,1,1,-1,0,0,FALSE,FALSE§Z¿]]></VOFFF>
                              </ClmnBlkPtProps>
                            </ClmnBlkPt>
                          </ClmnBlkPts>
                        </ClmnBlk>
                        <ClmnBlk>
                          <ClmnBlkProps>
                            <FCPT>0</FCPT>
                            <FCN>5</FCN>
                            <LCPT>0</LCPT>
                            <LCN>5</LCN>
                          </ClmnBlkProps>
                          <ClmnBlkPts>
                            <ClmnBlkPt>
                              <ClmnBlkPtProps>
                                <CBPT>5</CBPT>
                                <ST>18</ST>
                                <SON>22</SON>
                                <VOFFF><![CDATA[=§A¿0,1,0,1,79,3,1,-1,0,0,FALSE,FALSE§Z¿]]></VOFFF>
                              </ClmnBlkPtProps>
                            </ClmnBlkPt>
                          </ClmnBlkPts>
                        </ClmnBlk>
                        <ClmnBlk>
                          <ClmnBlkProps>
                            <FCPT>0</FCPT>
                            <FCN>6</FCN>
                            <LCPT>0</LCPT>
                            <LCN>6</LCN>
                          </ClmnBlkProps>
                          <ClmnBlkPts>
                            <ClmnBlkPt>
                              <ClmnBlkPtProps>
                                <CBPT>5</CBPT>
                                <ST>18</ST>
                                <SON>22</SON>
                                <VOFFF><![CDATA[=SUM(§A¿0,1,1,1,183,2,1,-1,0,0,TRUE,FALSE,1,201,2,1,-1,0,0,FALSE,FALSE§Z¿)]]></VOFFF>
                              </ClmnBlkPtProps>
                            </ClmnBlkPt>
                          </ClmnBlkPts>
                        </ClmnBlk>
                        <ClmnBlk>
                          <ClmnBlkProps>
                            <FCPT>0</FCPT>
                            <FCN>7</FCN>
                            <LCPT>0</LCPT>
                            <LCN>7</LCN>
                          </ClmnBlkProps>
                          <ClmnBlkPts>
                            <ClmnBlkPt>
                              <ClmnBlkPtProps>
                                <CBPT>5</CBPT>
                                <ST>18</ST>
                                <SON>22</SON>
                                <VOFFF><![CDATA[=IF(SIGN(§A¿0,1,0,1,201,3,1,-1,0,0,FALSE,FALSE§Z¿)<>SIGN(OFFSET(§A¿0,1,0,1,201,3,1,-1,0,0,FALSE,FALSE§Z¿,-1,0)),0,&#10;IF(OFFSET(§A¿0,1,0,1,201,3,1,-1,0,0,FALSE,FALSE§Z¿,-1,0)>0,IF(§A¿0,1,0,1,201,2,1,-1,0,0,FALSE,FALSE§Z¿<0,§A¿0,1,0,1,201,3,1,-1,0,0,FALSE,FALSE§Z¿,OFFSET(§A¿0,1,0,1,201,3,1,-1,0,0,FALSE,FALSE§Z¿,-1,0)),0))]]></VOFFF>
                              </ClmnBlkPtProps>
                            </ClmnBlkPt>
                          </ClmnBlkPts>
                        </ClmnBlk>
                        <ClmnBlk>
                          <ClmnBlkProps>
                            <FCPT>0</FCPT>
                            <FCN>8</FCN>
                            <LCPT>0</LCPT>
                            <LCN>8</LCN>
                          </ClmnBlkProps>
                          <ClmnBlkPts>
                            <ClmnBlkPt>
                              <ClmnBlkPtProps>
                                <CBPT>5</CBPT>
                                <ST>18</ST>
                                <SON>22</SON>
                                <VOFFF><![CDATA[=IF(§A¿0,1,0,1,201,2,1,-1,0,0,FALSE,FALSE§Z¿>0,&#10;IF(§A¿0,1,0,1,201,3,1,-1,0,0,FALSE,FALSE§Z¿=0,-MIN(§A¿0,1,0,1,201,2,1,-1,0,0,FALSE,FALSE§Z¿,0),&#10;IF(SIGN(OFFSET(§A¿0,1,0,1,201,3,1,-1,0,0,FALSE,FALSE§Z¿,-1,0))<>SIGN(§A¿0,1,0,1,201,3,1,-1,0,0,FALSE,FALSE§Z¿),MAX(OFFSET(§A¿0,1,0,1,201,3,1,-1,0,0,FALSE,FALSE§Z¿,-1,0),§A¿0,1,0,1,201,3,1,-1,0,0,FALSE,FALSE§Z¿),&#10;IF(§A¿0,1,0,1,201,3,1,-1,0,0,FALSE,FALSE§Z¿>0,ABS(§A¿0,1,0,1,201,2,1,-1,0,0,FALSE,FALSE§Z¿),0))),&#10;0)]]></VOFFF>
                              </ClmnBlkPtProps>
                            </ClmnBlkPt>
                          </ClmnBlkPts>
                        </ClmnBlk>
                        <ClmnBlk>
                          <ClmnBlkProps>
                            <FCPT>0</FCPT>
                            <FCN>9</FCN>
                            <LCPT>0</LCPT>
                            <LCN>9</LCN>
                          </ClmnBlkProps>
                          <ClmnBlkPts>
                            <ClmnBlkPt>
                              <ClmnBlkPtProps>
                                <CBPT>5</CBPT>
                                <ST>18</ST>
                                <SON>22</SON>
                                <VOFFF><![CDATA[=IF(SIGN(OFFSET(§A¿0,1,0,1,201,3,1,-1,0,0,FALSE,FALSE§Z¿,-1,0))<>SIGN(§A¿0,1,0,1,201,3,1,-1,0,0,FALSE,FALSE§Z¿),0,&#10;IF(OFFSET(§A¿0,1,0,1,201,3,1,-1,0,0,FALSE,FALSE§Z¿,-1,0)<0,IF(§A¿0,1,0,1,201,2,1,-1,0,0,FALSE,FALSE§Z¿>0,§A¿0,1,0,1,201,3,1,-1,0,0,FALSE,FALSE§Z¿,OFFSET(§A¿0,1,0,1,201,3,1,-1,0,0,FALSE,FALSE§Z¿,-1,0)),0))]]></VOFFF>
                              </ClmnBlkPtProps>
                            </ClmnBlkPt>
                          </ClmnBlkPts>
                        </ClmnBlk>
                        <ClmnBlk>
                          <ClmnBlkProps>
                            <FCPT>0</FCPT>
                            <FCN>10</FCN>
                            <LCPT>0</LCPT>
                            <LCN>10</LCN>
                          </ClmnBlkProps>
                          <ClmnBlkPts>
                            <ClmnBlkPt>
                              <ClmnBlkPtProps>
                                <CBPT>5</CBPT>
                                <ST>18</ST>
                                <SON>22</SON>
                                <VOFFF><![CDATA[=IF(§A¿0,1,0,1,201,2,1,-1,0,0,FALSE,FALSE§Z¿>0,&#10;IF(§A¿0,1,0,1,201,3,1,-1,0,0,FALSE,FALSE§Z¿=0,-MAX(§A¿0,1,0,1,201,2,1,-1,0,0,FALSE,FALSE§Z¿,0),&#10;IF(SIGN(OFFSET(§A¿0,1,0,1,201,3,1,-1,0,0,FALSE,FALSE§Z¿,-1,0))<>SIGN(§A¿0,1,0,1,201,3,1,-1,0,0,FALSE,FALSE§Z¿),MIN(OFFSET(§A¿0,1,0,1,201,3,1,-1,0,0,FALSE,FALSE§Z¿,-1,0),§A¿0,1,0,1,201,3,1,-1,0,0,FALSE,FALSE§Z¿),&#10;IF(§A¿0,1,0,1,201,3,1,-1,0,0,FALSE,FALSE§Z¿<0,-ABS(§A¿0,1,0,1,201,2,1,-1,0,0,FALSE,FALSE§Z¿),0))),&#10;0)]]></VOFFF>
                              </ClmnBlkPtProps>
                            </ClmnBlkPt>
                          </ClmnBlkPts>
                        </ClmnBlk>
                        <ClmnBlk>
                          <ClmnBlkProps>
                            <FCPT>0</FCPT>
                            <FCN>11</FCN>
                            <LCPT>0</LCPT>
                            <LCN>11</LCN>
                          </ClmnBlkProps>
                          <ClmnBlkPts>
                            <ClmnBlkPt>
                              <ClmnBlkPtProps>
                                <CBPT>5</CBPT>
                                <ST>18</ST>
                                <SON>22</SON>
                                <VOFFF><![CDATA[=IF(§A¿0,1,0,1,201,2,1,-1,0,0,FALSE,FALSE§Z¿<0,&#10;IF(§A¿0,1,0,1,201,3,1,-1,0,0,FALSE,FALSE§Z¿=0,-MIN(§A¿0,1,0,1,201,2,1,-1,0,0,FALSE,FALSE§Z¿,0),&#10;IF(SIGN(OFFSET(§A¿0,1,0,1,201,3,1,-1,0,0,FALSE,FALSE§Z¿,-1,0))<>SIGN(§A¿0,1,0,1,201,3,1,-1,0,0,FALSE,FALSE§Z¿),MAX(OFFSET(§A¿0,1,0,1,201,3,1,-1,0,0,FALSE,FALSE§Z¿,-1,0),§A¿0,1,0,1,201,3,1,-1,0,0,FALSE,FALSE§Z¿),&#10;IF(§A¿0,1,0,1,201,3,1,-1,0,0,FALSE,FALSE§Z¿>0,ABS(§A¿0,1,0,1,201,2,1,-1,0,0,FALSE,FALSE§Z¿),0))),&#10;0)]]></VOFFF>
                              </ClmnBlkPtProps>
                            </ClmnBlkPt>
                          </ClmnBlkPts>
                        </ClmnBlk>
                        <ClmnBlk>
                          <ClmnBlkProps>
                            <FCPT>0</FCPT>
                            <FCN>12</FCN>
                            <LCPT>0</LCPT>
                            <LCN>12</LCN>
                          </ClmnBlkProps>
                          <ClmnBlkPts>
                            <ClmnBlkPt>
                              <ClmnBlkPtProps>
                                <CBPT>5</CBPT>
                                <ST>18</ST>
                                <SON>22</SON>
                                <VOFFF><![CDATA[=IF(§A¿0,1,0,1,201,2,1,-1,0,0,FALSE,FALSE§Z¿<0,&#10;IF(§A¿0,1,0,1,201,3,1,-1,0,0,FALSE,FALSE§Z¿=0,-MAX(§A¿0,1,0,1,201,2,1,-1,0,0,FALSE,FALSE§Z¿,0),&#10;IF(SIGN(OFFSET(§A¿0,1,0,1,201,3,1,-1,0,0,FALSE,FALSE§Z¿,-1,0))<>SIGN(§A¿0,1,0,1,201,3,1,-1,0,0,FALSE,FALSE§Z¿),MIN(OFFSET(§A¿0,1,0,1,201,3,1,-1,0,0,FALSE,FALSE§Z¿,-1,0),§A¿0,1,0,1,201,3,1,-1,0,0,FALSE,FALSE§Z¿),&#10;IF(§A¿0,1,0,1,201,3,1,-1,0,0,FALSE,FALSE§Z¿<0,-ABS(§A¿0,1,0,1,201,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80,1,1,-1,0,0,FALSE,FALSE§Z¿]]></VOFFF>
                              </ClmnBlkPtProps>
                            </ClmnBlkPt>
                          </ClmnBlkPts>
                        </ClmnBlk>
                        <ClmnBlk>
                          <ClmnBlkProps>
                            <FCPT>0</FCPT>
                            <FCN>5</FCN>
                            <LCPT>0</LCPT>
                            <LCN>5</LCN>
                          </ClmnBlkProps>
                          <ClmnBlkPts>
                            <ClmnBlkPt>
                              <ClmnBlkPtProps>
                                <CBPT>5</CBPT>
                                <ST>18</ST>
                                <SON>22</SON>
                                <VOFFF><![CDATA[=§A¿0,1,0,1,80,3,1,-1,0,0,FALSE,FALSE§Z¿]]></VOFFF>
                              </ClmnBlkPtProps>
                            </ClmnBlkPt>
                          </ClmnBlkPts>
                        </ClmnBlk>
                        <ClmnBlk>
                          <ClmnBlkProps>
                            <FCPT>0</FCPT>
                            <FCN>6</FCN>
                            <LCPT>0</LCPT>
                            <LCN>6</LCN>
                          </ClmnBlkProps>
                          <ClmnBlkPts>
                            <ClmnBlkPt>
                              <ClmnBlkPtProps>
                                <CBPT>5</CBPT>
                                <ST>18</ST>
                                <SON>22</SON>
                                <VOFFF><![CDATA[=SUM(§A¿0,1,1,1,183,2,1,-1,0,0,TRUE,FALSE,1,202,2,1,-1,0,0,FALSE,FALSE§Z¿)]]></VOFFF>
                              </ClmnBlkPtProps>
                            </ClmnBlkPt>
                          </ClmnBlkPts>
                        </ClmnBlk>
                        <ClmnBlk>
                          <ClmnBlkProps>
                            <FCPT>0</FCPT>
                            <FCN>7</FCN>
                            <LCPT>0</LCPT>
                            <LCN>7</LCN>
                          </ClmnBlkProps>
                          <ClmnBlkPts>
                            <ClmnBlkPt>
                              <ClmnBlkPtProps>
                                <CBPT>5</CBPT>
                                <ST>18</ST>
                                <SON>22</SON>
                                <VOFFF><![CDATA[=IF(SIGN(§A¿0,1,0,1,202,3,1,-1,0,0,FALSE,FALSE§Z¿)<>SIGN(OFFSET(§A¿0,1,0,1,202,3,1,-1,0,0,FALSE,FALSE§Z¿,-1,0)),0,&#10;IF(OFFSET(§A¿0,1,0,1,202,3,1,-1,0,0,FALSE,FALSE§Z¿,-1,0)>0,IF(§A¿0,1,0,1,202,2,1,-1,0,0,FALSE,FALSE§Z¿<0,§A¿0,1,0,1,202,3,1,-1,0,0,FALSE,FALSE§Z¿,OFFSET(§A¿0,1,0,1,202,3,1,-1,0,0,FALSE,FALSE§Z¿,-1,0)),0))]]></VOFFF>
                              </ClmnBlkPtProps>
                            </ClmnBlkPt>
                          </ClmnBlkPts>
                        </ClmnBlk>
                        <ClmnBlk>
                          <ClmnBlkProps>
                            <FCPT>0</FCPT>
                            <FCN>8</FCN>
                            <LCPT>0</LCPT>
                            <LCN>8</LCN>
                          </ClmnBlkProps>
                          <ClmnBlkPts>
                            <ClmnBlkPt>
                              <ClmnBlkPtProps>
                                <CBPT>5</CBPT>
                                <ST>18</ST>
                                <SON>22</SON>
                                <VOFFF><![CDATA[=IF(§A¿0,1,0,1,202,2,1,-1,0,0,FALSE,FALSE§Z¿>0,&#10;IF(§A¿0,1,0,1,202,3,1,-1,0,0,FALSE,FALSE§Z¿=0,-MIN(§A¿0,1,0,1,202,2,1,-1,0,0,FALSE,FALSE§Z¿,0),&#10;IF(SIGN(OFFSET(§A¿0,1,0,1,202,3,1,-1,0,0,FALSE,FALSE§Z¿,-1,0))<>SIGN(§A¿0,1,0,1,202,3,1,-1,0,0,FALSE,FALSE§Z¿),MAX(OFFSET(§A¿0,1,0,1,202,3,1,-1,0,0,FALSE,FALSE§Z¿,-1,0),§A¿0,1,0,1,202,3,1,-1,0,0,FALSE,FALSE§Z¿),&#10;IF(§A¿0,1,0,1,202,3,1,-1,0,0,FALSE,FALSE§Z¿>0,ABS(§A¿0,1,0,1,202,2,1,-1,0,0,FALSE,FALSE§Z¿),0))),&#10;0)]]></VOFFF>
                              </ClmnBlkPtProps>
                            </ClmnBlkPt>
                          </ClmnBlkPts>
                        </ClmnBlk>
                        <ClmnBlk>
                          <ClmnBlkProps>
                            <FCPT>0</FCPT>
                            <FCN>9</FCN>
                            <LCPT>0</LCPT>
                            <LCN>9</LCN>
                          </ClmnBlkProps>
                          <ClmnBlkPts>
                            <ClmnBlkPt>
                              <ClmnBlkPtProps>
                                <CBPT>5</CBPT>
                                <ST>18</ST>
                                <SON>22</SON>
                                <VOFFF><![CDATA[=IF(SIGN(OFFSET(§A¿0,1,0,1,202,3,1,-1,0,0,FALSE,FALSE§Z¿,-1,0))<>SIGN(§A¿0,1,0,1,202,3,1,-1,0,0,FALSE,FALSE§Z¿),0,&#10;IF(OFFSET(§A¿0,1,0,1,202,3,1,-1,0,0,FALSE,FALSE§Z¿,-1,0)<0,IF(§A¿0,1,0,1,202,2,1,-1,0,0,FALSE,FALSE§Z¿>0,§A¿0,1,0,1,202,3,1,-1,0,0,FALSE,FALSE§Z¿,OFFSET(§A¿0,1,0,1,202,3,1,-1,0,0,FALSE,FALSE§Z¿,-1,0)),0))]]></VOFFF>
                              </ClmnBlkPtProps>
                            </ClmnBlkPt>
                          </ClmnBlkPts>
                        </ClmnBlk>
                        <ClmnBlk>
                          <ClmnBlkProps>
                            <FCPT>0</FCPT>
                            <FCN>10</FCN>
                            <LCPT>0</LCPT>
                            <LCN>10</LCN>
                          </ClmnBlkProps>
                          <ClmnBlkPts>
                            <ClmnBlkPt>
                              <ClmnBlkPtProps>
                                <CBPT>5</CBPT>
                                <ST>18</ST>
                                <SON>22</SON>
                                <VOFFF><![CDATA[=IF(§A¿0,1,0,1,202,2,1,-1,0,0,FALSE,FALSE§Z¿>0,&#10;IF(§A¿0,1,0,1,202,3,1,-1,0,0,FALSE,FALSE§Z¿=0,-MAX(§A¿0,1,0,1,202,2,1,-1,0,0,FALSE,FALSE§Z¿,0),&#10;IF(SIGN(OFFSET(§A¿0,1,0,1,202,3,1,-1,0,0,FALSE,FALSE§Z¿,-1,0))<>SIGN(§A¿0,1,0,1,202,3,1,-1,0,0,FALSE,FALSE§Z¿),MIN(OFFSET(§A¿0,1,0,1,202,3,1,-1,0,0,FALSE,FALSE§Z¿,-1,0),§A¿0,1,0,1,202,3,1,-1,0,0,FALSE,FALSE§Z¿),&#10;IF(§A¿0,1,0,1,202,3,1,-1,0,0,FALSE,FALSE§Z¿<0,-ABS(§A¿0,1,0,1,202,2,1,-1,0,0,FALSE,FALSE§Z¿),0))),&#10;0)]]></VOFFF>
                              </ClmnBlkPtProps>
                            </ClmnBlkPt>
                          </ClmnBlkPts>
                        </ClmnBlk>
                        <ClmnBlk>
                          <ClmnBlkProps>
                            <FCPT>0</FCPT>
                            <FCN>11</FCN>
                            <LCPT>0</LCPT>
                            <LCN>11</LCN>
                          </ClmnBlkProps>
                          <ClmnBlkPts>
                            <ClmnBlkPt>
                              <ClmnBlkPtProps>
                                <CBPT>5</CBPT>
                                <ST>18</ST>
                                <SON>22</SON>
                                <VOFFF><![CDATA[=IF(§A¿0,1,0,1,202,2,1,-1,0,0,FALSE,FALSE§Z¿<0,&#10;IF(§A¿0,1,0,1,202,3,1,-1,0,0,FALSE,FALSE§Z¿=0,-MIN(§A¿0,1,0,1,202,2,1,-1,0,0,FALSE,FALSE§Z¿,0),&#10;IF(SIGN(OFFSET(§A¿0,1,0,1,202,3,1,-1,0,0,FALSE,FALSE§Z¿,-1,0))<>SIGN(§A¿0,1,0,1,202,3,1,-1,0,0,FALSE,FALSE§Z¿),MAX(OFFSET(§A¿0,1,0,1,202,3,1,-1,0,0,FALSE,FALSE§Z¿,-1,0),§A¿0,1,0,1,202,3,1,-1,0,0,FALSE,FALSE§Z¿),&#10;IF(§A¿0,1,0,1,202,3,1,-1,0,0,FALSE,FALSE§Z¿>0,ABS(§A¿0,1,0,1,202,2,1,-1,0,0,FALSE,FALSE§Z¿),0))),&#10;0)]]></VOFFF>
                              </ClmnBlkPtProps>
                            </ClmnBlkPt>
                          </ClmnBlkPts>
                        </ClmnBlk>
                        <ClmnBlk>
                          <ClmnBlkProps>
                            <FCPT>0</FCPT>
                            <FCN>12</FCN>
                            <LCPT>0</LCPT>
                            <LCN>12</LCN>
                          </ClmnBlkProps>
                          <ClmnBlkPts>
                            <ClmnBlkPt>
                              <ClmnBlkPtProps>
                                <CBPT>5</CBPT>
                                <ST>18</ST>
                                <SON>22</SON>
                                <VOFFF><![CDATA[=IF(§A¿0,1,0,1,202,2,1,-1,0,0,FALSE,FALSE§Z¿<0,&#10;IF(§A¿0,1,0,1,202,3,1,-1,0,0,FALSE,FALSE§Z¿=0,-MAX(§A¿0,1,0,1,202,2,1,-1,0,0,FALSE,FALSE§Z¿,0),&#10;IF(SIGN(OFFSET(§A¿0,1,0,1,202,3,1,-1,0,0,FALSE,FALSE§Z¿,-1,0))<>SIGN(§A¿0,1,0,1,202,3,1,-1,0,0,FALSE,FALSE§Z¿),MIN(OFFSET(§A¿0,1,0,1,202,3,1,-1,0,0,FALSE,FALSE§Z¿,-1,0),§A¿0,1,0,1,202,3,1,-1,0,0,FALSE,FALSE§Z¿),&#10;IF(§A¿0,1,0,1,202,3,1,-1,0,0,FALSE,FALSE§Z¿<0,-ABS(§A¿0,1,0,1,202,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81,1,1,-1,0,0,FALSE,FALSE§Z¿]]></VOFFF>
                              </ClmnBlkPtProps>
                            </ClmnBlkPt>
                          </ClmnBlkPts>
                        </ClmnBlk>
                        <ClmnBlk>
                          <ClmnBlkProps>
                            <FCPT>0</FCPT>
                            <FCN>5</FCN>
                            <LCPT>0</LCPT>
                            <LCN>5</LCN>
                          </ClmnBlkProps>
                          <ClmnBlkPts>
                            <ClmnBlkPt>
                              <ClmnBlkPtProps>
                                <CBPT>5</CBPT>
                                <ST>18</ST>
                                <SON>22</SON>
                                <VOFFF><![CDATA[=§A¿0,1,0,1,81,3,1,-1,0,0,FALSE,FALSE§Z¿]]></VOFFF>
                              </ClmnBlkPtProps>
                            </ClmnBlkPt>
                          </ClmnBlkPts>
                        </ClmnBlk>
                        <ClmnBlk>
                          <ClmnBlkProps>
                            <FCPT>0</FCPT>
                            <FCN>6</FCN>
                            <LCPT>0</LCPT>
                            <LCN>6</LCN>
                          </ClmnBlkProps>
                          <ClmnBlkPts>
                            <ClmnBlkPt>
                              <ClmnBlkPtProps>
                                <CBPT>5</CBPT>
                                <ST>18</ST>
                                <SON>22</SON>
                                <VOFFF><![CDATA[=SUM(§A¿0,1,1,1,183,2,1,-1,0,0,TRUE,FALSE,1,203,2,1,-1,0,0,FALSE,FALSE§Z¿)]]></VOFFF>
                              </ClmnBlkPtProps>
                            </ClmnBlkPt>
                          </ClmnBlkPts>
                        </ClmnBlk>
                        <ClmnBlk>
                          <ClmnBlkProps>
                            <FCPT>0</FCPT>
                            <FCN>7</FCN>
                            <LCPT>0</LCPT>
                            <LCN>7</LCN>
                          </ClmnBlkProps>
                          <ClmnBlkPts>
                            <ClmnBlkPt>
                              <ClmnBlkPtProps>
                                <CBPT>5</CBPT>
                                <ST>18</ST>
                                <SON>22</SON>
                                <VOFFF><![CDATA[=IF(SIGN(§A¿0,1,0,1,203,3,1,-1,0,0,FALSE,FALSE§Z¿)<>SIGN(OFFSET(§A¿0,1,0,1,203,3,1,-1,0,0,FALSE,FALSE§Z¿,-1,0)),0,&#10;IF(OFFSET(§A¿0,1,0,1,203,3,1,-1,0,0,FALSE,FALSE§Z¿,-1,0)>0,IF(§A¿0,1,0,1,203,2,1,-1,0,0,FALSE,FALSE§Z¿<0,§A¿0,1,0,1,203,3,1,-1,0,0,FALSE,FALSE§Z¿,OFFSET(§A¿0,1,0,1,203,3,1,-1,0,0,FALSE,FALSE§Z¿,-1,0)),0))]]></VOFFF>
                              </ClmnBlkPtProps>
                            </ClmnBlkPt>
                          </ClmnBlkPts>
                        </ClmnBlk>
                        <ClmnBlk>
                          <ClmnBlkProps>
                            <FCPT>0</FCPT>
                            <FCN>8</FCN>
                            <LCPT>0</LCPT>
                            <LCN>8</LCN>
                          </ClmnBlkProps>
                          <ClmnBlkPts>
                            <ClmnBlkPt>
                              <ClmnBlkPtProps>
                                <CBPT>5</CBPT>
                                <ST>18</ST>
                                <SON>22</SON>
                                <VOFFF><![CDATA[=IF(§A¿0,1,0,1,203,2,1,-1,0,0,FALSE,FALSE§Z¿>0,&#10;IF(§A¿0,1,0,1,203,3,1,-1,0,0,FALSE,FALSE§Z¿=0,-MIN(§A¿0,1,0,1,203,2,1,-1,0,0,FALSE,FALSE§Z¿,0),&#10;IF(SIGN(OFFSET(§A¿0,1,0,1,203,3,1,-1,0,0,FALSE,FALSE§Z¿,-1,0))<>SIGN(§A¿0,1,0,1,203,3,1,-1,0,0,FALSE,FALSE§Z¿),MAX(OFFSET(§A¿0,1,0,1,203,3,1,-1,0,0,FALSE,FALSE§Z¿,-1,0),§A¿0,1,0,1,203,3,1,-1,0,0,FALSE,FALSE§Z¿),&#10;IF(§A¿0,1,0,1,203,3,1,-1,0,0,FALSE,FALSE§Z¿>0,ABS(§A¿0,1,0,1,203,2,1,-1,0,0,FALSE,FALSE§Z¿),0))),&#10;0)]]></VOFFF>
                              </ClmnBlkPtProps>
                            </ClmnBlkPt>
                          </ClmnBlkPts>
                        </ClmnBlk>
                        <ClmnBlk>
                          <ClmnBlkProps>
                            <FCPT>0</FCPT>
                            <FCN>9</FCN>
                            <LCPT>0</LCPT>
                            <LCN>9</LCN>
                          </ClmnBlkProps>
                          <ClmnBlkPts>
                            <ClmnBlkPt>
                              <ClmnBlkPtProps>
                                <CBPT>5</CBPT>
                                <ST>18</ST>
                                <SON>22</SON>
                                <VOFFF><![CDATA[=IF(SIGN(OFFSET(§A¿0,1,0,1,203,3,1,-1,0,0,FALSE,FALSE§Z¿,-1,0))<>SIGN(§A¿0,1,0,1,203,3,1,-1,0,0,FALSE,FALSE§Z¿),0,&#10;IF(OFFSET(§A¿0,1,0,1,203,3,1,-1,0,0,FALSE,FALSE§Z¿,-1,0)<0,IF(§A¿0,1,0,1,203,2,1,-1,0,0,FALSE,FALSE§Z¿>0,§A¿0,1,0,1,203,3,1,-1,0,0,FALSE,FALSE§Z¿,OFFSET(§A¿0,1,0,1,203,3,1,-1,0,0,FALSE,FALSE§Z¿,-1,0)),0))]]></VOFFF>
                              </ClmnBlkPtProps>
                            </ClmnBlkPt>
                          </ClmnBlkPts>
                        </ClmnBlk>
                        <ClmnBlk>
                          <ClmnBlkProps>
                            <FCPT>0</FCPT>
                            <FCN>10</FCN>
                            <LCPT>0</LCPT>
                            <LCN>10</LCN>
                          </ClmnBlkProps>
                          <ClmnBlkPts>
                            <ClmnBlkPt>
                              <ClmnBlkPtProps>
                                <CBPT>5</CBPT>
                                <ST>18</ST>
                                <SON>22</SON>
                                <VOFFF><![CDATA[=IF(§A¿0,1,0,1,203,2,1,-1,0,0,FALSE,FALSE§Z¿>0,&#10;IF(§A¿0,1,0,1,203,3,1,-1,0,0,FALSE,FALSE§Z¿=0,-MAX(§A¿0,1,0,1,203,2,1,-1,0,0,FALSE,FALSE§Z¿,0),&#10;IF(SIGN(OFFSET(§A¿0,1,0,1,203,3,1,-1,0,0,FALSE,FALSE§Z¿,-1,0))<>SIGN(§A¿0,1,0,1,203,3,1,-1,0,0,FALSE,FALSE§Z¿),MIN(OFFSET(§A¿0,1,0,1,203,3,1,-1,0,0,FALSE,FALSE§Z¿,-1,0),§A¿0,1,0,1,203,3,1,-1,0,0,FALSE,FALSE§Z¿),&#10;IF(§A¿0,1,0,1,203,3,1,-1,0,0,FALSE,FALSE§Z¿<0,-ABS(§A¿0,1,0,1,203,2,1,-1,0,0,FALSE,FALSE§Z¿),0))),&#10;0)]]></VOFFF>
                              </ClmnBlkPtProps>
                            </ClmnBlkPt>
                          </ClmnBlkPts>
                        </ClmnBlk>
                        <ClmnBlk>
                          <ClmnBlkProps>
                            <FCPT>0</FCPT>
                            <FCN>11</FCN>
                            <LCPT>0</LCPT>
                            <LCN>11</LCN>
                          </ClmnBlkProps>
                          <ClmnBlkPts>
                            <ClmnBlkPt>
                              <ClmnBlkPtProps>
                                <CBPT>5</CBPT>
                                <ST>18</ST>
                                <SON>22</SON>
                                <VOFFF><![CDATA[=IF(§A¿0,1,0,1,203,2,1,-1,0,0,FALSE,FALSE§Z¿<0,&#10;IF(§A¿0,1,0,1,203,3,1,-1,0,0,FALSE,FALSE§Z¿=0,-MIN(§A¿0,1,0,1,203,2,1,-1,0,0,FALSE,FALSE§Z¿,0),&#10;IF(SIGN(OFFSET(§A¿0,1,0,1,203,3,1,-1,0,0,FALSE,FALSE§Z¿,-1,0))<>SIGN(§A¿0,1,0,1,203,3,1,-1,0,0,FALSE,FALSE§Z¿),MAX(OFFSET(§A¿0,1,0,1,203,3,1,-1,0,0,FALSE,FALSE§Z¿,-1,0),§A¿0,1,0,1,203,3,1,-1,0,0,FALSE,FALSE§Z¿),&#10;IF(§A¿0,1,0,1,203,3,1,-1,0,0,FALSE,FALSE§Z¿>0,ABS(§A¿0,1,0,1,203,2,1,-1,0,0,FALSE,FALSE§Z¿),0))),&#10;0)]]></VOFFF>
                              </ClmnBlkPtProps>
                            </ClmnBlkPt>
                          </ClmnBlkPts>
                        </ClmnBlk>
                        <ClmnBlk>
                          <ClmnBlkProps>
                            <FCPT>0</FCPT>
                            <FCN>12</FCN>
                            <LCPT>0</LCPT>
                            <LCN>12</LCN>
                          </ClmnBlkProps>
                          <ClmnBlkPts>
                            <ClmnBlkPt>
                              <ClmnBlkPtProps>
                                <CBPT>5</CBPT>
                                <ST>18</ST>
                                <SON>22</SON>
                                <VOFFF><![CDATA[=IF(§A¿0,1,0,1,203,2,1,-1,0,0,FALSE,FALSE§Z¿<0,&#10;IF(§A¿0,1,0,1,203,3,1,-1,0,0,FALSE,FALSE§Z¿=0,-MAX(§A¿0,1,0,1,203,2,1,-1,0,0,FALSE,FALSE§Z¿,0),&#10;IF(SIGN(OFFSET(§A¿0,1,0,1,203,3,1,-1,0,0,FALSE,FALSE§Z¿,-1,0))<>SIGN(§A¿0,1,0,1,203,3,1,-1,0,0,FALSE,FALSE§Z¿),MIN(OFFSET(§A¿0,1,0,1,203,3,1,-1,0,0,FALSE,FALSE§Z¿,-1,0),§A¿0,1,0,1,203,3,1,-1,0,0,FALSE,FALSE§Z¿),&#10;IF(§A¿0,1,0,1,203,3,1,-1,0,0,FALSE,FALSE§Z¿<0,-ABS(§A¿0,1,0,1,203,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82,1,1,-1,0,0,FALSE,FALSE§Z¿]]></VOFFF>
                              </ClmnBlkPtProps>
                            </ClmnBlkPt>
                          </ClmnBlkPts>
                        </ClmnBlk>
                        <ClmnBlk>
                          <ClmnBlkProps>
                            <FCPT>0</FCPT>
                            <FCN>5</FCN>
                            <LCPT>0</LCPT>
                            <LCN>5</LCN>
                          </ClmnBlkProps>
                          <ClmnBlkPts>
                            <ClmnBlkPt>
                              <ClmnBlkPtProps>
                                <CBPT>5</CBPT>
                                <ST>18</ST>
                                <SON>22</SON>
                                <VOFFF><![CDATA[=§A¿0,1,0,1,82,3,1,-1,0,0,FALSE,FALSE§Z¿]]></VOFFF>
                              </ClmnBlkPtProps>
                            </ClmnBlkPt>
                          </ClmnBlkPts>
                        </ClmnBlk>
                        <ClmnBlk>
                          <ClmnBlkProps>
                            <FCPT>0</FCPT>
                            <FCN>6</FCN>
                            <LCPT>0</LCPT>
                            <LCN>6</LCN>
                          </ClmnBlkProps>
                          <ClmnBlkPts>
                            <ClmnBlkPt>
                              <ClmnBlkPtProps>
                                <CBPT>5</CBPT>
                                <ST>18</ST>
                                <SON>22</SON>
                                <VOFFF><![CDATA[=SUM(§A¿0,1,1,1,183,2,1,-1,0,0,TRUE,FALSE,1,204,2,1,-1,0,0,FALSE,FALSE§Z¿)]]></VOFFF>
                              </ClmnBlkPtProps>
                            </ClmnBlkPt>
                          </ClmnBlkPts>
                        </ClmnBlk>
                        <ClmnBlk>
                          <ClmnBlkProps>
                            <FCPT>0</FCPT>
                            <FCN>7</FCN>
                            <LCPT>0</LCPT>
                            <LCN>7</LCN>
                          </ClmnBlkProps>
                          <ClmnBlkPts>
                            <ClmnBlkPt>
                              <ClmnBlkPtProps>
                                <CBPT>5</CBPT>
                                <ST>18</ST>
                                <SON>22</SON>
                                <VOFFF><![CDATA[=IF(SIGN(§A¿0,1,0,1,204,3,1,-1,0,0,FALSE,FALSE§Z¿)<>SIGN(OFFSET(§A¿0,1,0,1,204,3,1,-1,0,0,FALSE,FALSE§Z¿,-1,0)),0,&#10;IF(OFFSET(§A¿0,1,0,1,204,3,1,-1,0,0,FALSE,FALSE§Z¿,-1,0)>0,IF(§A¿0,1,0,1,204,2,1,-1,0,0,FALSE,FALSE§Z¿<0,§A¿0,1,0,1,204,3,1,-1,0,0,FALSE,FALSE§Z¿,OFFSET(§A¿0,1,0,1,204,3,1,-1,0,0,FALSE,FALSE§Z¿,-1,0)),0))]]></VOFFF>
                              </ClmnBlkPtProps>
                            </ClmnBlkPt>
                          </ClmnBlkPts>
                        </ClmnBlk>
                        <ClmnBlk>
                          <ClmnBlkProps>
                            <FCPT>0</FCPT>
                            <FCN>8</FCN>
                            <LCPT>0</LCPT>
                            <LCN>8</LCN>
                          </ClmnBlkProps>
                          <ClmnBlkPts>
                            <ClmnBlkPt>
                              <ClmnBlkPtProps>
                                <CBPT>5</CBPT>
                                <ST>18</ST>
                                <SON>22</SON>
                                <VOFFF><![CDATA[=IF(§A¿0,1,0,1,204,2,1,-1,0,0,FALSE,FALSE§Z¿>0,&#10;IF(§A¿0,1,0,1,204,3,1,-1,0,0,FALSE,FALSE§Z¿=0,-MIN(§A¿0,1,0,1,204,2,1,-1,0,0,FALSE,FALSE§Z¿,0),&#10;IF(SIGN(OFFSET(§A¿0,1,0,1,204,3,1,-1,0,0,FALSE,FALSE§Z¿,-1,0))<>SIGN(§A¿0,1,0,1,204,3,1,-1,0,0,FALSE,FALSE§Z¿),MAX(OFFSET(§A¿0,1,0,1,204,3,1,-1,0,0,FALSE,FALSE§Z¿,-1,0),§A¿0,1,0,1,204,3,1,-1,0,0,FALSE,FALSE§Z¿),&#10;IF(§A¿0,1,0,1,204,3,1,-1,0,0,FALSE,FALSE§Z¿>0,ABS(§A¿0,1,0,1,204,2,1,-1,0,0,FALSE,FALSE§Z¿),0))),&#10;0)]]></VOFFF>
                              </ClmnBlkPtProps>
                            </ClmnBlkPt>
                          </ClmnBlkPts>
                        </ClmnBlk>
                        <ClmnBlk>
                          <ClmnBlkProps>
                            <FCPT>0</FCPT>
                            <FCN>9</FCN>
                            <LCPT>0</LCPT>
                            <LCN>9</LCN>
                          </ClmnBlkProps>
                          <ClmnBlkPts>
                            <ClmnBlkPt>
                              <ClmnBlkPtProps>
                                <CBPT>5</CBPT>
                                <ST>18</ST>
                                <SON>22</SON>
                                <VOFFF><![CDATA[=IF(SIGN(OFFSET(§A¿0,1,0,1,204,3,1,-1,0,0,FALSE,FALSE§Z¿,-1,0))<>SIGN(§A¿0,1,0,1,204,3,1,-1,0,0,FALSE,FALSE§Z¿),0,&#10;IF(OFFSET(§A¿0,1,0,1,204,3,1,-1,0,0,FALSE,FALSE§Z¿,-1,0)<0,IF(§A¿0,1,0,1,204,2,1,-1,0,0,FALSE,FALSE§Z¿>0,§A¿0,1,0,1,204,3,1,-1,0,0,FALSE,FALSE§Z¿,OFFSET(§A¿0,1,0,1,204,3,1,-1,0,0,FALSE,FALSE§Z¿,-1,0)),0))]]></VOFFF>
                              </ClmnBlkPtProps>
                            </ClmnBlkPt>
                          </ClmnBlkPts>
                        </ClmnBlk>
                        <ClmnBlk>
                          <ClmnBlkProps>
                            <FCPT>0</FCPT>
                            <FCN>10</FCN>
                            <LCPT>0</LCPT>
                            <LCN>10</LCN>
                          </ClmnBlkProps>
                          <ClmnBlkPts>
                            <ClmnBlkPt>
                              <ClmnBlkPtProps>
                                <CBPT>5</CBPT>
                                <ST>18</ST>
                                <SON>22</SON>
                                <VOFFF><![CDATA[=IF(§A¿0,1,0,1,204,2,1,-1,0,0,FALSE,FALSE§Z¿>0,&#10;IF(§A¿0,1,0,1,204,3,1,-1,0,0,FALSE,FALSE§Z¿=0,-MAX(§A¿0,1,0,1,204,2,1,-1,0,0,FALSE,FALSE§Z¿,0),&#10;IF(SIGN(OFFSET(§A¿0,1,0,1,204,3,1,-1,0,0,FALSE,FALSE§Z¿,-1,0))<>SIGN(§A¿0,1,0,1,204,3,1,-1,0,0,FALSE,FALSE§Z¿),MIN(OFFSET(§A¿0,1,0,1,204,3,1,-1,0,0,FALSE,FALSE§Z¿,-1,0),§A¿0,1,0,1,204,3,1,-1,0,0,FALSE,FALSE§Z¿),&#10;IF(§A¿0,1,0,1,204,3,1,-1,0,0,FALSE,FALSE§Z¿<0,-ABS(§A¿0,1,0,1,204,2,1,-1,0,0,FALSE,FALSE§Z¿),0))),&#10;0)]]></VOFFF>
                              </ClmnBlkPtProps>
                            </ClmnBlkPt>
                          </ClmnBlkPts>
                        </ClmnBlk>
                        <ClmnBlk>
                          <ClmnBlkProps>
                            <FCPT>0</FCPT>
                            <FCN>11</FCN>
                            <LCPT>0</LCPT>
                            <LCN>11</LCN>
                          </ClmnBlkProps>
                          <ClmnBlkPts>
                            <ClmnBlkPt>
                              <ClmnBlkPtProps>
                                <CBPT>5</CBPT>
                                <ST>18</ST>
                                <SON>22</SON>
                                <VOFFF><![CDATA[=IF(§A¿0,1,0,1,204,2,1,-1,0,0,FALSE,FALSE§Z¿<0,&#10;IF(§A¿0,1,0,1,204,3,1,-1,0,0,FALSE,FALSE§Z¿=0,-MIN(§A¿0,1,0,1,204,2,1,-1,0,0,FALSE,FALSE§Z¿,0),&#10;IF(SIGN(OFFSET(§A¿0,1,0,1,204,3,1,-1,0,0,FALSE,FALSE§Z¿,-1,0))<>SIGN(§A¿0,1,0,1,204,3,1,-1,0,0,FALSE,FALSE§Z¿),MAX(OFFSET(§A¿0,1,0,1,204,3,1,-1,0,0,FALSE,FALSE§Z¿,-1,0),§A¿0,1,0,1,204,3,1,-1,0,0,FALSE,FALSE§Z¿),&#10;IF(§A¿0,1,0,1,204,3,1,-1,0,0,FALSE,FALSE§Z¿>0,ABS(§A¿0,1,0,1,204,2,1,-1,0,0,FALSE,FALSE§Z¿),0))),&#10;0)]]></VOFFF>
                              </ClmnBlkPtProps>
                            </ClmnBlkPt>
                          </ClmnBlkPts>
                        </ClmnBlk>
                        <ClmnBlk>
                          <ClmnBlkProps>
                            <FCPT>0</FCPT>
                            <FCN>12</FCN>
                            <LCPT>0</LCPT>
                            <LCN>12</LCN>
                          </ClmnBlkProps>
                          <ClmnBlkPts>
                            <ClmnBlkPt>
                              <ClmnBlkPtProps>
                                <CBPT>5</CBPT>
                                <ST>18</ST>
                                <SON>22</SON>
                                <VOFFF><![CDATA[=IF(§A¿0,1,0,1,204,2,1,-1,0,0,FALSE,FALSE§Z¿<0,&#10;IF(§A¿0,1,0,1,204,3,1,-1,0,0,FALSE,FALSE§Z¿=0,-MAX(§A¿0,1,0,1,204,2,1,-1,0,0,FALSE,FALSE§Z¿,0),&#10;IF(SIGN(OFFSET(§A¿0,1,0,1,204,3,1,-1,0,0,FALSE,FALSE§Z¿,-1,0))<>SIGN(§A¿0,1,0,1,204,3,1,-1,0,0,FALSE,FALSE§Z¿),MIN(OFFSET(§A¿0,1,0,1,204,3,1,-1,0,0,FALSE,FALSE§Z¿,-1,0),§A¿0,1,0,1,204,3,1,-1,0,0,FALSE,FALSE§Z¿),&#10;IF(§A¿0,1,0,1,204,3,1,-1,0,0,FALSE,FALSE§Z¿<0,-ABS(§A¿0,1,0,1,204,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6</ST>
                                <VOFFF><![CDATA[=§A¿0,1,0,1,83,1,1,-1,0,0,FALSE,FALSE§Z¿]]></VOFFF>
                              </ClmnBlkPtProps>
                            </ClmnBlkPt>
                          </ClmnBlkPts>
                        </ClmnBlk>
                        <ClmnBlk>
                          <ClmnBlkProps>
                            <FCPT>0</FCPT>
                            <FCN>5</FCN>
                            <LCPT>0</LCPT>
                            <LCN>5</LCN>
                          </ClmnBlkProps>
                          <ClmnBlkPts>
                            <ClmnBlkPt>
                              <ClmnBlkPtProps>
                                <CBPT>5</CBPT>
                                <ST>18</ST>
                                <SON>22</SON>
                                <VOFFF><![CDATA[=§A¿0,1,0,1,83,3,1,-1,0,0,FALSE,FALSE§Z¿]]></VOFFF>
                              </ClmnBlkPtProps>
                            </ClmnBlkPt>
                          </ClmnBlkPts>
                        </ClmnBlk>
                        <ClmnBlk>
                          <ClmnBlkProps>
                            <FCPT>0</FCPT>
                            <FCN>6</FCN>
                            <LCPT>0</LCPT>
                            <LCN>6</LCN>
                          </ClmnBlkProps>
                          <ClmnBlkPts>
                            <ClmnBlkPt>
                              <ClmnBlkPtProps>
                                <CBPT>5</CBPT>
                                <ST>18</ST>
                                <SON>22</SON>
                                <VOFFF><![CDATA[=SUM(§A¿0,1,1,1,183,2,1,-1,0,0,TRUE,FALSE,1,205,2,1,-1,0,0,FALSE,FALSE§Z¿)]]></VOFFF>
                              </ClmnBlkPtProps>
                            </ClmnBlkPt>
                          </ClmnBlkPts>
                        </ClmnBlk>
                        <ClmnBlk>
                          <ClmnBlkProps>
                            <FCPT>0</FCPT>
                            <FCN>7</FCN>
                            <LCPT>0</LCPT>
                            <LCN>7</LCN>
                          </ClmnBlkProps>
                          <ClmnBlkPts>
                            <ClmnBlkPt>
                              <ClmnBlkPtProps>
                                <CBPT>5</CBPT>
                                <ST>18</ST>
                                <SON>22</SON>
                                <VOFFF><![CDATA[=IF(SIGN(§A¿0,1,0,1,205,3,1,-1,0,0,FALSE,FALSE§Z¿)<>SIGN(OFFSET(§A¿0,1,0,1,205,3,1,-1,0,0,FALSE,FALSE§Z¿,-1,0)),0,&#10;IF(OFFSET(§A¿0,1,0,1,205,3,1,-1,0,0,FALSE,FALSE§Z¿,-1,0)>0,IF(§A¿0,1,0,1,205,2,1,-1,0,0,FALSE,FALSE§Z¿<0,§A¿0,1,0,1,205,3,1,-1,0,0,FALSE,FALSE§Z¿,OFFSET(§A¿0,1,0,1,205,3,1,-1,0,0,FALSE,FALSE§Z¿,-1,0)),0))]]></VOFFF>
                              </ClmnBlkPtProps>
                            </ClmnBlkPt>
                          </ClmnBlkPts>
                        </ClmnBlk>
                        <ClmnBlk>
                          <ClmnBlkProps>
                            <FCPT>0</FCPT>
                            <FCN>8</FCN>
                            <LCPT>0</LCPT>
                            <LCN>8</LCN>
                          </ClmnBlkProps>
                          <ClmnBlkPts>
                            <ClmnBlkPt>
                              <ClmnBlkPtProps>
                                <CBPT>5</CBPT>
                                <ST>18</ST>
                                <SON>22</SON>
                                <VOFFF><![CDATA[=IF(§A¿0,1,0,1,205,2,1,-1,0,0,FALSE,FALSE§Z¿>0,&#10;IF(§A¿0,1,0,1,205,3,1,-1,0,0,FALSE,FALSE§Z¿=0,-MIN(§A¿0,1,0,1,205,2,1,-1,0,0,FALSE,FALSE§Z¿,0),&#10;IF(SIGN(OFFSET(§A¿0,1,0,1,205,3,1,-1,0,0,FALSE,FALSE§Z¿,-1,0))<>SIGN(§A¿0,1,0,1,205,3,1,-1,0,0,FALSE,FALSE§Z¿),MAX(OFFSET(§A¿0,1,0,1,205,3,1,-1,0,0,FALSE,FALSE§Z¿,-1,0),§A¿0,1,0,1,205,3,1,-1,0,0,FALSE,FALSE§Z¿),&#10;IF(§A¿0,1,0,1,205,3,1,-1,0,0,FALSE,FALSE§Z¿>0,ABS(§A¿0,1,0,1,205,2,1,-1,0,0,FALSE,FALSE§Z¿),0))),&#10;0)]]></VOFFF>
                              </ClmnBlkPtProps>
                            </ClmnBlkPt>
                          </ClmnBlkPts>
                        </ClmnBlk>
                        <ClmnBlk>
                          <ClmnBlkProps>
                            <FCPT>0</FCPT>
                            <FCN>9</FCN>
                            <LCPT>0</LCPT>
                            <LCN>9</LCN>
                          </ClmnBlkProps>
                          <ClmnBlkPts>
                            <ClmnBlkPt>
                              <ClmnBlkPtProps>
                                <CBPT>5</CBPT>
                                <ST>18</ST>
                                <SON>22</SON>
                                <VOFFF><![CDATA[=IF(SIGN(OFFSET(§A¿0,1,0,1,205,3,1,-1,0,0,FALSE,FALSE§Z¿,-1,0))<>SIGN(§A¿0,1,0,1,205,3,1,-1,0,0,FALSE,FALSE§Z¿),0,&#10;IF(OFFSET(§A¿0,1,0,1,205,3,1,-1,0,0,FALSE,FALSE§Z¿,-1,0)<0,IF(§A¿0,1,0,1,205,2,1,-1,0,0,FALSE,FALSE§Z¿>0,§A¿0,1,0,1,205,3,1,-1,0,0,FALSE,FALSE§Z¿,OFFSET(§A¿0,1,0,1,205,3,1,-1,0,0,FALSE,FALSE§Z¿,-1,0)),0))]]></VOFFF>
                              </ClmnBlkPtProps>
                            </ClmnBlkPt>
                          </ClmnBlkPts>
                        </ClmnBlk>
                        <ClmnBlk>
                          <ClmnBlkProps>
                            <FCPT>0</FCPT>
                            <FCN>10</FCN>
                            <LCPT>0</LCPT>
                            <LCN>10</LCN>
                          </ClmnBlkProps>
                          <ClmnBlkPts>
                            <ClmnBlkPt>
                              <ClmnBlkPtProps>
                                <CBPT>5</CBPT>
                                <ST>18</ST>
                                <SON>22</SON>
                                <VOFFF><![CDATA[=IF(§A¿0,1,0,1,205,2,1,-1,0,0,FALSE,FALSE§Z¿>0,&#10;IF(§A¿0,1,0,1,205,3,1,-1,0,0,FALSE,FALSE§Z¿=0,-MAX(§A¿0,1,0,1,205,2,1,-1,0,0,FALSE,FALSE§Z¿,0),&#10;IF(SIGN(OFFSET(§A¿0,1,0,1,205,3,1,-1,0,0,FALSE,FALSE§Z¿,-1,0))<>SIGN(§A¿0,1,0,1,205,3,1,-1,0,0,FALSE,FALSE§Z¿),MIN(OFFSET(§A¿0,1,0,1,205,3,1,-1,0,0,FALSE,FALSE§Z¿,-1,0),§A¿0,1,0,1,205,3,1,-1,0,0,FALSE,FALSE§Z¿),&#10;IF(§A¿0,1,0,1,205,3,1,-1,0,0,FALSE,FALSE§Z¿<0,-ABS(§A¿0,1,0,1,205,2,1,-1,0,0,FALSE,FALSE§Z¿),0))),&#10;0)]]></VOFFF>
                              </ClmnBlkPtProps>
                            </ClmnBlkPt>
                          </ClmnBlkPts>
                        </ClmnBlk>
                        <ClmnBlk>
                          <ClmnBlkProps>
                            <FCPT>0</FCPT>
                            <FCN>11</FCN>
                            <LCPT>0</LCPT>
                            <LCN>11</LCN>
                          </ClmnBlkProps>
                          <ClmnBlkPts>
                            <ClmnBlkPt>
                              <ClmnBlkPtProps>
                                <CBPT>5</CBPT>
                                <ST>18</ST>
                                <SON>22</SON>
                                <VOFFF><![CDATA[=IF(§A¿0,1,0,1,205,2,1,-1,0,0,FALSE,FALSE§Z¿<0,&#10;IF(§A¿0,1,0,1,205,3,1,-1,0,0,FALSE,FALSE§Z¿=0,-MIN(§A¿0,1,0,1,205,2,1,-1,0,0,FALSE,FALSE§Z¿,0),&#10;IF(SIGN(OFFSET(§A¿0,1,0,1,205,3,1,-1,0,0,FALSE,FALSE§Z¿,-1,0))<>SIGN(§A¿0,1,0,1,205,3,1,-1,0,0,FALSE,FALSE§Z¿),MAX(OFFSET(§A¿0,1,0,1,205,3,1,-1,0,0,FALSE,FALSE§Z¿,-1,0),§A¿0,1,0,1,205,3,1,-1,0,0,FALSE,FALSE§Z¿),&#10;IF(§A¿0,1,0,1,205,3,1,-1,0,0,FALSE,FALSE§Z¿>0,ABS(§A¿0,1,0,1,205,2,1,-1,0,0,FALSE,FALSE§Z¿),0))),&#10;0)]]></VOFFF>
                              </ClmnBlkPtProps>
                            </ClmnBlkPt>
                          </ClmnBlkPts>
                        </ClmnBlk>
                        <ClmnBlk>
                          <ClmnBlkProps>
                            <FCPT>0</FCPT>
                            <FCN>12</FCN>
                            <LCPT>0</LCPT>
                            <LCN>12</LCN>
                          </ClmnBlkProps>
                          <ClmnBlkPts>
                            <ClmnBlkPt>
                              <ClmnBlkPtProps>
                                <CBPT>5</CBPT>
                                <ST>18</ST>
                                <SON>22</SON>
                                <VOFFF><![CDATA[=IF(§A¿0,1,0,1,205,2,1,-1,0,0,FALSE,FALSE§Z¿<0,&#10;IF(§A¿0,1,0,1,205,3,1,-1,0,0,FALSE,FALSE§Z¿=0,-MAX(§A¿0,1,0,1,205,2,1,-1,0,0,FALSE,FALSE§Z¿,0),&#10;IF(SIGN(OFFSET(§A¿0,1,0,1,205,3,1,-1,0,0,FALSE,FALSE§Z¿,-1,0))<>SIGN(§A¿0,1,0,1,205,3,1,-1,0,0,FALSE,FALSE§Z¿),MIN(OFFSET(§A¿0,1,0,1,205,3,1,-1,0,0,FALSE,FALSE§Z¿,-1,0),§A¿0,1,0,1,205,3,1,-1,0,0,FALSE,FALSE§Z¿),&#10;IF(§A¿0,1,0,1,205,3,1,-1,0,0,FALSE,FALSE§Z¿<0,-ABS(§A¿0,1,0,1,205,2,1,-1,0,0,FALSE,FALSE§Z¿),0))),&#10;0)]]></VOFFF>
                              </ClmnBlkPtProps>
                            </ClmnBlkPt>
                          </ClmnBlkPts>
                        </ClmnBlk>
                        <ClmnBlk>
                          <ClmnBlkProps>
                            <FCPT>0</FCPT>
                            <FCN>13</FCN>
                            <LCPT>0</LCPT>
                            <LCN>13</LCN>
                          </ClmnBlkProps>
                          <ClmnBlkPts>
                            <ClmnBlkPt>
                              <ClmnBlkPtProps>
                                <CBPT>5</CBPT>
                                <ST>18</ST>
                                <SON>22</SON>
                                <VOFFF><![CDATA[0]]></VOFFF>
                              </ClmnBlkPtProps>
                            </ClmnBlkPt>
                          </ClmnBlkPts>
                        </ClmnBlk>
                      </ClmnBlks>
                      <TtlCtg/>
                    </Elmt>
                    <Elmt>
                      <ElmtProps>
                        <CPT>2</CPT>
                      </ElmtProps>
                      <ClmnBlks>
                        <ClmnBlk>
                          <ClmnBlkProps>
                            <FCPT>0</FCPT>
                            <FCN>2</FCN>
                            <LCPT>0</LCPT>
                            <LCN>2</LCN>
                          </ClmnBlkProps>
                          <ClmnBlkPts>
                            <ClmnBlkPt>
                              <ClmnBlkPtProps>
                                <CBPT>5</CBPT>
                                <ST>5</ST>
                                <VOFFF><![CDATA[=§A¿0,1,0,1,85,4,1,-1,0,0,FALSE,FALSE§Z¿]]></VOFFF>
                              </ClmnBlkPtProps>
                            </ClmnBlkPt>
                          </ClmnBlkPts>
                        </ClmnBlk>
                        <ClmnBlk>
                          <ClmnBlkProps>
                            <FCPT>0</FCPT>
                            <FCN>6</FCN>
                            <LCPT>0</LCPT>
                            <LCN>6</LCN>
                          </ClmnBlkProps>
                          <ClmnBlkPts>
                            <ClmnBlkPt>
                              <ClmnBlkPtProps>
                                <CBPT>5</CBPT>
                                <ST>18</ST>
                                <SON>22</SON>
                                <VOFFF><![CDATA[=SUM(§A¿0,1,1,1,183,2,1,-1,0,0,FALSE,FALSE,1,205,2,1,-1,0,0,FALSE,FALSE§Z¿)]]></VOFFF>
                              </ClmnBlkPtProps>
                            </ClmnBlkPt>
                          </ClmnBlkPts>
                        </ClmnBlk>
                        <ClmnBlk>
                          <ClmnBlkProps>
                            <FCPT>0</FCPT>
                            <FCN>7</FCN>
                            <LCPT>0</LCPT>
                            <LCN>7</LCN>
                          </ClmnBlkProps>
                          <ClmnBlkPts>
                            <ClmnBlkPt>
                              <ClmnBlkPtProps>
                                <CBPT>5</CBPT>
                                <ST>18</ST>
                                <SON>8</SON>
                                <VOFFF><![CDATA[0]]></VOFFF>
                              </ClmnBlkPtProps>
                            </ClmnBlkPt>
                          </ClmnBlkPts>
                        </ClmnBlk>
                        <ClmnBlk>
                          <ClmnBlkProps>
                            <FCPT>0</FCPT>
                            <FCN>8</FCN>
                            <LCPT>0</LCPT>
                            <LCN>8</LCN>
                          </ClmnBlkProps>
                          <ClmnBlkPts>
                            <ClmnBlkPt>
                              <ClmnBlkPtProps>
                                <CBPT>5</CBPT>
                                <ST>18</ST>
                                <SON>8</SON>
                                <VOFFF><![CDATA[0]]></VOFFF>
                              </ClmnBlkPtProps>
                            </ClmnBlkPt>
                          </ClmnBlkPts>
                        </ClmnBlk>
                        <ClmnBlk>
                          <ClmnBlkProps>
                            <FCPT>0</FCPT>
                            <FCN>9</FCN>
                            <LCPT>0</LCPT>
                            <LCN>9</LCN>
                          </ClmnBlkProps>
                          <ClmnBlkPts>
                            <ClmnBlkPt>
                              <ClmnBlkPtProps>
                                <CBPT>5</CBPT>
                                <ST>18</ST>
                                <SON>8</SON>
                                <VOFFF><![CDATA[0]]></VOFFF>
                              </ClmnBlkPtProps>
                            </ClmnBlkPt>
                          </ClmnBlkPts>
                        </ClmnBlk>
                        <ClmnBlk>
                          <ClmnBlkProps>
                            <FCPT>0</FCPT>
                            <FCN>10</FCN>
                            <LCPT>0</LCPT>
                            <LCN>10</LCN>
                          </ClmnBlkProps>
                          <ClmnBlkPts>
                            <ClmnBlkPt>
                              <ClmnBlkPtProps>
                                <CBPT>5</CBPT>
                                <ST>18</ST>
                                <SON>8</SON>
                                <VOFFF><![CDATA[0]]></VOFFF>
                              </ClmnBlkPtProps>
                            </ClmnBlkPt>
                          </ClmnBlkPts>
                        </ClmnBlk>
                        <ClmnBlk>
                          <ClmnBlkProps>
                            <FCPT>0</FCPT>
                            <FCN>11</FCN>
                            <LCPT>0</LCPT>
                            <LCN>11</LCN>
                          </ClmnBlkProps>
                          <ClmnBlkPts>
                            <ClmnBlkPt>
                              <ClmnBlkPtProps>
                                <CBPT>5</CBPT>
                                <ST>18</ST>
                                <SON>8</SON>
                                <VOFFF><![CDATA[0]]></VOFFF>
                              </ClmnBlkPtProps>
                            </ClmnBlkPt>
                          </ClmnBlkPts>
                        </ClmnBlk>
                        <ClmnBlk>
                          <ClmnBlkProps>
                            <FCPT>0</FCPT>
                            <FCN>12</FCN>
                            <LCPT>0</LCPT>
                            <LCN>12</LCN>
                          </ClmnBlkProps>
                          <ClmnBlkPts>
                            <ClmnBlkPt>
                              <ClmnBlkPtProps>
                                <CBPT>5</CBPT>
                                <ST>18</ST>
                                <SON>8</SON>
                                <VOFFF><![CDATA[0]]></VOFFF>
                              </ClmnBlkPtProps>
                            </ClmnBlkPt>
                          </ClmnBlkPts>
                        </ClmnBlk>
                        <ClmnBlk>
                          <ClmnBlkProps>
                            <FCPT>0</FCPT>
                            <FCN>13</FCN>
                            <LCPT>0</LCPT>
                            <LCN>13</LCN>
                          </ClmnBlkProps>
                          <ClmnBlkPts>
                            <ClmnBlkPt>
                              <ClmnBlkPtProps>
                                <CBPT>5</CBPT>
                                <ST>18</ST>
                                <SON>8</SON>
                                <VOFFF><![CDATA[=§A¿0,1,0,1,206,2,1,-1,0,0,FALSE,FALSE§Z¿]]></VOFFF>
                              </ClmnBlkPtProps>
                            </ClmnBlkPt>
                          </ClmnBlkPts>
                        </ClmnBlk>
                      </ClmnBlks>
                      <TtlCtg/>
                    </Elmt>
                    <Elmt>
                      <ElmtProps>
                        <CPT>2</CPT>
                      </ElmtProps>
                      <TtlCtg/>
                    </Elmt>
                    <Elmt>
                      <ElmtProps>
                        <CPT>2</CPT>
                      </ElmtProps>
                      <ClmnBlks>
                        <ClmnBlk>
                          <ClmnBlkProps>
                            <FCPT>0</FCPT>
                            <FCN>2</FCN>
                            <LCPT>0</LCPT>
                            <LCN>2</LCN>
                          </ClmnBlkProps>
                          <ClmnBlkPts>
                            <ClmnBlkPt>
                              <ClmnBlkPtProps>
                                <CBPT>5</CBPT>
                                <ST>5</ST>
                                <VOFFF><![CDATA[Chart 2 Data]]></VOFFF>
                              </ClmnBlkPtProps>
                            </ClmnBlkPt>
                          </ClmnBlkPts>
                        </ClmnBlk>
                        <ClmnBlk>
                          <ClmnBlkProps>
                            <FCPT>0</FCPT>
                            <FCN>5</FCN>
                            <LCPT>0</LCPT>
                            <LCN>5</LCN>
                          </ClmnBlkProps>
                          <ClmnBlkPts>
                            <ClmnBlkPt>
                              <ClmnBlkPtProps>
                                <CBPT>5</CBPT>
                                <ST>5</ST>
                                <SON>45</SON>
                                <VOFFF><![CDATA[Amount]]></VOFFF>
                              </ClmnBlkPtProps>
                            </ClmnBlkPt>
                          </ClmnBlkPts>
                        </ClmnBlk>
                        <ClmnBlk>
                          <ClmnBlkProps>
                            <FCPT>0</FCPT>
                            <FCN>6</FCN>
                            <LCPT>0</LCPT>
                            <LCN>6</LCN>
                          </ClmnBlkProps>
                          <ClmnBlkPts>
                            <ClmnBlkPt>
                              <ClmnBlkPtProps>
                                <CBPT>5</CBPT>
                                <ST>6</ST>
                                <SON>45</SON>
                                <VOFFF><![CDATA[Green +]]></VOFFF>
                              </ClmnBlkPtProps>
                            </ClmnBlkPt>
                          </ClmnBlkPts>
                        </ClmnBlk>
                        <ClmnBlk>
                          <ClmnBlkProps>
                            <FCPT>0</FCPT>
                            <FCN>7</FCN>
                            <LCPT>0</LCPT>
                            <LCN>7</LCN>
                          </ClmnBlkProps>
                          <ClmnBlkPts>
                            <ClmnBlkPt>
                              <ClmnBlkPtProps>
                                <CBPT>5</CBPT>
                                <ST>6</ST>
                                <SON>45</SON>
                                <VOFFF><![CDATA[Red -]]></VOFFF>
                              </ClmnBlkPtProps>
                            </ClmnBlkPt>
                          </ClmnBlkPts>
                        </ClmnBlk>
                      </ClmnBlks>
                      <TtlCtg/>
                    </Elmt>
                    <Elmt>
                      <ElmtProps>
                        <CPT>2</CPT>
                      </ElmtProps>
                      <ClmnBlks>
                        <ClmnBlk>
                          <ClmnBlkProps>
                            <FCPT>0</FCPT>
                            <FCN>2</FCN>
                            <LCPT>0</LCPT>
                            <LCN>2</LCN>
                          </ClmnBlkProps>
                          <ClmnBlkPts>
                            <ClmnBlkPt>
                              <ClmnBlkPtProps>
                                <CBPT>5</CBPT>
                                <ST>6</ST>
                                <VOFFF><![CDATA[Operating Cash Flow]]></VOFFF>
                              </ClmnBlkPtProps>
                            </ClmnBlkPt>
                          </ClmnBlkPts>
                        </ClmnBlk>
                        <ClmnBlk>
                          <ClmnBlkProps>
                            <FCPT>0</FCPT>
                            <FCN>5</FCN>
                            <LCPT>0</LCPT>
                            <LCN>5</LCN>
                          </ClmnBlkProps>
                          <ClmnBlkPts>
                            <ClmnBlkPt>
                              <ClmnBlkPtProps>
                                <CBPT>5</CBPT>
                                <ST>18</ST>
                                <SON>22</SON>
                                <VOFFF><![CDATA[=§A¿0,1,0,1,74,3,1,-1,0,0,FALSE,FALSE§Z¿]]></VOFFF>
                              </ClmnBlkPtProps>
                            </ClmnBlkPt>
                          </ClmnBlkPts>
                        </ClmnBlk>
                        <ClmnBlk>
                          <ClmnBlkProps>
                            <FCPT>0</FCPT>
                            <FCN>6</FCN>
                            <LCPT>0</LCPT>
                            <LCN>6</LCN>
                          </ClmnBlkProps>
                          <ClmnBlkPts>
                            <ClmnBlkPt>
                              <ClmnBlkPtProps>
                                <CBPT>5</CBPT>
                                <ST>18</ST>
                                <SON>22</SON>
                                <VOFFF><![CDATA[=MAX(§A¿0,1,0,1,209,2,1,-1,0,0,FALSE,FALSE§Z¿,0)]]></VOFFF>
                              </ClmnBlkPtProps>
                            </ClmnBlkPt>
                          </ClmnBlkPts>
                        </ClmnBlk>
                        <ClmnBlk>
                          <ClmnBlkProps>
                            <FCPT>0</FCPT>
                            <FCN>7</FCN>
                            <LCPT>0</LCPT>
                            <LCN>7</LCN>
                          </ClmnBlkProps>
                          <ClmnBlkPts>
                            <ClmnBlkPt>
                              <ClmnBlkPtProps>
                                <CBPT>5</CBPT>
                                <ST>18</ST>
                                <SON>22</SON>
                                <VOFFF><![CDATA[=MIN(§A¿0,1,0,1,209,2,1,-1,0,0,FALSE,FALSE§Z¿,0)]]></VOFFF>
                              </ClmnBlkPtProps>
                            </ClmnBlkPt>
                          </ClmnBlkPts>
                        </ClmnBlk>
                      </ClmnBlks>
                      <TtlCtg/>
                    </Elmt>
                    <Elmt>
                      <ElmtProps>
                        <CPT>2</CPT>
                      </ElmtProps>
                      <ClmnBlks>
                        <ClmnBlk>
                          <ClmnBlkProps>
                            <FCPT>0</FCPT>
                            <FCN>2</FCN>
                            <LCPT>0</LCPT>
                            <LCN>2</LCN>
                          </ClmnBlkProps>
                          <ClmnBlkPts>
                            <ClmnBlkPt>
                              <ClmnBlkPtProps>
                                <CBPT>5</CBPT>
                                <ST>6</ST>
                                <VOFFF><![CDATA[Investing Cash Flow]]></VOFFF>
                              </ClmnBlkPtProps>
                            </ClmnBlkPt>
                          </ClmnBlkPts>
                        </ClmnBlk>
                        <ClmnBlk>
                          <ClmnBlkProps>
                            <FCPT>0</FCPT>
                            <FCN>5</FCN>
                            <LCPT>0</LCPT>
                            <LCN>5</LCN>
                          </ClmnBlkProps>
                          <ClmnBlkPts>
                            <ClmnBlkPt>
                              <ClmnBlkPtProps>
                                <CBPT>5</CBPT>
                                <ST>18</ST>
                                <SON>22</SON>
                                <VOFFF><![CDATA[=§A¿0,1,0,1,77,3,1,-1,0,0,FALSE,FALSE§Z¿]]></VOFFF>
                              </ClmnBlkPtProps>
                            </ClmnBlkPt>
                          </ClmnBlkPts>
                        </ClmnBlk>
                        <ClmnBlk>
                          <ClmnBlkProps>
                            <FCPT>0</FCPT>
                            <FCN>6</FCN>
                            <LCPT>0</LCPT>
                            <LCN>6</LCN>
                          </ClmnBlkProps>
                          <ClmnBlkPts>
                            <ClmnBlkPt>
                              <ClmnBlkPtProps>
                                <CBPT>5</CBPT>
                                <ST>18</ST>
                                <SON>22</SON>
                                <VOFFF><![CDATA[=MAX(§A¿0,1,0,1,210,2,1,-1,0,0,FALSE,FALSE§Z¿,0)]]></VOFFF>
                              </ClmnBlkPtProps>
                            </ClmnBlkPt>
                          </ClmnBlkPts>
                        </ClmnBlk>
                        <ClmnBlk>
                          <ClmnBlkProps>
                            <FCPT>0</FCPT>
                            <FCN>7</FCN>
                            <LCPT>0</LCPT>
                            <LCN>7</LCN>
                          </ClmnBlkProps>
                          <ClmnBlkPts>
                            <ClmnBlkPt>
                              <ClmnBlkPtProps>
                                <CBPT>5</CBPT>
                                <ST>18</ST>
                                <SON>22</SON>
                                <VOFFF><![CDATA[=MIN(§A¿0,1,0,1,210,2,1,-1,0,0,FALSE,FALSE§Z¿,0)]]></VOFFF>
                              </ClmnBlkPtProps>
                            </ClmnBlkPt>
                          </ClmnBlkPts>
                        </ClmnBlk>
                      </ClmnBlks>
                      <TtlCtg/>
                    </Elmt>
                    <Elmt>
                      <ElmtProps>
                        <CPT>2</CPT>
                      </ElmtProps>
                      <ClmnBlks>
                        <ClmnBlk>
                          <ClmnBlkProps>
                            <FCPT>0</FCPT>
                            <FCN>2</FCN>
                            <LCPT>0</LCPT>
                            <LCN>2</LCN>
                          </ClmnBlkProps>
                          <ClmnBlkPts>
                            <ClmnBlkPt>
                              <ClmnBlkPtProps>
                                <CBPT>5</CBPT>
                                <ST>6</ST>
                                <VOFFF><![CDATA[Financing Cash Flow]]></VOFFF>
                              </ClmnBlkPtProps>
                            </ClmnBlkPt>
                          </ClmnBlkPts>
                        </ClmnBlk>
                        <ClmnBlk>
                          <ClmnBlkProps>
                            <FCPT>0</FCPT>
                            <FCN>5</FCN>
                            <LCPT>0</LCPT>
                            <LCN>5</LCN>
                          </ClmnBlkProps>
                          <ClmnBlkPts>
                            <ClmnBlkPt>
                              <ClmnBlkPtProps>
                                <CBPT>5</CBPT>
                                <ST>18</ST>
                                <SON>22</SON>
                                <VOFFF><![CDATA[=§A¿0,1,0,1,84,3,1,-1,0,0,FALSE,FALSE§Z¿]]></VOFFF>
                              </ClmnBlkPtProps>
                            </ClmnBlkPt>
                          </ClmnBlkPts>
                        </ClmnBlk>
                        <ClmnBlk>
                          <ClmnBlkProps>
                            <FCPT>0</FCPT>
                            <FCN>6</FCN>
                            <LCPT>0</LCPT>
                            <LCN>6</LCN>
                          </ClmnBlkProps>
                          <ClmnBlkPts>
                            <ClmnBlkPt>
                              <ClmnBlkPtProps>
                                <CBPT>5</CBPT>
                                <ST>18</ST>
                                <SON>22</SON>
                                <VOFFF><![CDATA[=MAX(§A¿0,1,0,1,211,2,1,-1,0,0,FALSE,FALSE§Z¿,0)]]></VOFFF>
                              </ClmnBlkPtProps>
                            </ClmnBlkPt>
                          </ClmnBlkPts>
                        </ClmnBlk>
                        <ClmnBlk>
                          <ClmnBlkProps>
                            <FCPT>0</FCPT>
                            <FCN>7</FCN>
                            <LCPT>0</LCPT>
                            <LCN>7</LCN>
                          </ClmnBlkProps>
                          <ClmnBlkPts>
                            <ClmnBlkPt>
                              <ClmnBlkPtProps>
                                <CBPT>5</CBPT>
                                <ST>18</ST>
                                <SON>22</SON>
                                <VOFFF><![CDATA[=MIN(§A¿0,1,0,1,211,2,1,-1,0,0,FALSE,FALSE§Z¿,0)]]></VOFFF>
                              </ClmnBlkPtProps>
                            </ClmnBlkPt>
                          </ClmnBlkPts>
                        </ClmnBlk>
                      </ClmnBlks>
                      <TtlCtg/>
                    </Elmt>
                    <Elmt>
                      <ElmtProps>
                        <CPT>2</CPT>
                      </ElmtProps>
                      <ClmnBlks>
                        <ClmnBlk>
                          <ClmnBlkProps>
                            <FCPT>0</FCPT>
                            <FCN>2</FCN>
                            <LCPT>0</LCPT>
                            <LCN>2</LCN>
                          </ClmnBlkProps>
                          <ClmnBlkPts>
                            <ClmnBlkPt>
                              <ClmnBlkPtProps>
                                <CBPT>5</CBPT>
                                <ST>6</ST>
                                <VOFFF><![CDATA[Net Cash Flow]]></VOFFF>
                              </ClmnBlkPtProps>
                            </ClmnBlkPt>
                          </ClmnBlkPts>
                        </ClmnBlk>
                        <ClmnBlk>
                          <ClmnBlkProps>
                            <FCPT>0</FCPT>
                            <FCN>5</FCN>
                            <LCPT>0</LCPT>
                            <LCN>5</LCN>
                          </ClmnBlkProps>
                          <ClmnBlkPts>
                            <ClmnBlkPt>
                              <ClmnBlkPtProps>
                                <CBPT>5</CBPT>
                                <ST>18</ST>
                                <SON>22</SON>
                                <VOFFF><![CDATA[=§A¿0,1,0,1,85,3,1,-1,0,0,FALSE,FALSE§Z¿]]></VOFFF>
                              </ClmnBlkPtProps>
                            </ClmnBlkPt>
                          </ClmnBlkPts>
                        </ClmnBlk>
                        <ClmnBlk>
                          <ClmnBlkProps>
                            <FCPT>0</FCPT>
                            <FCN>6</FCN>
                            <LCPT>0</LCPT>
                            <LCN>6</LCN>
                          </ClmnBlkProps>
                          <ClmnBlkPts>
                            <ClmnBlkPt>
                              <ClmnBlkPtProps>
                                <CBPT>5</CBPT>
                                <ST>18</ST>
                                <SON>22</SON>
                                <VOFFF><![CDATA[=MAX(§A¿0,1,0,1,212,2,1,-1,0,0,FALSE,FALSE§Z¿,0)]]></VOFFF>
                              </ClmnBlkPtProps>
                            </ClmnBlkPt>
                          </ClmnBlkPts>
                        </ClmnBlk>
                        <ClmnBlk>
                          <ClmnBlkProps>
                            <FCPT>0</FCPT>
                            <FCN>7</FCN>
                            <LCPT>0</LCPT>
                            <LCN>7</LCN>
                          </ClmnBlkProps>
                          <ClmnBlkPts>
                            <ClmnBlkPt>
                              <ClmnBlkPtProps>
                                <CBPT>5</CBPT>
                                <ST>18</ST>
                                <SON>22</SON>
                                <VOFFF><![CDATA[=MIN(§A¿0,1,0,1,212,2,1,-1,0,0,FALSE,FALSE§Z¿,0)]]></VOFFF>
                              </ClmnBlkPtProps>
                            </ClmnBlkPt>
                          </ClmnBlkPts>
                        </ClmnBlk>
                      </ClmnBlks>
                      <TtlCtg/>
                    </Elmt>
                    <Elmt>
                      <ElmtProps>
                        <CPT>2</CPT>
                      </ElmtProps>
                      <TtlCtg/>
                    </Elmt>
                    <Elmt>
                      <ElmtProps>
                        <CPT>2</CPT>
                      </ElmtProps>
                      <ClmnBlks>
                        <ClmnBlk>
                          <ClmnBlkProps>
                            <FCPT>0</FCPT>
                            <FCN>2</FCN>
                            <LCPT>0</LCPT>
                            <LCN>2</LCN>
                          </ClmnBlkProps>
                          <ClmnBlkPts>
                            <ClmnBlkPt>
                              <ClmnBlkPtProps>
                                <CBPT>5</CBPT>
                                <ST>4</ST>
                                <VOFFF><![CDATA[Error Checks]]></VOFFF>
                              </ClmnBlkPtProps>
                            </ClmnBlkPt>
                          </ClmnBlkPts>
                        </ClmnBlk>
                        <ClmnBlk>
                          <ClmnBlkProps>
                            <FCPT>0</FCPT>
                            <FCN>3</FCN>
                            <LCPT>0</LCPT>
                            <LCN>34</LCN>
                          </ClmnBlkProps>
                          <ClmnBlkPts>
                            <ClmnBlkPt>
                              <ClmnBlkPtProps>
                                <CBPT>5</CBPT>
                                <ST>4</ST>
                                <VOFFF/>
                              </ClmnBlkPtProps>
                            </ClmnBlkPt>
                          </ClmnBlkPts>
                        </ClmnBlk>
                      </ClmnBlks>
                      <TtlCtg/>
                    </Elmt>
                    <Elmt>
                      <ElmtProps>
                        <CPT>2</CPT>
                      </ElmtProps>
                      <TtlCtg/>
                    </Elmt>
                    <Elmt>
                      <ElmtProps>
                        <CPT>2</CPT>
                      </ElmtProps>
                      <ClmnBlks>
                        <ClmnBlk>
                          <ClmnBlkProps>
                            <FCPT>0</FCPT>
                            <FCN>2</FCN>
                            <LCPT>0</LCPT>
                            <LCN>2</LCN>
                          </ClmnBlkProps>
                          <ClmnBlkPts>
                            <ClmnBlkPt>
                              <ClmnBlkPtProps>
                                <CBPT>5</CBPT>
                                <ST>6</ST>
                                <VOFFF><![CDATA[Error Values]]></VOFFF>
                              </ClmnBlkPtProps>
                            </ClmnBlkPt>
                          </ClmnBlkPts>
                        </ClmnBlk>
                        <ClmnBlk>
                          <ClmnBlkProps>
                            <FCPT>0</FCPT>
                            <FCN>5</FCN>
                            <LCPT>0</LCPT>
                            <LCN>16</LCN>
                          </ClmnBlkProps>
                          <ClmnBlkPts>
                            <ClmnBlkPt>
                              <ClmnBlkPtProps>
                                <CBPT>5</CBPT>
                                <ST>18</ST>
                                <SON>1</SON>
                                <VOFFF><![CDATA[=IF(ISERROR(§A¿0,1,0,1,23,2,1,-1,0,0,FALSE,FALSE§Z¿+§A¿0,1,0,1,49,2,1,-1,0,0,FALSE,FALSE§Z¿+§A¿0,1,0,1,53,2,1,-1,0,0,FALSE,FALSE§Z¿+§A¿0,1,0,1,85,2,1,-1,0,0,FALSE,FALSE§Z¿),1,0)]]></VOFFF>
                              </ClmnBlkPtProps>
                              <FmtCnds>
                                <FmtCnd>
                                  <FmtCndProps>
                                    <CBPLI>1,1,216,2,1</CBPLI>
                                    <FCN>1</FCN>
                                    <FCT>1</FCT>
                                    <FCO>4</FCO>
                                    <F1FFF><![CDATA[=0]]></F1FFF>
                                    <F2FFF/>
                                    <SIT>False</SIT>
                                    <BSV>True</BSV>
                                    <BCT>0</BCT>
                                    <CNBCN>0</CNBCN>
                                    <BTAS>0</BTAS>
                                    <IST>1</IST>
                                    <RO>False</RO>
                                    <SIO>False</SIO>
                                    <TO>0</TO>
                                    <TS/>
                                    <DO>1</DO>
                                    <TB>1</TB>
                                    <R>10</R>
                                    <P>False</P>
                                    <AB>0</AB>
                                    <NSD>1</NSD>
                                    <DU>1</DU>
                                    <INF>False</INF>
                                    <NT>0</NT>
                                    <DP>0</DP>
                                    <CNF/>
                                  </FmtCndProps>
                                  <FntOvly>
                                    <FntOvlyProps>
                                      <PT>2</PT>
                                      <SON>0</SON>
                                      <CBPLI>1,1,216,2,1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Gross Margin Reconciliation]]></VOFFF>
                              </ClmnBlkPtProps>
                            </ClmnBlkPt>
                          </ClmnBlkPts>
                        </ClmnBlk>
                        <ClmnBlk>
                          <ClmnBlkProps>
                            <FCPT>0</FCPT>
                            <FCN>5</FCN>
                            <LCPT>0</LCPT>
                            <LCN>16</LCN>
                          </ClmnBlkProps>
                          <ClmnBlkPts>
                            <ClmnBlkPt>
                              <ClmnBlkPtProps>
                                <CBPT>5</CBPT>
                                <ST>18</ST>
                                <SON>1</SON>
                                <VOFFF><![CDATA[=IF(§A¿0,1,0,1,216,2,1,-1,0,0,FALSE,FALSE§Z¿<>0,0,IF(ROUND(§A¿0,1,0,1,9,2,1,-1,0,0,FALSE,FALSE§Z¿-§A¿0,1,0,1,104,2,1,-1,0,0,FALSE,FALSE§Z¿,5)<>0,1,0))]]></VOFFF>
                              </ClmnBlkPtProps>
                              <FmtCnds>
                                <FmtCnd>
                                  <FmtCndProps>
                                    <CBPLI>1,1,217,2,1</CBPLI>
                                    <FCN>1</FCN>
                                    <FCT>1</FCT>
                                    <FCO>4</FCO>
                                    <F1FFF><![CDATA[=0]]></F1FFF>
                                    <F2FFF/>
                                    <SIT>False</SIT>
                                    <BSV>True</BSV>
                                    <BCT>0</BCT>
                                    <CNBCN>0</CNBCN>
                                    <BTAS>0</BTAS>
                                    <IST>1</IST>
                                    <RO>False</RO>
                                    <SIO>False</SIO>
                                    <TO>0</TO>
                                    <TS/>
                                    <DO>1</DO>
                                    <TB>1</TB>
                                    <R>10</R>
                                    <P>False</P>
                                    <AB>0</AB>
                                    <NSD>1</NSD>
                                    <DU>1</DU>
                                    <INF>False</INF>
                                    <NT>0</NT>
                                    <DP>0</DP>
                                    <CNF/>
                                  </FmtCndProps>
                                  <FntOvly>
                                    <FntOvlyProps>
                                      <PT>2</PT>
                                      <SON>0</SON>
                                      <CBPLI>1,1,217,2,1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EBITDA Reconciliation]]></VOFFF>
                              </ClmnBlkPtProps>
                            </ClmnBlkPt>
                          </ClmnBlkPts>
                        </ClmnBlk>
                        <ClmnBlk>
                          <ClmnBlkProps>
                            <FCPT>0</FCPT>
                            <FCN>5</FCN>
                            <LCPT>0</LCPT>
                            <LCN>16</LCN>
                          </ClmnBlkProps>
                          <ClmnBlkPts>
                            <ClmnBlkPt>
                              <ClmnBlkPtProps>
                                <CBPT>5</CBPT>
                                <ST>18</ST>
                                <SON>1</SON>
                                <VOFFF><![CDATA[=IF(§A¿0,1,0,1,216,2,1,-1,0,0,FALSE,FALSE§Z¿<>0,0,IF(ROUND(§A¿0,1,0,1,14,2,1,-1,0,0,FALSE,FALSE§Z¿-§A¿0,1,0,1,105,2,1,-1,0,0,FALSE,FALSE§Z¿,5)<>0,1,0))]]></VOFFF>
                              </ClmnBlkPtProps>
                              <FmtCnds>
                                <FmtCnd>
                                  <FmtCndProps>
                                    <CBPLI>1,1,218,2,1</CBPLI>
                                    <FCN>1</FCN>
                                    <FCT>1</FCT>
                                    <FCO>4</FCO>
                                    <F1FFF><![CDATA[=0]]></F1FFF>
                                    <F2FFF/>
                                    <SIT>False</SIT>
                                    <BSV>True</BSV>
                                    <BCT>0</BCT>
                                    <CNBCN>0</CNBCN>
                                    <BTAS>0</BTAS>
                                    <IST>1</IST>
                                    <RO>False</RO>
                                    <SIO>False</SIO>
                                    <TO>0</TO>
                                    <TS/>
                                    <DO>1</DO>
                                    <TB>1</TB>
                                    <R>10</R>
                                    <P>False</P>
                                    <AB>0</AB>
                                    <NSD>1</NSD>
                                    <DU>1</DU>
                                    <INF>False</INF>
                                    <NT>0</NT>
                                    <DP>0</DP>
                                    <CNF/>
                                  </FmtCndProps>
                                  <FntOvly>
                                    <FntOvlyProps>
                                      <PT>2</PT>
                                      <SON>0</SON>
                                      <CBPLI>1,1,218,2,1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EBIT Reconciliation]]></VOFFF>
                              </ClmnBlkPtProps>
                            </ClmnBlkPt>
                          </ClmnBlkPts>
                        </ClmnBlk>
                        <ClmnBlk>
                          <ClmnBlkProps>
                            <FCPT>0</FCPT>
                            <FCN>5</FCN>
                            <LCPT>0</LCPT>
                            <LCN>16</LCN>
                          </ClmnBlkProps>
                          <ClmnBlkPts>
                            <ClmnBlkPt>
                              <ClmnBlkPtProps>
                                <CBPT>5</CBPT>
                                <ST>18</ST>
                                <SON>1</SON>
                                <VOFFF><![CDATA[=IF(§A¿0,1,0,1,216,2,1,-1,0,0,FALSE,FALSE§Z¿<>0,0,IF(ROUND(§A¿0,1,0,1,17,2,1,-1,0,0,FALSE,FALSE§Z¿-§A¿0,1,0,1,106,2,1,-1,0,0,FALSE,FALSE§Z¿,5)<>0,1,0))]]></VOFFF>
                              </ClmnBlkPtProps>
                              <FmtCnds>
                                <FmtCnd>
                                  <FmtCndProps>
                                    <CBPLI>1,1,219,2,1</CBPLI>
                                    <FCN>1</FCN>
                                    <FCT>1</FCT>
                                    <FCO>4</FCO>
                                    <F1FFF><![CDATA[=0]]></F1FFF>
                                    <F2FFF/>
                                    <SIT>False</SIT>
                                    <BSV>True</BSV>
                                    <BCT>0</BCT>
                                    <CNBCN>0</CNBCN>
                                    <BTAS>0</BTAS>
                                    <IST>1</IST>
                                    <RO>False</RO>
                                    <SIO>False</SIO>
                                    <TO>0</TO>
                                    <TS/>
                                    <DO>1</DO>
                                    <TB>1</TB>
                                    <R>10</R>
                                    <P>False</P>
                                    <AB>0</AB>
                                    <NSD>1</NSD>
                                    <DU>1</DU>
                                    <INF>False</INF>
                                    <NT>0</NT>
                                    <DP>0</DP>
                                    <CNF/>
                                  </FmtCndProps>
                                  <FntOvly>
                                    <FntOvlyProps>
                                      <PT>2</PT>
                                      <SON>0</SON>
                                      <CBPLI>1,1,219,2,1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NPBT Reconciliation]]></VOFFF>
                              </ClmnBlkPtProps>
                            </ClmnBlkPt>
                          </ClmnBlkPts>
                        </ClmnBlk>
                        <ClmnBlk>
                          <ClmnBlkProps>
                            <FCPT>0</FCPT>
                            <FCN>5</FCN>
                            <LCPT>0</LCPT>
                            <LCN>16</LCN>
                          </ClmnBlkProps>
                          <ClmnBlkPts>
                            <ClmnBlkPt>
                              <ClmnBlkPtProps>
                                <CBPT>5</CBPT>
                                <ST>18</ST>
                                <SON>1</SON>
                                <VOFFF><![CDATA[=IF(§A¿0,1,0,1,216,2,1,-1,0,0,FALSE,FALSE§Z¿<>0,0,IF(ROUND(§A¿0,1,0,1,20,2,1,-1,0,0,FALSE,FALSE§Z¿-§A¿0,1,0,1,107,2,1,-1,0,0,FALSE,FALSE§Z¿,5)<>0,1,0))]]></VOFFF>
                              </ClmnBlkPtProps>
                              <FmtCnds>
                                <FmtCnd>
                                  <FmtCndProps>
                                    <CBPLI>1,1,220,2,1</CBPLI>
                                    <FCN>1</FCN>
                                    <FCT>1</FCT>
                                    <FCO>4</FCO>
                                    <F1FFF><![CDATA[=0]]></F1FFF>
                                    <F2FFF/>
                                    <SIT>False</SIT>
                                    <BSV>True</BSV>
                                    <BCT>0</BCT>
                                    <CNBCN>0</CNBCN>
                                    <BTAS>0</BTAS>
                                    <IST>1</IST>
                                    <RO>False</RO>
                                    <SIO>False</SIO>
                                    <TO>0</TO>
                                    <TS/>
                                    <DO>1</DO>
                                    <TB>1</TB>
                                    <R>10</R>
                                    <P>False</P>
                                    <AB>0</AB>
                                    <NSD>1</NSD>
                                    <DU>1</DU>
                                    <INF>False</INF>
                                    <NT>0</NT>
                                    <DP>0</DP>
                                    <CNF/>
                                  </FmtCndProps>
                                  <FntOvly>
                                    <FntOvlyProps>
                                      <PT>2</PT>
                                      <SON>0</SON>
                                      <CBPLI>1,1,220,2,1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NPAT Reconciliation]]></VOFFF>
                              </ClmnBlkPtProps>
                            </ClmnBlkPt>
                          </ClmnBlkPts>
                        </ClmnBlk>
                        <ClmnBlk>
                          <ClmnBlkProps>
                            <FCPT>0</FCPT>
                            <FCN>5</FCN>
                            <LCPT>0</LCPT>
                            <LCN>16</LCN>
                          </ClmnBlkProps>
                          <ClmnBlkPts>
                            <ClmnBlkPt>
                              <ClmnBlkPtProps>
                                <CBPT>5</CBPT>
                                <ST>18</ST>
                                <SON>1</SON>
                                <VOFFF><![CDATA[=IF(§A¿0,1,0,1,216,2,1,-1,0,0,FALSE,FALSE§Z¿<>0,0,IF(ROUND(§A¿0,1,0,1,23,2,1,-1,0,0,FALSE,FALSE§Z¿-§A¿0,1,0,1,108,2,1,-1,0,0,FALSE,FALSE§Z¿,5)<>0,1,0))]]></VOFFF>
                              </ClmnBlkPtProps>
                              <FmtCnds>
                                <FmtCnd>
                                  <FmtCndProps>
                                    <CBPLI>1,1,221,2,1</CBPLI>
                                    <FCN>1</FCN>
                                    <FCT>1</FCT>
                                    <FCO>4</FCO>
                                    <F1FFF><![CDATA[=0]]></F1FFF>
                                    <F2FFF/>
                                    <SIT>False</SIT>
                                    <BSV>True</BSV>
                                    <BCT>0</BCT>
                                    <CNBCN>0</CNBCN>
                                    <BTAS>0</BTAS>
                                    <IST>1</IST>
                                    <RO>False</RO>
                                    <SIO>False</SIO>
                                    <TO>0</TO>
                                    <TS/>
                                    <DO>1</DO>
                                    <TB>1</TB>
                                    <R>10</R>
                                    <P>False</P>
                                    <AB>0</AB>
                                    <NSD>1</NSD>
                                    <DU>1</DU>
                                    <INF>False</INF>
                                    <NT>0</NT>
                                    <DP>0</DP>
                                    <CNF/>
                                  </FmtCndProps>
                                  <FntOvly>
                                    <FntOvlyProps>
                                      <PT>2</PT>
                                      <SON>0</SON>
                                      <CBPLI>1,1,221,2,1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Current Assets Reconciliation]]></VOFFF>
                              </ClmnBlkPtProps>
                            </ClmnBlkPt>
                          </ClmnBlkPts>
                        </ClmnBlk>
                        <ClmnBlk>
                          <ClmnBlkProps>
                            <FCPT>0</FCPT>
                            <FCN>5</FCN>
                            <LCPT>0</LCPT>
                            <LCN>16</LCN>
                          </ClmnBlkProps>
                          <ClmnBlkPts>
                            <ClmnBlkPt>
                              <ClmnBlkPtProps>
                                <CBPT>5</CBPT>
                                <ST>18</ST>
                                <SON>1</SON>
                                <VOFFF><![CDATA[=IF(§A¿0,1,0,1,216,2,1,-1,0,0,FALSE,FALSE§Z¿<>0,0,IF(ROUND(§A¿0,1,0,1,33,2,1,-1,0,0,FALSE,FALSE§Z¿-§A¿0,1,0,1,111,2,1,-1,0,0,FALSE,FALSE§Z¿,5)<>0,1,0))]]></VOFFF>
                              </ClmnBlkPtProps>
                              <FmtCnds>
                                <FmtCnd>
                                  <FmtCndProps>
                                    <CBPLI>1,1,222,2,1</CBPLI>
                                    <FCN>1</FCN>
                                    <FCT>1</FCT>
                                    <FCO>4</FCO>
                                    <F1FFF><![CDATA[=0]]></F1FFF>
                                    <F2FFF/>
                                    <SIT>False</SIT>
                                    <BSV>True</BSV>
                                    <BCT>0</BCT>
                                    <CNBCN>0</CNBCN>
                                    <BTAS>0</BTAS>
                                    <IST>1</IST>
                                    <RO>False</RO>
                                    <SIO>False</SIO>
                                    <TO>0</TO>
                                    <TS/>
                                    <DO>1</DO>
                                    <TB>1</TB>
                                    <R>10</R>
                                    <P>False</P>
                                    <AB>0</AB>
                                    <NSD>1</NSD>
                                    <DU>1</DU>
                                    <INF>False</INF>
                                    <NT>0</NT>
                                    <DP>0</DP>
                                    <CNF/>
                                  </FmtCndProps>
                                  <FntOvly>
                                    <FntOvlyProps>
                                      <PT>2</PT>
                                      <SON>0</SON>
                                      <CBPLI>1,1,222,2,1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Non-Current Assets Reconciliation]]></VOFFF>
                              </ClmnBlkPtProps>
                            </ClmnBlkPt>
                          </ClmnBlkPts>
                        </ClmnBlk>
                        <ClmnBlk>
                          <ClmnBlkProps>
                            <FCPT>0</FCPT>
                            <FCN>5</FCN>
                            <LCPT>0</LCPT>
                            <LCN>16</LCN>
                          </ClmnBlkProps>
                          <ClmnBlkPts>
                            <ClmnBlkPt>
                              <ClmnBlkPtProps>
                                <CBPT>5</CBPT>
                                <ST>18</ST>
                                <SON>1</SON>
                                <VOFFF><![CDATA[=IF(§A¿0,1,0,1,216,2,1,-1,0,0,FALSE,FALSE§Z¿<>0,0,IF(ROUND(§A¿0,1,0,1,36,2,1,-1,0,0,FALSE,FALSE§Z¿-§A¿0,1,0,1,112,2,1,-1,0,0,FALSE,FALSE§Z¿,5)<>0,1,0))]]></VOFFF>
                              </ClmnBlkPtProps>
                              <FmtCnds>
                                <FmtCnd>
                                  <FmtCndProps>
                                    <CBPLI>1,1,223,2,1</CBPLI>
                                    <FCN>1</FCN>
                                    <FCT>1</FCT>
                                    <FCO>4</FCO>
                                    <F1FFF><![CDATA[=0]]></F1FFF>
                                    <F2FFF/>
                                    <SIT>False</SIT>
                                    <BSV>True</BSV>
                                    <BCT>0</BCT>
                                    <CNBCN>0</CNBCN>
                                    <BTAS>0</BTAS>
                                    <IST>1</IST>
                                    <RO>False</RO>
                                    <SIO>False</SIO>
                                    <TO>0</TO>
                                    <TS/>
                                    <DO>1</DO>
                                    <TB>1</TB>
                                    <R>10</R>
                                    <P>False</P>
                                    <AB>0</AB>
                                    <NSD>1</NSD>
                                    <DU>1</DU>
                                    <INF>False</INF>
                                    <NT>0</NT>
                                    <DP>0</DP>
                                    <CNF/>
                                  </FmtCndProps>
                                  <FntOvly>
                                    <FntOvlyProps>
                                      <PT>2</PT>
                                      <SON>0</SON>
                                      <CBPLI>1,1,223,2,1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Total Assets Reconciliation]]></VOFFF>
                              </ClmnBlkPtProps>
                            </ClmnBlkPt>
                          </ClmnBlkPts>
                        </ClmnBlk>
                        <ClmnBlk>
                          <ClmnBlkProps>
                            <FCPT>0</FCPT>
                            <FCN>5</FCN>
                            <LCPT>0</LCPT>
                            <LCN>16</LCN>
                          </ClmnBlkProps>
                          <ClmnBlkPts>
                            <ClmnBlkPt>
                              <ClmnBlkPtProps>
                                <CBPT>5</CBPT>
                                <ST>18</ST>
                                <SON>1</SON>
                                <VOFFF><![CDATA[=IF(§A¿0,1,0,1,216,2,1,-1,0,0,FALSE,FALSE§Z¿<>0,0,IF(ROUND(§A¿0,1,0,1,37,2,1,-1,0,0,FALSE,FALSE§Z¿-§A¿0,1,0,1,113,2,1,-1,0,0,FALSE,FALSE§Z¿,5)<>0,1,0))]]></VOFFF>
                              </ClmnBlkPtProps>
                              <FmtCnds>
                                <FmtCnd>
                                  <FmtCndProps>
                                    <CBPLI>1,1,224,2,1</CBPLI>
                                    <FCN>1</FCN>
                                    <FCT>1</FCT>
                                    <FCO>4</FCO>
                                    <F1FFF><![CDATA[=0]]></F1FFF>
                                    <F2FFF/>
                                    <SIT>False</SIT>
                                    <BSV>True</BSV>
                                    <BCT>0</BCT>
                                    <CNBCN>0</CNBCN>
                                    <BTAS>0</BTAS>
                                    <IST>1</IST>
                                    <RO>False</RO>
                                    <SIO>False</SIO>
                                    <TO>0</TO>
                                    <TS/>
                                    <DO>1</DO>
                                    <TB>1</TB>
                                    <R>10</R>
                                    <P>False</P>
                                    <AB>0</AB>
                                    <NSD>1</NSD>
                                    <DU>1</DU>
                                    <INF>False</INF>
                                    <NT>0</NT>
                                    <DP>0</DP>
                                    <CNF/>
                                  </FmtCndProps>
                                  <FntOvly>
                                    <FntOvlyProps>
                                      <PT>2</PT>
                                      <SON>0</SON>
                                      <CBPLI>1,1,224,2,1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Total Liabilities Reconciliation]]></VOFFF>
                              </ClmnBlkPtProps>
                            </ClmnBlkPt>
                          </ClmnBlkPts>
                        </ClmnBlk>
                        <ClmnBlk>
                          <ClmnBlkProps>
                            <FCPT>0</FCPT>
                            <FCN>5</FCN>
                            <LCPT>0</LCPT>
                            <LCN>16</LCN>
                          </ClmnBlkProps>
                          <ClmnBlkPts>
                            <ClmnBlkPt>
                              <ClmnBlkPtProps>
                                <CBPT>5</CBPT>
                                <ST>18</ST>
                                <SON>1</SON>
                                <VOFFF><![CDATA[=IF(§A¿0,1,0,1,216,2,1,-1,0,0,FALSE,FALSE§Z¿<>0,0,IF(ROUND(§A¿0,1,0,1,48,2,1,-1,0,0,FALSE,FALSE§Z¿-§A¿0,1,0,1,114,2,1,-1,0,0,FALSE,FALSE§Z¿,5)<>0,1,0))]]></VOFFF>
                              </ClmnBlkPtProps>
                              <FmtCnds>
                                <FmtCnd>
                                  <FmtCndProps>
                                    <CBPLI>1,1,225,2,1</CBPLI>
                                    <FCN>1</FCN>
                                    <FCT>1</FCT>
                                    <FCO>4</FCO>
                                    <F1FFF><![CDATA[=0]]></F1FFF>
                                    <F2FFF/>
                                    <SIT>False</SIT>
                                    <BSV>True</BSV>
                                    <BCT>0</BCT>
                                    <CNBCN>0</CNBCN>
                                    <BTAS>0</BTAS>
                                    <IST>1</IST>
                                    <RO>False</RO>
                                    <SIO>False</SIO>
                                    <TO>0</TO>
                                    <TS/>
                                    <DO>1</DO>
                                    <TB>1</TB>
                                    <R>10</R>
                                    <P>False</P>
                                    <AB>0</AB>
                                    <NSD>1</NSD>
                                    <DU>1</DU>
                                    <INF>False</INF>
                                    <NT>0</NT>
                                    <DP>0</DP>
                                    <CNF/>
                                  </FmtCndProps>
                                  <FntOvly>
                                    <FntOvlyProps>
                                      <PT>2</PT>
                                      <SON>0</SON>
                                      <CBPLI>1,1,225,2,1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Net Assets Reconciliation]]></VOFFF>
                              </ClmnBlkPtProps>
                            </ClmnBlkPt>
                          </ClmnBlkPts>
                        </ClmnBlk>
                        <ClmnBlk>
                          <ClmnBlkProps>
                            <FCPT>0</FCPT>
                            <FCN>5</FCN>
                            <LCPT>0</LCPT>
                            <LCN>16</LCN>
                          </ClmnBlkProps>
                          <ClmnBlkPts>
                            <ClmnBlkPt>
                              <ClmnBlkPtProps>
                                <CBPT>5</CBPT>
                                <ST>18</ST>
                                <SON>1</SON>
                                <VOFFF><![CDATA[=IF(§A¿0,1,0,1,216,2,1,-1,0,0,FALSE,FALSE§Z¿<>0,0,IF(ROUND(§A¿0,1,0,1,49,2,1,-1,0,0,FALSE,FALSE§Z¿-§A¿0,1,0,1,115,2,1,-1,0,0,FALSE,FALSE§Z¿,5)<>0,1,0))]]></VOFFF>
                              </ClmnBlkPtProps>
                              <FmtCnds>
                                <FmtCnd>
                                  <FmtCndProps>
                                    <CBPLI>1,1,226,2,1</CBPLI>
                                    <FCN>1</FCN>
                                    <FCT>1</FCT>
                                    <FCO>4</FCO>
                                    <F1FFF><![CDATA[=0]]></F1FFF>
                                    <F2FFF/>
                                    <SIT>False</SIT>
                                    <BSV>True</BSV>
                                    <BCT>0</BCT>
                                    <CNBCN>0</CNBCN>
                                    <BTAS>0</BTAS>
                                    <IST>1</IST>
                                    <RO>False</RO>
                                    <SIO>False</SIO>
                                    <TO>0</TO>
                                    <TS/>
                                    <DO>1</DO>
                                    <TB>1</TB>
                                    <R>10</R>
                                    <P>False</P>
                                    <AB>0</AB>
                                    <NSD>1</NSD>
                                    <DU>1</DU>
                                    <INF>False</INF>
                                    <NT>0</NT>
                                    <DP>0</DP>
                                    <CNF/>
                                  </FmtCndProps>
                                  <FntOvly>
                                    <FntOvlyProps>
                                      <PT>2</PT>
                                      <SON>0</SON>
                                      <CBPLI>1,1,226,2,1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Balance Sheet Balances Check]]></VOFFF>
                              </ClmnBlkPtProps>
                            </ClmnBlkPt>
                          </ClmnBlkPts>
                        </ClmnBlk>
                        <ClmnBlk>
                          <ClmnBlkProps>
                            <FCPT>0</FCPT>
                            <FCN>5</FCN>
                            <LCPT>0</LCPT>
                            <LCN>16</LCN>
                          </ClmnBlkProps>
                          <ClmnBlkPts>
                            <ClmnBlkPt>
                              <ClmnBlkPtProps>
                                <CBPT>5</CBPT>
                                <ST>18</ST>
                                <SON>1</SON>
                                <VOFFF><![CDATA[=IF(§A¿0,1,0,1,216,2,1,-1,0,0,FALSE,FALSE§Z¿<>0,0,IF(ROUND(§A¿0,1,0,1,49,2,1,-1,0,0,FALSE,FALSE§Z¿-§A¿0,1,0,1,53,2,1,-1,0,0,FALSE,FALSE§Z¿,5)<>0,1,0))]]></VOFFF>
                              </ClmnBlkPtProps>
                              <FmtCnds>
                                <FmtCnd>
                                  <FmtCndProps>
                                    <CBPLI>1,1,227,2,1</CBPLI>
                                    <FCN>1</FCN>
                                    <FCT>1</FCT>
                                    <FCO>4</FCO>
                                    <F1FFF><![CDATA[=0]]></F1FFF>
                                    <F2FFF/>
                                    <SIT>False</SIT>
                                    <BSV>True</BSV>
                                    <BCT>0</BCT>
                                    <CNBCN>0</CNBCN>
                                    <BTAS>0</BTAS>
                                    <IST>1</IST>
                                    <RO>False</RO>
                                    <SIO>False</SIO>
                                    <TO>0</TO>
                                    <TS/>
                                    <DO>1</DO>
                                    <TB>1</TB>
                                    <R>10</R>
                                    <P>False</P>
                                    <AB>0</AB>
                                    <NSD>1</NSD>
                                    <DU>1</DU>
                                    <INF>False</INF>
                                    <NT>0</NT>
                                    <DP>0</DP>
                                    <CNF/>
                                  </FmtCndProps>
                                  <FntOvly>
                                    <FntOvlyProps>
                                      <PT>2</PT>
                                      <SON>0</SON>
                                      <CBPLI>1,1,227,2,1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Cash Flow Statement Reconciliation]]></VOFFF>
                              </ClmnBlkPtProps>
                            </ClmnBlkPt>
                          </ClmnBlkPts>
                        </ClmnBlk>
                        <ClmnBlk>
                          <ClmnBlkProps>
                            <FCPT>0</FCPT>
                            <FCN>5</FCN>
                            <LCPT>0</LCPT>
                            <LCN>16</LCN>
                          </ClmnBlkProps>
                          <ClmnBlkPts>
                            <ClmnBlkPt>
                              <ClmnBlkPtProps>
                                <CBPT>5</CBPT>
                                <ST>18</ST>
                                <SON>1</SON>
                                <VOFFF><![CDATA[=IF(§A¿0,1,0,1,216,2,1,-1,0,0,FALSE,FALSE§Z¿<>0,0,IF(ROUND(§A¿0,1,0,1,85,2,1,-1,0,0,FALSE,FALSE§Z¿-§A¿0,1,0,1,123,2,1,-1,0,0,FALSE,FALSE§Z¿,5)<>0,1,0))]]></VOFFF>
                              </ClmnBlkPtProps>
                              <FmtCnds>
                                <FmtCnd>
                                  <FmtCndProps>
                                    <CBPLI>1,1,228,2,1</CBPLI>
                                    <FCN>1</FCN>
                                    <FCT>1</FCT>
                                    <FCO>4</FCO>
                                    <F1FFF><![CDATA[=0]]></F1FFF>
                                    <F2FFF/>
                                    <SIT>False</SIT>
                                    <BSV>True</BSV>
                                    <BCT>0</BCT>
                                    <CNBCN>0</CNBCN>
                                    <BTAS>0</BTAS>
                                    <IST>1</IST>
                                    <RO>False</RO>
                                    <SIO>False</SIO>
                                    <TO>0</TO>
                                    <TS/>
                                    <DO>1</DO>
                                    <TB>1</TB>
                                    <R>10</R>
                                    <P>False</P>
                                    <AB>0</AB>
                                    <NSD>1</NSD>
                                    <DU>1</DU>
                                    <INF>False</INF>
                                    <NT>0</NT>
                                    <DP>0</DP>
                                    <CNF/>
                                  </FmtCndProps>
                                  <FntOvly>
                                    <FntOvlyProps>
                                      <PT>2</PT>
                                      <SON>0</SON>
                                      <CBPLI>1,1,228,2,1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Net Assets Breakdown]]></VOFFF>
                              </ClmnBlkPtProps>
                            </ClmnBlkPt>
                          </ClmnBlkPts>
                        </ClmnBlk>
                        <ClmnBlk>
                          <ClmnBlkProps>
                            <FCPT>0</FCPT>
                            <FCN>5</FCN>
                            <LCPT>0</LCPT>
                            <LCN>16</LCN>
                          </ClmnBlkProps>
                          <ClmnBlkPts>
                            <ClmnBlkPt>
                              <ClmnBlkPtProps>
                                <CBPT>5</CBPT>
                                <ST>18</ST>
                                <SON>1</SON>
                                <VOFFF><![CDATA[=IF(§A¿0,1,0,1,216,2,1,-1,0,0,FALSE,FALSE§Z¿<>0,0,IF(ROUND(§A¿0,1,0,1,163,2,1,-1,0,0,FALSE,FALSE§Z¿-SUM(§A¿0,1,1,1,154,2,1,-1,0,0,FALSE,FALSE,1,162,2,1,-1,0,0,FALSE,FALSE§Z¿),5)<>0,1,0))]]></VOFFF>
                              </ClmnBlkPtProps>
                              <FmtCnds>
                                <FmtCnd>
                                  <FmtCndProps>
                                    <CBPLI>1,1,229,2,1</CBPLI>
                                    <FCN>1</FCN>
                                    <FCT>1</FCT>
                                    <FCO>4</FCO>
                                    <F1FFF><![CDATA[=0]]></F1FFF>
                                    <F2FFF/>
                                    <SIT>False</SIT>
                                    <BSV>True</BSV>
                                    <BCT>0</BCT>
                                    <CNBCN>0</CNBCN>
                                    <BTAS>0</BTAS>
                                    <IST>1</IST>
                                    <RO>False</RO>
                                    <SIO>False</SIO>
                                    <TO>0</TO>
                                    <TS/>
                                    <DO>1</DO>
                                    <TB>1</TB>
                                    <R>10</R>
                                    <P>False</P>
                                    <AB>0</AB>
                                    <NSD>1</NSD>
                                    <DU>1</DU>
                                    <INF>False</INF>
                                    <NT>0</NT>
                                    <DP>0</DP>
                                    <CNF/>
                                  </FmtCndProps>
                                  <FntOvly>
                                    <FntOvlyProps>
                                      <PT>2</PT>
                                      <SON>0</SON>
                                      <CBPLI>1,1,229,2,1</CBPLI>
                                      <FCN>1</FCN>
                                      <CN>0</CN>
                                      <IB>True</IB>
                                      <IC>True</IC>
                                      <B>True</B>
                                      <CT>2</CT>
                                      <CNU>3</CNU>
                                      <CPR>0</CPR>
                                      <TAS>0</TAS>
                                    </FntOvlyProps>
                                  </FntOvly>
                                </FmtCnd>
                              </FmtCnds>
                            </ClmnBlkPt>
                          </ClmnBlkPts>
                        </ClmnBlk>
                      </ClmnBlks>
                      <TtlCtg/>
                    </Elmt>
                    <Elmt>
                      <ElmtProps>
                        <CPT>2</CPT>
                      </ElmtProps>
                      <ClmnBlks>
                        <ClmnBlk>
                          <ClmnBlkProps>
                            <FCPT>0</FCPT>
                            <FCN>2</FCN>
                            <LCPT>0</LCPT>
                            <LCN>2</LCN>
                          </ClmnBlkProps>
                          <ClmnBlkPts>
                            <ClmnBlkPt>
                              <ClmnBlkPtProps>
                                <CBPT>5</CBPT>
                                <ST>6</ST>
                                <VOFFF><![CDATA[Cash Balance Reconciliation]]></VOFFF>
                              </ClmnBlkPtProps>
                            </ClmnBlkPt>
                          </ClmnBlkPts>
                        </ClmnBlk>
                        <ClmnBlk>
                          <ClmnBlkProps>
                            <FCPT>0</FCPT>
                            <FCN>5</FCN>
                            <LCPT>0</LCPT>
                            <LCN>5</LCN>
                          </ClmnBlkProps>
                          <ClmnBlkPts>
                            <ClmnBlkPt>
                              <ClmnBlkPtProps>
                                <CBPT>5</CBPT>
                                <ST>18</ST>
                                <SON>1</SON>
                                <VOFFF><![CDATA[=IF(ROUND(§A¿0,1,0,1,178,2,1,-1,0,0,FALSE,FALSE§Z¿-SUM(§A¿0,1,1,1,184,2,1,-1,0,0,FALSE,FALSE,1,205,2,1,-1,0,0,FALSE,FALSE§Z¿),5)<>0,1,0)]]></VOFFF>
                              </ClmnBlkPtProps>
                              <FmtCnds>
                                <FmtCnd>
                                  <FmtCndProps>
                                    <CBPLI>1,1,230,2,1</CBPLI>
                                    <FCN>1</FCN>
                                    <FCT>1</FCT>
                                    <FCO>4</FCO>
                                    <F1FFF><![CDATA[=0]]></F1FFF>
                                    <F2FFF/>
                                    <SIT>False</SIT>
                                    <BSV>True</BSV>
                                    <BCT>0</BCT>
                                    <CNBCN>0</CNBCN>
                                    <BTAS>0</BTAS>
                                    <IST>1</IST>
                                    <RO>False</RO>
                                    <SIO>False</SIO>
                                    <TO>0</TO>
                                    <TS/>
                                    <DO>1</DO>
                                    <TB>1</TB>
                                    <R>10</R>
                                    <P>False</P>
                                    <AB>0</AB>
                                    <NSD>1</NSD>
                                    <DU>1</DU>
                                    <INF>False</INF>
                                    <NT>0</NT>
                                    <DP>0</DP>
                                    <CNF/>
                                  </FmtCndProps>
                                  <FntOvly>
                                    <FntOvlyProps>
                                      <PT>2</PT>
                                      <SON>0</SON>
                                      <CBPLI>1,1,230,2,1</CBPLI>
                                      <FCN>1</FCN>
                                      <CN>0</CN>
                                      <IB>True</IB>
                                      <IC>True</IC>
                                      <B>True</B>
                                      <CT>2</CT>
                                      <CNU>3</CNU>
                                      <CPR>0</CPR>
                                      <TAS>0</TAS>
                                    </FntOvlyProps>
                                  </FntOvly>
                                </FmtCnd>
                              </FmtCnds>
                            </ClmnBlkPt>
                          </ClmnBlkPts>
                        </ClmnBlk>
                        <ClmnBlk>
                          <ClmnBlkProps>
                            <FCPT>0</FCPT>
                            <FCN>6</FCN>
                            <LCPT>0</LCPT>
                            <LCN>16</LCN>
                          </ClmnBlkProps>
                          <ClmnBlkPts>
                            <ClmnBlkPt>
                              <ClmnBlkPtProps>
                                <CBPT>5</CBPT>
                                <ST>18</ST>
                                <SON>1</SON>
                                <VOFFF><![CDATA[0]]></VOFFF>
                              </ClmnBlkPtProps>
                            </ClmnBlkPt>
                          </ClmnBlkPts>
                        </ClmnBlk>
                      </ClmnBlks>
                      <TtlCtg/>
                    </Elmt>
                    <Elmt>
                      <ElmtProps>
                        <CPT>2</CPT>
                      </ElmtProps>
                      <ClmnBlks>
                        <ClmnBlk>
                          <ClmnBlkProps>
                            <FCPT>0</FCPT>
                            <FCN>2</FCN>
                            <LCPT>0</LCPT>
                            <LCN>2</LCN>
                          </ClmnBlkProps>
                          <ClmnBlkPts>
                            <ClmnBlkPt>
                              <ClmnBlkPtProps>
                                <CBPT>5</CBPT>
                                <ST>6</ST>
                                <VOFFF><![CDATA[Cash Flow Reconciliation]]></VOFFF>
                              </ClmnBlkPtProps>
                            </ClmnBlkPt>
                          </ClmnBlkPts>
                        </ClmnBlk>
                        <ClmnBlk>
                          <ClmnBlkProps>
                            <FCPT>0</FCPT>
                            <FCN>5</FCN>
                            <LCPT>0</LCPT>
                            <LCN>5</LCN>
                          </ClmnBlkProps>
                          <ClmnBlkPts>
                            <ClmnBlkPt>
                              <ClmnBlkPtProps>
                                <CBPT>5</CBPT>
                                <ST>18</ST>
                                <SON>17</SON>
                                <VOFFF><![CDATA[=IF(ROUND(SUM(§A¿0,1,1,1,184,2,1,-1,0,0,FALSE,FALSE,1,205,2,1,-1,0,0,FALSE,FALSE§Z¿)-§A¿0,1,0,1,212,2,1,-1,0,0,FALSE,FALSE§Z¿,5)<>0,1,0)]]></VOFFF>
                              </ClmnBlkPtProps>
                              <FmtCnds>
                                <FmtCnd>
                                  <FmtCndProps>
                                    <CBPLI>1,1,231,2,1</CBPLI>
                                    <FCN>1</FCN>
                                    <FCT>1</FCT>
                                    <FCO>4</FCO>
                                    <F1FFF><![CDATA[=0]]></F1FFF>
                                    <F2FFF/>
                                    <SIT>False</SIT>
                                    <BSV>True</BSV>
                                    <BCT>0</BCT>
                                    <CNBCN>0</CNBCN>
                                    <BTAS>0</BTAS>
                                    <IST>1</IST>
                                    <RO>False</RO>
                                    <SIO>False</SIO>
                                    <TO>0</TO>
                                    <TS/>
                                    <DO>1</DO>
                                    <TB>1</TB>
                                    <R>10</R>
                                    <P>False</P>
                                    <AB>0</AB>
                                    <NSD>1</NSD>
                                    <DU>1</DU>
                                    <INF>False</INF>
                                    <NT>0</NT>
                                    <DP>0</DP>
                                    <CNF/>
                                  </FmtCndProps>
                                  <FntOvly>
                                    <FntOvlyProps>
                                      <PT>2</PT>
                                      <SON>0</SON>
                                      <CBPLI>1,1,231,2,1</CBPLI>
                                      <FCN>1</FCN>
                                      <CN>0</CN>
                                      <IB>True</IB>
                                      <IC>True</IC>
                                      <B>True</B>
                                      <CT>2</CT>
                                      <CNU>3</CNU>
                                      <CPR>0</CPR>
                                      <TAS>0</TAS>
                                    </FntOvlyProps>
                                  </FntOvly>
                                </FmtCnd>
                              </FmtCnds>
                            </ClmnBlkPt>
                          </ClmnBlkPts>
                        </ClmnBlk>
                        <ClmnBlk>
                          <ClmnBlkProps>
                            <FCPT>0</FCPT>
                            <FCN>6</FCN>
                            <LCPT>0</LCPT>
                            <LCN>16</LCN>
                          </ClmnBlkProps>
                          <ClmnBlkPts>
                            <ClmnBlkPt>
                              <ClmnBlkPtProps>
                                <CBPT>5</CBPT>
                                <ST>18</ST>
                                <SON>1</SON>
                                <VOFFF><![CDATA[0]]></VOFFF>
                              </ClmnBlkPtProps>
                            </ClmnBlkPt>
                          </ClmnBlkPts>
                        </ClmnBlk>
                      </ClmnBlks>
                      <TtlCtg/>
                    </Elmt>
                    <Elmt>
                      <ElmtProps>
                        <CPT>2</CPT>
                      </ElmtProps>
                      <ClmnBlks>
                        <ClmnBlk>
                          <ClmnBlkProps>
                            <FCPT>0</FCPT>
                            <FCN>2</FCN>
                            <LCPT>0</LCPT>
                            <LCN>2</LCN>
                          </ClmnBlkProps>
                          <ClmnBlkPts>
                            <ClmnBlkPt>
                              <ClmnBlkPtProps>
                                <CBPT>5</CBPT>
                                <ST>6</ST>
                                <VOFFF><![CDATA[Total Error Checks]]></VOFFF>
                              </ClmnBlkPtProps>
                            </ClmnBlkPt>
                          </ClmnBlkPts>
                        </ClmnBlk>
                        <ClmnBlk>
                          <ClmnBlkProps>
                            <FCPT>0</FCPT>
                            <FCN>4</FCN>
                            <LCPT>0</LCPT>
                            <LCN>4</LCN>
                          </ClmnBlkProps>
                          <ClmnBlkPts>
                            <ClmnBlkPt>
                              <ClmnBlkPtProps>
                                <CBPT>5</CBPT>
                                <ST>18</ST>
                                <SON>18</SON>
                                <VOFFF><![CDATA[=IF(ISERROR(SUM(§A¿0,1,1,1,232,3,1,-1,0,0,FALSE,FALSE,1,232,3,1,-1,1,0,FALSE,FALSE§Z¿)),1,MIN(SUM(§A¿0,1,1,1,232,3,1,-1,0,0,FALSE,FALSE,1,232,3,1,-1,1,0,FALSE,FALSE§Z¿),1))]]></VOFFF>
                              </ClmnBlkPtProps>
                              <Chk>
                                <ChkProps>
                                  <CBPLI>1,1,232,2,1</CBPLI>
                                  <CT>0</CT>
                                  <CN>21</CN>
                                  <HST>0</HST>
                                  <CHT/>
                                  <HCBPLI/>
                                </ChkProps>
                              </Chk>
                              <Cmts>
                                <Cmt>
                                  <CmtProps>
                                    <CBPLI>1,1,232,2,1</CBPLI>
                                    <WRN>1</WRN>
                                    <ERT>5</ERT>
                                    <COSTN>0</COSTN>
                                    <OC>0</OC>
                                    <HT><![CDATA[Error Check]]></HT>
                                    <HFS>0</HFS>
                                    <BT><![CDATA[Flags the existence of errors.]]></BT>
                                    <BFS>0</BFS>
                                    <H>75</H>
                                    <W>170</W>
                                  </CmtProps>
                                </Cmt>
                              </Cmts>
                              <FmtCnds>
                                <FmtCnd>
                                  <FmtCndProps>
                                    <CBPLI>1,1,232,2,1</CBPLI>
                                    <FCN>1</FCN>
                                    <FCT>1</FCT>
                                    <FCO>4</FCO>
                                    <F1FFF><![CDATA[=0]]></F1FFF>
                                    <F2FFF/>
                                    <SIT>False</SIT>
                                    <BSV>True</BSV>
                                    <BCT>0</BCT>
                                    <CNBCN>0</CNBCN>
                                    <BTAS>0</BTAS>
                                    <IST>1</IST>
                                    <RO>False</RO>
                                    <SIO>False</SIO>
                                    <TO>0</TO>
                                    <TS/>
                                    <DO>1</DO>
                                    <TB>1</TB>
                                    <R>10</R>
                                    <P>False</P>
                                    <AB>0</AB>
                                    <NSD>1</NSD>
                                    <DU>1</DU>
                                    <INF>False</INF>
                                    <NT>0</NT>
                                    <DP>0</DP>
                                    <CNF/>
                                  </FmtCndProps>
                                  <FntOvly>
                                    <FntOvlyProps>
                                      <PT>2</PT>
                                      <SON>0</SON>
                                      <CBPLI>1,1,232,2,1</CBPLI>
                                      <FCN>1</FCN>
                                      <CN>0</CN>
                                      <IB>True</IB>
                                      <IC>True</IC>
                                      <B>True</B>
                                      <CT>2</CT>
                                      <CNU>3</CNU>
                                      <CPR>0</CPR>
                                      <TAS>0</TAS>
                                    </FntOvlyProps>
                                  </FntOvly>
                                </FmtCnd>
                              </FmtCnds>
                            </ClmnBlkPt>
                          </ClmnBlkPts>
                        </ClmnBlk>
                        <ClmnBlk>
                          <ClmnBlkProps>
                            <FCPT>0</FCPT>
                            <FCN>5</FCN>
                            <LCPT>0</LCPT>
                            <LCN>16</LCN>
                          </ClmnBlkProps>
                          <ClmnBlkPts>
                            <ClmnBlkPt>
                              <ClmnBlkPtProps>
                                <CBPT>5</CBPT>
                                <ST>18</ST>
                                <SON>8</SON>
                                <VOFFF><![CDATA[=MIN(SUM(§A¿0,1,1,1,216,2,1,-1,0,0,FALSE,FALSE,1,231,2,1,-1,0,0,FALSE,FALSE§Z¿),1)]]></VOFFF>
                              </ClmnBlkPtProps>
                              <FmtCnds>
                                <FmtCnd>
                                  <FmtCndProps>
                                    <CBPLI>1,1,232,3,1</CBPLI>
                                    <FCN>1</FCN>
                                    <FCT>1</FCT>
                                    <FCO>4</FCO>
                                    <F1FFF><![CDATA[=0]]></F1FFF>
                                    <F2FFF/>
                                    <SIT>False</SIT>
                                    <BSV>True</BSV>
                                    <BCT>0</BCT>
                                    <CNBCN>0</CNBCN>
                                    <BTAS>0</BTAS>
                                    <IST>1</IST>
                                    <RO>False</RO>
                                    <SIO>False</SIO>
                                    <TO>0</TO>
                                    <TS/>
                                    <DO>1</DO>
                                    <TB>1</TB>
                                    <R>10</R>
                                    <P>False</P>
                                    <AB>0</AB>
                                    <NSD>1</NSD>
                                    <DU>1</DU>
                                    <INF>False</INF>
                                    <NT>0</NT>
                                    <DP>0</DP>
                                    <CNF/>
                                  </FmtCndProps>
                                  <FntOvly>
                                    <FntOvlyProps>
                                      <PT>2</PT>
                                      <SON>0</SON>
                                      <CBPLI>1,1,232,3,1</CBPLI>
                                      <FCN>1</FCN>
                                      <CN>0</CN>
                                      <IB>True</IB>
                                      <IC>True</IC>
                                      <B>True</B>
                                      <CT>2</CT>
                                      <CNU>3</CNU>
                                      <CPR>0</CPR>
                                      <TAS>0</TAS>
                                    </FntOvlyProps>
                                  </FntOvly>
                                </FmtCnd>
                              </FmtCnds>
                            </ClmnBlkPt>
                          </ClmnBlkPts>
                        </ClmnBlk>
                      </ClmnBlks>
                      <TtlCtg/>
                    </Elmt>
                  </Elmts>
                </Sect>
              </Sects>
              <Ctrls>
                <Ctrl>
                  <CtrlProps>
                    <MN>58</MN>
                    <MCN>1</MCN>
                    <SIT>0</SIT>
                    <TLCRSN>1</TLCRSN>
                    <TLCREN>180</TLCREN>
                    <TLCRSRT>5</TLCRSRT>
                    <TLCCPT>0</TLCCPT>
                    <TLCCN>2</TLCCN>
                    <TLCCOT>0</TLCCOT>
                    <TLCCOC>0</TLCCOC>
                    <TLCCPTBMCN>0</TLCCPTBMCN>
                    <TLCCPTBN>0</TLCCPTBN>
                    <BRCRSN>1</BRCRSN>
                    <BRCREN>180</BRCREN>
                    <BRCRSRT>5</BRCRSRT>
                    <BRCCPT>0</BRCCPT>
                    <BRCCN>4</BRCCN>
                    <BRCCOT>0</BRCCOT>
                    <BRCCOC>0</BRCCOC>
                    <BRCCPTBMCN>0</BRCCPTBMCN>
                    <BRCCPTBN>0</BRCCPTBN>
                    <P>1</P>
                    <HAL>-4131</HAL>
                    <WA>1</WA>
                    <VA>-4108</VA>
                    <HAD>1</HAD>
                    <TI>0</TI>
                    <CT>6</CT>
                    <N/>
                    <D3DS>False</D3DS>
                    <PO>True</PO>
                    <L>True</L>
                    <OA/>
                    <T><![CDATA[ Show cash balances in cashcade?]]></T>
                    <THA>-4108</THA>
                    <TVA>-4108</TVA>
                    <LT>True</LT>
                    <LCFFA><![CDATA[§A¿0,1,0,1,180,1,1,0,0,0,TRUE,TRUE§Z¿]]></LCFFA>
                    <LCCA/>
                    <CV>1</CV>
                    <MIV>0</MIV>
                    <MAV>100</MAV>
                    <SC>1</SC>
                    <LC>10</LC>
                    <LFRFFA/>
                    <LFRCA/>
                    <DDL>0</DDL>
                  </CtrlProps>
                </Ctrl>
                <Ctrl>
                  <CtrlProps>
                    <MN>58</MN>
                    <MCN>1</MCN>
                    <SIT>0</SIT>
                    <TLCRSN>1</TLCRSN>
                    <TLCREN>89</TLCREN>
                    <TLCRSRT>5</TLCRSRT>
                    <TLCCPT>0</TLCCPT>
                    <TLCCN>5</TLCCN>
                    <TLCCOT>0</TLCCOT>
                    <TLCCOC>0</TLCCOC>
                    <TLCCPTBMCN>0</TLCCPTBMCN>
                    <TLCCPTBN>0</TLCCPTBN>
                    <BRCRSN>1</BRCRSN>
                    <BRCREN>89</BRCREN>
                    <BRCRSRT>5</BRCRSRT>
                    <BRCCPT>0</BRCCPT>
                    <BRCCN>8</BRCCN>
                    <BRCCOT>0</BRCCOT>
                    <BRCCOC>0</BRCCOC>
                    <BRCCPTBMCN>0</BRCCPTBMCN>
                    <BRCCPTBN>0</BRCCPTBN>
                    <P>1</P>
                    <HAL>-4131</HAL>
                    <WA>1</WA>
                    <VA>-4108</VA>
                    <HAD>1</HAD>
                    <TI>0</TI>
                    <CT>0</CT>
                    <N/>
                    <D3DS>False</D3DS>
                    <PO>True</PO>
                    <L>True</L>
                    <OA/>
                    <T/>
                    <THA>-4108</THA>
                    <TVA>-4108</TVA>
                    <LT>True</LT>
                    <LCFFA><![CDATA[§A¿1,1,1,1,89,0,2,1,1§Z¿]]></LCFFA>
                    <LCCA/>
                    <CV>1</CV>
                    <MIV>0</MIV>
                    <MAV>100</MAV>
                    <SC>1</SC>
                    <LC>10</LC>
                    <LFRFFA><![CDATA[§A¿1,1,2,1,6,0,1,1,1§Z¿]]></LFRFFA>
                    <LFRCA/>
                    <DDL>0</DDL>
                  </CtrlProps>
                </Ctrl>
              </Ctrls>
              <Chts>
                <Cht>
                  <ChtProps>
                    <MN>58</MN>
                    <MCN>1</MCN>
                    <CPVT>0</CPVT>
                    <SIT>0</SIT>
                    <TLCRSN>1</TLCRSN>
                    <TLCREN>55</TLCREN>
                    <TLCRSRT>5</TLCRSRT>
                    <TLCRCSTN>0</TLCRCSTN>
                    <TLCRIP>0</TLCRIP>
                    <TLCCPT>0</TLCCPT>
                    <TLCCN>30</TLCCN>
                    <TLCCOT>0</TLCCOT>
                    <TLCCOC>0</TLCCOC>
                    <TLCCPTBMCN>0</TLCCPTBMCN>
                    <TLCCPTBN>0</TLCCPTBN>
                    <TLCCIP>0.378376178913288</TLCCIP>
                    <BRCRSN>1</BRCRSN>
                    <BRCREN>66</BRCREN>
                    <BRCRSRT>5</BRCRSRT>
                    <BRCRCSTN>0</BRCRCSTN>
                    <BRCRIP>1</BRCRIP>
                    <BRCCPT>0</BRCCPT>
                    <BRCCN>34</BRCCN>
                    <BRCCOT>0</BRCCOT>
                    <BRCCOC>0</BRCCOC>
                    <BRCCPTBMCN>0</BRCCPTBMCN>
                    <BRCCPTBN>0</BRCCPTBN>
                    <BRCCIP>1.00450230503941</BRCCIP>
                    <N><![CDATA[bpmChartFs_Sum10]]></N>
                    <CSSN><![CDATA[Summary]]></CSSN>
                    <CT>51</CT>
                    <SFVT>0</SFVT>
                    <PB>1</PB>
                    <ST>1</ST>
                    <SST>0</SST>
                    <SFCOSTN>0</SFCOSTN>
                    <SLCOSTN>0</SLCOSTN>
                  </ChtProps>
                  <SersCltn>
                    <Sers>
                      <SersProps>
                        <MN>58</MN>
                        <MCN>1</MCN>
                        <CN>1</CN>
                        <FFF><![CDATA[=SERIES(§A¿0,1,0,1,17,4,1,-1,0,0,TRUE,TRUE§Z¿,,§A¿0,1,0,1,17,6,1,-1,0,0,TRUE,TRUE§Z¿,1)]]></FFF>
                      </SersProps>
                    </Sers>
                    <Sers>
                      <SersProps>
                        <MN>58</MN>
                        <MCN>1</MCN>
                        <CN>1</CN>
                        <FFF><![CDATA[=SERIES(§A¿0,1,0,1,18,4,1,-1,0,0,TRUE,TRUE§Z¿,,§A¿0,1,0,1,18,6,1,-1,0,0,TRUE,TRUE§Z¿,2)]]></FFF>
                      </SersProps>
                    </Sers>
                    <Sers>
                      <SersProps>
                        <MN>58</MN>
                        <MCN>1</MCN>
                        <CN>1</CN>
                        <FFF><![CDATA[=SERIES(§A¿0,1,0,1,19,4,1,-1,0,0,TRUE,TRUE§Z¿,,§A¿0,1,0,1,19,6,1,-1,0,0,TRUE,TRUE§Z¿,3)]]></FFF>
                      </SersProps>
                    </Sers>
                    <Sers>
                      <SersProps>
                        <MN>58</MN>
                        <MCN>1</MCN>
                        <CN>1</CN>
                        <FFF><![CDATA[=SERIES(§A¿0,1,0,1,20,4,1,-1,0,0,TRUE,TRUE§Z¿,,§A¿0,1,0,1,20,6,1,-1,0,0,TRUE,TRUE§Z¿,4)]]></FFF>
                      </SersProps>
                    </Sers>
                    <Sers>
                      <SersProps>
                        <MN>58</MN>
                        <MCN>1</MCN>
                        <CN>1</CN>
                        <FFF><![CDATA[=SERIES(§A¿0,1,0,1,21,4,1,-1,0,0,TRUE,TRUE§Z¿,,§A¿0,1,0,1,21,6,1,-1,0,0,TRUE,TRUE§Z¿,5)]]></FFF>
                      </SersProps>
                    </Sers>
                  </SersCltn>
                </Cht>
                <Cht>
                  <ChtProps>
                    <MN>58</MN>
                    <MCN>1</MCN>
                    <CPVT>0</CPVT>
                    <SIT>0</SIT>
                    <TLCRSN>1</TLCRSN>
                    <TLCREN>43</TLCREN>
                    <TLCRSRT>5</TLCRSRT>
                    <TLCRCSTN>0</TLCRCSTN>
                    <TLCRIP>0</TLCRIP>
                    <TLCCPT>0</TLCCPT>
                    <TLCCN>30</TLCCN>
                    <TLCCOT>0</TLCCOT>
                    <TLCCOC>0</TLCCOC>
                    <TLCCPTBMCN>0</TLCCPTBMCN>
                    <TLCCPTBN>0</TLCCPTBN>
                    <TLCCIP>0.378376178913288</TLCCIP>
                    <BRCRSN>1</BRCRSN>
                    <BRCREN>53</BRCREN>
                    <BRCRSRT>5</BRCRSRT>
                    <BRCRCSTN>0</BRCRCSTN>
                    <BRCRIP>1</BRCRIP>
                    <BRCCPT>0</BRCCPT>
                    <BRCCN>34</BRCCN>
                    <BRCCOT>0</BRCCOT>
                    <BRCCOC>0</BRCCOC>
                    <BRCCPTBMCN>0</BRCCPTBMCN>
                    <BRCCPTBN>0</BRCCPTBN>
                    <BRCCIP>1.00450230503941</BRCCIP>
                    <N><![CDATA[bpmChartFs_Sum11]]></N>
                    <CSSN><![CDATA[Summary]]></CSSN>
                    <CT>51</CT>
                    <SFVT>0</SFVT>
                    <PB>1</PB>
                    <ST>1</ST>
                    <SST>0</SST>
                    <SFCOSTN>0</SFCOSTN>
                    <SLCOSTN>0</SLCOSTN>
                  </ChtProps>
                  <SersCltn>
                    <Sers>
                      <SersProps>
                        <MN>58</MN>
                        <MCN>1</MCN>
                        <CN>2</CN>
                        <FFF><![CDATA[=SERIES(§A¿0,1,0,1,7,4,1,-1,0,0,TRUE,TRUE§Z¿,,§A¿0,1,0,1,7,6,1,-1,0,0,TRUE,TRUE§Z¿,1)]]></FFF>
                      </SersProps>
                    </Sers>
                    <Sers>
                      <SersProps>
                        <MN>58</MN>
                        <MCN>1</MCN>
                        <CN>2</CN>
                        <FFF><![CDATA[=SERIES(§A¿0,1,0,1,8,4,1,-1,0,0,TRUE,TRUE§Z¿,,§A¿0,1,0,1,8,6,1,-1,0,0,TRUE,TRUE§Z¿,2)]]></FFF>
                      </SersProps>
                    </Sers>
                    <Sers>
                      <SersProps>
                        <MN>58</MN>
                        <MCN>1</MCN>
                        <CN>2</CN>
                        <FFF><![CDATA[=SERIES(§A¿0,1,0,1,9,4,1,-1,0,0,TRUE,TRUE§Z¿,,§A¿0,1,0,1,9,6,1,-1,0,0,TRUE,TRUE§Z¿,3)]]></FFF>
                      </SersProps>
                    </Sers>
                    <Sers>
                      <SersProps>
                        <MN>58</MN>
                        <MCN>1</MCN>
                        <CN>2</CN>
                        <FFF><![CDATA[=SERIES(§A¿0,1,0,1,10,4,1,-1,0,0,TRUE,TRUE§Z¿,,§A¿0,1,0,1,10,6,1,-1,0,0,TRUE,TRUE§Z¿,4)]]></FFF>
                      </SersProps>
                    </Sers>
                    <Sers>
                      <SersProps>
                        <MN>58</MN>
                        <MCN>1</MCN>
                        <CN>2</CN>
                        <FFF><![CDATA[=SERIES(§A¿0,1,0,1,11,4,1,-1,0,0,TRUE,TRUE§Z¿,,§A¿0,1,0,1,11,6,1,-1,0,0,TRUE,TRUE§Z¿,5)]]></FFF>
                      </SersProps>
                    </Sers>
                  </SersCltn>
                </Cht>
                <Cht>
                  <ChtProps>
                    <MN>58</MN>
                    <MCN>1</MCN>
                    <CPVT>0</CPVT>
                    <SIT>0</SIT>
                    <TLCRSN>1</TLCRSN>
                    <TLCREN>43</TLCREN>
                    <TLCRSRT>5</TLCRSRT>
                    <TLCRCSTN>0</TLCRCSTN>
                    <TLCRIP>0</TLCRIP>
                    <TLCCPT>0</TLCCPT>
                    <TLCCN>25</TLCCN>
                    <TLCCOT>0</TLCCOT>
                    <TLCCOC>0</TLCCOC>
                    <TLCCPTBMCN>0</TLCCPTBMCN>
                    <TLCCPTBN>0</TLCCPTBN>
                    <TLCCIP>0.364862665399775</TLCCIP>
                    <BRCRSN>1</BRCRSN>
                    <BRCREN>58</BRCREN>
                    <BRCRSRT>5</BRCRSRT>
                    <BRCRCSTN>0</BRCRCSTN>
                    <BRCRIP>1</BRCRIP>
                    <BRCCPT>0</BRCCPT>
                    <BRCCN>29</BRCCN>
                    <BRCCOT>0</BRCCOT>
                    <BRCCOC>0</BRCCOC>
                    <BRCCPTBMCN>0</BRCCPTBMCN>
                    <BRCCPTBN>0</BRCCPTBN>
                    <BRCCIP>1.00450230503941</BRCCIP>
                    <N><![CDATA[bpmChartFs_Sum12]]></N>
                    <CSSN><![CDATA[Summary]]></CSSN>
                    <CT>52</CT>
                    <SFVT>0</SFVT>
                    <PB>2</PB>
                    <ST>1</ST>
                    <SST>0</SST>
                    <SFCOSTN>0</SFCOSTN>
                    <SLCOSTN>0</SLCOSTN>
                  </ChtProps>
                  <SersCltn>
                    <Sers>
                      <SersProps>
                        <MN>58</MN>
                        <MCN>1</MCN>
                        <CN>3</CN>
                        <FFF><![CDATA[=SERIES(,§A¿0,1,1,1,167,1,1,-1,0,0,TRUE,TRUE,1,171,1,1,-1,0,0,TRUE,TRUE§Z¿,§A¿0,1,1,1,167,4,1,-1,0,0,TRUE,TRUE,1,171,4,1,-1,0,0,TRUE,TRUE§Z¿,1)]]></FFF>
                      </SersProps>
                    </Sers>
                    <Sers>
                      <SersProps>
                        <MN>58</MN>
                        <MCN>1</MCN>
                        <CN>3</CN>
                        <FFF><![CDATA[=SERIES(,§A¿0,1,1,1,167,1,1,-1,0,0,TRUE,TRUE,1,171,1,1,-1,0,0,TRUE,TRUE§Z¿,§A¿0,1,1,1,167,5,1,-1,0,0,TRUE,TRUE,1,171,5,1,-1,0,0,TRUE,TRUE§Z¿,2)]]></FFF>
                      </SersProps>
                    </Sers>
                    <Sers>
                      <SersProps>
                        <MN>58</MN>
                        <MCN>1</MCN>
                        <CN>3</CN>
                        <FFF><![CDATA[=SERIES(,§A¿0,1,1,1,167,1,1,-1,0,0,TRUE,TRUE,1,171,1,1,-1,0,0,TRUE,TRUE§Z¿,§A¿0,1,1,1,167,6,1,-1,0,0,TRUE,TRUE,1,171,6,1,-1,0,0,TRUE,TRUE§Z¿,3)]]></FFF>
                      </SersProps>
                    </Sers>
                    <Sers>
                      <SersProps>
                        <MN>58</MN>
                        <MCN>1</MCN>
                        <CN>3</CN>
                        <FFF><![CDATA[=SERIES(,§A¿0,1,1,1,167,1,1,-1,0,0,TRUE,TRUE,1,171,1,1,-1,0,0,TRUE,TRUE§Z¿,§A¿0,1,1,1,167,7,1,-1,0,0,TRUE,TRUE,1,171,7,1,-1,0,0,TRUE,TRUE§Z¿,4)]]></FFF>
                      </SersProps>
                    </Sers>
                    <Sers>
                      <SersProps>
                        <MN>58</MN>
                        <MCN>1</MCN>
                        <CN>3</CN>
                        <FFF><![CDATA[=SERIES(,§A¿0,1,1,1,167,1,1,-1,0,0,TRUE,TRUE,1,171,1,1,-1,0,0,TRUE,TRUE§Z¿,§A¿0,1,1,1,167,8,1,-1,0,0,TRUE,TRUE,1,171,8,1,-1,0,0,TRUE,TRUE§Z¿,5)]]></FFF>
                      </SersProps>
                    </Sers>
                    <Sers>
                      <SersProps>
                        <MN>58</MN>
                        <MCN>1</MCN>
                        <CN>3</CN>
                        <FFF><![CDATA[=SERIES(,§A¿0,1,1,1,167,1,1,-1,0,0,TRUE,TRUE,1,171,1,1,-1,0,0,TRUE,TRUE§Z¿,§A¿0,1,1,1,167,9,1,-1,0,0,TRUE,TRUE,1,171,9,1,-1,0,0,TRUE,TRUE§Z¿,6)]]></FFF>
                      </SersProps>
                    </Sers>
                    <Sers>
                      <SersProps>
                        <MN>58</MN>
                        <MCN>1</MCN>
                        <CN>3</CN>
                        <FFF><![CDATA[=SERIES(,§A¿0,1,1,1,167,1,1,-1,0,0,TRUE,TRUE,1,171,1,1,-1,0,0,TRUE,TRUE§Z¿,§A¿0,1,1,1,167,10,1,-1,0,0,TRUE,TRUE,1,171,10,1,-1,0,0,TRUE,TRUE§Z¿,7)]]></FFF>
                      </SersProps>
                    </Sers>
                  </SersCltn>
                </Cht>
                <Cht>
                  <ChtProps>
                    <MN>58</MN>
                    <MCN>1</MCN>
                    <CPVT>0</CPVT>
                    <SIT>0</SIT>
                    <TLCRSN>1</TLCRSN>
                    <TLCREN>42</TLCREN>
                    <TLCRSRT>5</TLCRSRT>
                    <TLCRCSTN>0</TLCRCSTN>
                    <TLCRIP>0.972208658854167</TLCRIP>
                    <TLCCPT>0</TLCCPT>
                    <TLCCN>19</TLCCN>
                    <TLCCOT>0</TLCCOT>
                    <TLCCOC>0</TLCCOC>
                    <TLCCPTBMCN>0</TLCCPTBMCN>
                    <TLCCPTBN>0</TLCCPTBN>
                    <TLCCIP>0</TLCCIP>
                    <BRCRSN>1</BRCRSN>
                    <BRCREN>58</BRCREN>
                    <BRCRSRT>5</BRCRSRT>
                    <BRCRCSTN>0</BRCRCSTN>
                    <BRCRIP>0.999993896484375</BRCRIP>
                    <BRCCPT>0</BRCCPT>
                    <BRCCN>24</BRCCN>
                    <BRCCOT>0</BRCCOT>
                    <BRCCOC>0</BRCCOC>
                    <BRCCPTBMCN>0</BRCCPTBMCN>
                    <BRCCPTBN>0</BRCCPTBN>
                    <BRCCIP>1</BRCCIP>
                    <N><![CDATA[bpmChartFs_Sum13]]></N>
                    <CSSN><![CDATA[Summary]]></CSSN>
                    <CT>-4111</CT>
                    <SFVT>0</SFVT>
                    <PB>1</PB>
                    <ST>1</ST>
                    <SST>0</SST>
                    <SFCOSTN>0</SFCOSTN>
                    <SLCOSTN>0</SLCOSTN>
                  </ChtProps>
                  <SersCltn>
                    <Sers>
                      <SersProps>
                        <MN>58</MN>
                        <MCN>1</MCN>
                        <CN>4</CN>
                        <FFF><![CDATA[=SERIES(§A¿0,1,0,1,154,1,1,-1,0,0,TRUE,TRUE§Z¿,§A¿0,1,1,1,99,2,1,-1,0,0,TRUE,TRUE,1,99,2,1,-1,1,0,TRUE,TRUE§Z¿,§A¿0,1,1,1,154,2,1,-1,0,0,TRUE,TRUE,1,154,2,1,-1,1,0,TRUE,TRUE§Z¿,1)]]></FFF>
                      </SersProps>
                    </Sers>
                    <Sers>
                      <SersProps>
                        <MN>58</MN>
                        <MCN>1</MCN>
                        <CN>4</CN>
                        <FFF><![CDATA[=SERIES(§A¿0,1,0,1,155,1,1,-1,0,0,TRUE,TRUE§Z¿,§A¿0,1,1,1,99,2,1,-1,0,0,TRUE,TRUE,1,99,2,1,-1,1,0,TRUE,TRUE§Z¿,§A¿0,1,1,1,155,2,1,-1,0,0,TRUE,TRUE,1,155,2,1,-1,1,0,TRUE,TRUE§Z¿,2)]]></FFF>
                      </SersProps>
                    </Sers>
                    <Sers>
                      <SersProps>
                        <MN>58</MN>
                        <MCN>1</MCN>
                        <CN>4</CN>
                        <FFF><![CDATA[=SERIES(§A¿0,1,0,1,156,1,1,-1,0,0,TRUE,TRUE§Z¿,§A¿0,1,1,1,99,2,1,-1,0,0,TRUE,TRUE,1,99,2,1,-1,1,0,TRUE,TRUE§Z¿,§A¿0,1,1,1,156,2,1,-1,0,0,TRUE,TRUE,1,156,2,1,-1,1,0,TRUE,TRUE§Z¿,3)]]></FFF>
                      </SersProps>
                    </Sers>
                    <Sers>
                      <SersProps>
                        <MN>58</MN>
                        <MCN>1</MCN>
                        <CN>4</CN>
                        <FFF><![CDATA[=SERIES(§A¿0,1,0,1,157,1,1,-1,0,0,TRUE,TRUE§Z¿,§A¿0,1,1,1,99,2,1,-1,0,0,TRUE,TRUE,1,99,2,1,-1,1,0,TRUE,TRUE§Z¿,§A¿0,1,1,1,157,2,1,-1,0,0,TRUE,TRUE,1,157,2,1,-1,1,0,TRUE,TRUE§Z¿,4)]]></FFF>
                      </SersProps>
                    </Sers>
                    <Sers>
                      <SersProps>
                        <MN>58</MN>
                        <MCN>1</MCN>
                        <CN>4</CN>
                        <FFF><![CDATA[=SERIES(§A¿0,1,0,1,158,1,1,-1,0,0,TRUE,TRUE§Z¿,§A¿0,1,1,1,99,2,1,-1,0,0,TRUE,TRUE,1,99,2,1,-1,1,0,TRUE,TRUE§Z¿,§A¿0,1,1,1,158,2,1,-1,0,0,TRUE,TRUE,1,158,2,1,-1,1,0,TRUE,TRUE§Z¿,5)]]></FFF>
                      </SersProps>
                    </Sers>
                    <Sers>
                      <SersProps>
                        <MN>58</MN>
                        <MCN>1</MCN>
                        <CN>4</CN>
                        <FFF><![CDATA[=SERIES(§A¿0,1,0,1,159,1,1,-1,0,0,TRUE,TRUE§Z¿,§A¿0,1,1,1,99,2,1,-1,0,0,TRUE,TRUE,1,99,2,1,-1,1,0,TRUE,TRUE§Z¿,§A¿0,1,1,1,159,2,1,-1,0,0,TRUE,TRUE,1,159,2,1,-1,1,0,TRUE,TRUE§Z¿,6)]]></FFF>
                      </SersProps>
                    </Sers>
                    <Sers>
                      <SersProps>
                        <MN>58</MN>
                        <MCN>1</MCN>
                        <CN>4</CN>
                        <FFF><![CDATA[=SERIES(§A¿0,1,0,1,160,1,1,-1,0,0,TRUE,TRUE§Z¿,§A¿0,1,1,1,99,2,1,-1,0,0,TRUE,TRUE,1,99,2,1,-1,1,0,TRUE,TRUE§Z¿,§A¿0,1,1,1,160,2,1,-1,0,0,TRUE,TRUE,1,160,2,1,-1,1,0,TRUE,TRUE§Z¿,7)]]></FFF>
                      </SersProps>
                    </Sers>
                    <Sers>
                      <SersProps>
                        <MN>58</MN>
                        <MCN>1</MCN>
                        <CN>4</CN>
                        <FFF><![CDATA[=SERIES(§A¿0,1,0,1,161,1,1,-1,0,0,TRUE,TRUE§Z¿,§A¿0,1,1,1,99,2,1,-1,0,0,TRUE,TRUE,1,99,2,1,-1,1,0,TRUE,TRUE§Z¿,§A¿0,1,1,1,161,2,1,-1,0,0,TRUE,TRUE,1,161,2,1,-1,1,0,TRUE,TRUE§Z¿,8)]]></FFF>
                      </SersProps>
                    </Sers>
                    <Sers>
                      <SersProps>
                        <MN>58</MN>
                        <MCN>1</MCN>
                        <CN>4</CN>
                        <FFF><![CDATA[=SERIES(§A¿0,1,0,1,162,1,1,-1,0,0,TRUE,TRUE§Z¿,§A¿0,1,1,1,99,2,1,-1,0,0,TRUE,TRUE,1,99,2,1,-1,1,0,TRUE,TRUE§Z¿,§A¿0,1,1,1,162,2,1,-1,0,0,TRUE,TRUE,1,162,2,1,-1,1,0,TRUE,TRUE§Z¿,9)]]></FFF>
                      </SersProps>
                    </Sers>
                    <Sers>
                      <SersProps>
                        <MN>58</MN>
                        <MCN>1</MCN>
                        <CN>4</CN>
                        <FFF><![CDATA[=SERIES(§A¿0,1,0,1,163,1,1,-1,0,0,TRUE,TRUE§Z¿,,§A¿0,1,1,1,163,2,1,-1,0,0,TRUE,TRUE,1,163,2,1,-1,1,0,TRUE,TRUE§Z¿,10)]]></FFF>
                      </SersProps>
                    </Sers>
                  </SersCltn>
                </Cht>
                <Cht>
                  <ChtProps>
                    <MN>58</MN>
                    <MCN>1</MCN>
                    <CPVT>0</CPVT>
                    <SIT>0</SIT>
                    <TLCRSN>1</TLCRSN>
                    <TLCREN>80</TLCREN>
                    <TLCRSRT>5</TLCRSRT>
                    <TLCRCSTN>0</TLCRCSTN>
                    <TLCRIP>0</TLCRIP>
                    <TLCCPT>0</TLCCPT>
                    <TLCCN>31</TLCCN>
                    <TLCCOT>0</TLCCOT>
                    <TLCCOC>0</TLCCOC>
                    <TLCCPTBMCN>0</TLCCPTBMCN>
                    <TLCCPTBN>0</TLCCPTBN>
                    <TLCCIP>0.806612031953829</TLCCIP>
                    <BRCRSN>1</BRCRSN>
                    <BRCREN>85</BRCREN>
                    <BRCRSRT>5</BRCRSRT>
                    <BRCRCSTN>0</BRCRCSTN>
                    <BRCRIP>1</BRCRIP>
                    <BRCCPT>0</BRCCPT>
                    <BRCCN>34</BRCCN>
                    <BRCCOT>0</BRCCOT>
                    <BRCCOC>0</BRCCOC>
                    <BRCCPTBMCN>0</BRCCPTBMCN>
                    <BRCCPTBN>0</BRCCPTBN>
                    <BRCCIP>1.00000219946509</BRCCIP>
                    <N><![CDATA[bpmChartFs_Sum14]]></N>
                    <CSSN><![CDATA[Summary]]></CSSN>
                    <CT>57</CT>
                    <SFVT>0</SFVT>
                    <PB>2</PB>
                    <ST>1</ST>
                    <SST>0</SST>
                    <SFCOSTN>0</SFCOSTN>
                    <SLCOSTN>0</SLCOSTN>
                  </ChtProps>
                  <SersCltn>
                    <Sers>
                      <SersProps>
                        <MN>58</MN>
                        <MCN>1</MCN>
                        <CN>5</CN>
                        <FFF><![CDATA[=SERIES(,§A¿0,1,1,1,209,1,1,-1,0,0,TRUE,TRUE,1,212,1,1,-1,0,0,TRUE,TRUE§Z¿,§A¿0,1,1,1,209,3,1,-1,0,0,TRUE,TRUE,1,212,3,1,-1,0,0,TRUE,TRUE§Z¿,1)]]></FFF>
                      </SersProps>
                    </Sers>
                    <Sers>
                      <SersProps>
                        <MN>58</MN>
                        <MCN>1</MCN>
                        <CN>5</CN>
                        <FFF><![CDATA[=SERIES(,§A¿0,1,1,1,209,1,1,-1,0,0,TRUE,TRUE,1,212,1,1,-1,0,0,TRUE,TRUE§Z¿,§A¿0,1,1,1,209,4,1,-1,0,0,TRUE,TRUE,1,212,4,1,-1,0,0,TRUE,TRUE§Z¿,2)]]></FFF>
                      </SersProps>
                    </Sers>
                  </SersCltn>
                </Cht>
                <Cht>
                  <ChtProps>
                    <MN>58</MN>
                    <MCN>1</MCN>
                    <CPVT>0</CPVT>
                    <SIT>0</SIT>
                    <TLCRSN>1</TLCRSN>
                    <TLCREN>60</TLCREN>
                    <TLCRSRT>5</TLCRSRT>
                    <TLCRCSTN>0</TLCRCSTN>
                    <TLCRIP>0</TLCRIP>
                    <TLCCPT>0</TLCCPT>
                    <TLCCN>23</TLCCN>
                    <TLCCOT>0</TLCCOT>
                    <TLCCOC>0</TLCCOC>
                    <TLCCPTBMCN>0</TLCCPTBMCN>
                    <TLCCPTBN>0</TLCCPTBN>
                    <TLCCIP>0</TLCCIP>
                    <BRCRSN>1</BRCRSN>
                    <BRCREN>85</BRCREN>
                    <BRCRSRT>5</BRCRSRT>
                    <BRCRCSTN>0</BRCRCSTN>
                    <BRCRIP>1</BRCRIP>
                    <BRCCPT>0</BRCCPT>
                    <BRCCN>29</BRCCN>
                    <BRCCOT>0</BRCCOT>
                    <BRCCOC>0</BRCCOC>
                    <BRCCPTBMCN>0</BRCCPTBMCN>
                    <BRCCPTBN>0</BRCCPTBN>
                    <BRCCIP>1</BRCCIP>
                    <N><![CDATA[bpmChartFs_Sum15]]></N>
                    <CSSN><![CDATA[Summary]]></CSSN>
                    <CT>58</CT>
                    <SFVT>0</SFVT>
                    <PB>2</PB>
                    <ST>1</ST>
                    <SST>0</SST>
                    <SFCOSTN>0</SFCOSTN>
                    <SLCOSTN>0</SLCOSTN>
                  </ChtProps>
                  <SersCltn>
                    <Sers>
                      <SersProps>
                        <MN>58</MN>
                        <MCN>1</MCN>
                        <CN>6</CN>
                        <FFF><![CDATA[=SERIES(,,§A¿0,1,1,1,183,4,1,-1,0,0,TRUE,TRUE,1,206,3,1,-1,0,0,TRUE,TRUE§Z¿,1)]]></FFF>
                      </SersProps>
                    </Sers>
                    <Sers>
                      <SersProps>
                        <MN>58</MN>
                        <MCN>1</MCN>
                        <CN>6</CN>
                        <FFF><![CDATA[=SERIES(,,§A¿0,1,1,1,183,5,1,-1,0,0,TRUE,TRUE,1,206,4,1,-1,0,0,TRUE,TRUE§Z¿,2)]]></FFF>
                      </SersProps>
                    </Sers>
                    <Sers>
                      <SersProps>
                        <MN>58</MN>
                        <MCN>1</MCN>
                        <CN>6</CN>
                        <FFF><![CDATA[=SERIES(,,§A¿0,1,1,1,183,6,1,-1,0,0,TRUE,TRUE,1,206,5,1,-1,0,0,TRUE,TRUE§Z¿,3)]]></FFF>
                      </SersProps>
                    </Sers>
                    <Sers>
                      <SersProps>
                        <MN>58</MN>
                        <MCN>1</MCN>
                        <CN>6</CN>
                        <FFF><![CDATA[=SERIES(,,§A¿0,1,1,1,183,7,1,-1,0,0,TRUE,TRUE,1,206,6,1,-1,0,0,TRUE,TRUE§Z¿,4)]]></FFF>
                      </SersProps>
                    </Sers>
                    <Sers>
                      <SersProps>
                        <MN>58</MN>
                        <MCN>1</MCN>
                        <CN>6</CN>
                        <FFF><![CDATA[=SERIES(,,§A¿0,1,1,1,183,8,1,-1,0,0,TRUE,TRUE,1,206,7,1,-1,0,0,TRUE,TRUE§Z¿,5)]]></FFF>
                      </SersProps>
                    </Sers>
                    <Sers>
                      <SersProps>
                        <MN>58</MN>
                        <MCN>1</MCN>
                        <CN>6</CN>
                        <FFF><![CDATA[=SERIES(,,§A¿0,1,1,1,183,9,1,-1,0,0,TRUE,TRUE,1,206,8,1,-1,0,0,TRUE,TRUE§Z¿,6)]]></FFF>
                      </SersProps>
                    </Sers>
                    <Sers>
                      <SersProps>
                        <MN>58</MN>
                        <MCN>1</MCN>
                        <CN>6</CN>
                        <FFF><![CDATA[=SERIES(,,§A¿0,1,1,1,183,10,1,-1,0,0,TRUE,TRUE,1,206,9,1,-1,0,0,TRUE,TRUE§Z¿,7)]]></FFF>
                      </SersProps>
                    </Sers>
                  </SersCltn>
                </Cht>
                <Cht>
                  <ChtProps>
                    <MN>58</MN>
                    <MCN>1</MCN>
                    <CPVT>0</CPVT>
                    <SIT>0</SIT>
                    <TLCRSN>1</TLCRSN>
                    <TLCREN>25</TLCREN>
                    <TLCRSRT>5</TLCRSRT>
                    <TLCRCSTN>0</TLCRCSTN>
                    <TLCRIP>0</TLCRIP>
                    <TLCCPT>0</TLCCPT>
                    <TLCCN>30</TLCCN>
                    <TLCCOT>0</TLCCOT>
                    <TLCCOC>0</TLCCOC>
                    <TLCCPTBMCN>0</TLCCPTBMCN>
                    <TLCCPTBN>0</TLCCPTBN>
                    <TLCCIP>0.378376178913288</TLCCIP>
                    <BRCRSN>1</BRCRSN>
                    <BRCREN>41</BRCREN>
                    <BRCRSRT>5</BRCRSRT>
                    <BRCRCSTN>0</BRCRCSTN>
                    <BRCRIP>1</BRCRIP>
                    <BRCCPT>0</BRCCPT>
                    <BRCCN>34</BRCCN>
                    <BRCCOT>0</BRCCOT>
                    <BRCCOC>0</BRCCOC>
                    <BRCCPTBMCN>0</BRCCPTBMCN>
                    <BRCCPTBN>0</BRCCPTBN>
                    <BRCCIP>1.00450230503941</BRCCIP>
                    <N><![CDATA[bpmChartFs_Sum16]]></N>
                    <CSSN><![CDATA[Summary]]></CSSN>
                    <CT>52</CT>
                    <SFVT>0</SFVT>
                    <PB>1</PB>
                    <ST>1</ST>
                    <SST>0</SST>
                    <SFCOSTN>0</SFCOSTN>
                    <SLCOSTN>0</SLCOSTN>
                  </ChtProps>
                  <SersCltn>
                    <Sers>
                      <SersProps>
                        <MN>58</MN>
                        <MCN>1</MCN>
                        <CN>7</CN>
                        <FFF><![CDATA[=SERIES(§A¿0,1,0,1,17,4,1,-1,0,0,TRUE,TRUE§Z¿,§A¿0,1,1,1,99,2,1,-1,0,0,TRUE,TRUE,1,99,2,1,-1,1,0,TRUE,TRUE§Z¿,§A¿0,1,1,1,17,5,1,-1,0,0,TRUE,TRUE,1,17,5,1,-1,1,0,TRUE,TRUE§Z¿,1)]]></FFF>
                      </SersProps>
                    </Sers>
                    <Sers>
                      <SersProps>
                        <MN>58</MN>
                        <MCN>1</MCN>
                        <CN>7</CN>
                        <FFF><![CDATA[=SERIES(§A¿0,1,0,1,18,4,1,-1,0,0,TRUE,TRUE§Z¿,§A¿0,1,1,1,99,2,1,-1,0,0,TRUE,TRUE,1,99,2,1,-1,1,0,TRUE,TRUE§Z¿,§A¿0,1,1,1,18,5,1,-1,0,0,TRUE,TRUE,1,18,5,1,-1,1,0,TRUE,TRUE§Z¿,2)]]></FFF>
                      </SersProps>
                    </Sers>
                    <Sers>
                      <SersProps>
                        <MN>58</MN>
                        <MCN>1</MCN>
                        <CN>7</CN>
                        <FFF><![CDATA[=SERIES(§A¿0,1,0,1,19,4,1,-1,0,0,TRUE,TRUE§Z¿,§A¿0,1,1,1,99,2,1,-1,0,0,TRUE,TRUE,1,99,2,1,-1,1,0,TRUE,TRUE§Z¿,§A¿0,1,1,1,19,5,1,-1,0,0,TRUE,TRUE,1,19,5,1,-1,1,0,TRUE,TRUE§Z¿,3)]]></FFF>
                      </SersProps>
                    </Sers>
                    <Sers>
                      <SersProps>
                        <MN>58</MN>
                        <MCN>1</MCN>
                        <CN>7</CN>
                        <FFF><![CDATA[=SERIES(§A¿0,1,0,1,20,4,1,-1,0,0,TRUE,TRUE§Z¿,§A¿0,1,1,1,99,2,1,-1,0,0,TRUE,TRUE,1,99,2,1,-1,1,0,TRUE,TRUE§Z¿,§A¿0,1,1,1,20,5,1,-1,0,0,TRUE,TRUE,1,20,5,1,-1,1,0,TRUE,TRUE§Z¿,4)]]></FFF>
                      </SersProps>
                    </Sers>
                    <Sers>
                      <SersProps>
                        <MN>58</MN>
                        <MCN>1</MCN>
                        <CN>7</CN>
                        <FFF><![CDATA[=SERIES(§A¿0,1,0,1,21,4,1,-1,0,0,TRUE,TRUE§Z¿,§A¿0,1,1,1,99,2,1,-1,0,0,TRUE,TRUE,1,99,2,1,-1,1,0,TRUE,TRUE§Z¿,§A¿0,1,1,1,21,5,1,-1,0,0,TRUE,TRUE,1,21,5,1,-1,1,0,TRUE,TRUE§Z¿,5)]]></FFF>
                      </SersProps>
                    </Sers>
                  </SersCltn>
                </Cht>
                <Cht>
                  <ChtProps>
                    <MN>58</MN>
                    <MCN>1</MCN>
                    <CPVT>0</CPVT>
                    <SIT>0</SIT>
                    <TLCRSN>1</TLCRSN>
                    <TLCREN>25</TLCREN>
                    <TLCRSRT>5</TLCRSRT>
                    <TLCRCSTN>0</TLCRCSTN>
                    <TLCRIP>0</TLCRIP>
                    <TLCCPT>0</TLCCPT>
                    <TLCCN>25</TLCCN>
                    <TLCCOT>0</TLCCOT>
                    <TLCCOC>0</TLCCOC>
                    <TLCCPTBMCN>0</TLCCPTBMCN>
                    <TLCCPTBN>0</TLCCPTBN>
                    <TLCCIP>0.351351351351351</TLCCIP>
                    <BRCRSN>1</BRCRSN>
                    <BRCREN>41</BRCREN>
                    <BRCRSRT>5</BRCRSRT>
                    <BRCRCSTN>0</BRCRCSTN>
                    <BRCRIP>1</BRCRIP>
                    <BRCCPT>0</BRCCPT>
                    <BRCCN>29</BRCCN>
                    <BRCCOT>0</BRCCOT>
                    <BRCCOC>0</BRCCOC>
                    <BRCCPTBMCN>0</BRCCPTBMCN>
                    <BRCCPTBN>0</BRCCPTBN>
                    <BRCCIP>1</BRCCIP>
                    <N><![CDATA[bpmChartFs_Sum17]]></N>
                    <CSSN><![CDATA[Summary]]></CSSN>
                    <CT>52</CT>
                    <SFVT>0</SFVT>
                    <PB>1</PB>
                    <ST>1</ST>
                    <SST>0</SST>
                    <SFCOSTN>0</SFCOSTN>
                    <SLCOSTN>0</SLCOSTN>
                  </ChtProps>
                  <SersCltn>
                    <Sers>
                      <SersProps>
                        <MN>58</MN>
                        <MCN>1</MCN>
                        <CN>8</CN>
                        <FFF><![CDATA[=SERIES(§A¿0,1,0,1,7,4,1,-1,0,0,TRUE,TRUE§Z¿,§A¿0,1,1,1,99,2,1,-1,0,0,TRUE,TRUE,1,99,2,1,-1,1,0,TRUE,TRUE§Z¿,§A¿0,1,1,1,7,5,1,-1,0,0,TRUE,TRUE,1,7,5,1,-1,1,0,TRUE,TRUE§Z¿,1)]]></FFF>
                      </SersProps>
                    </Sers>
                    <Sers>
                      <SersProps>
                        <MN>58</MN>
                        <MCN>1</MCN>
                        <CN>8</CN>
                        <FFF><![CDATA[=SERIES(§A¿0,1,0,1,8,4,1,-1,0,0,TRUE,TRUE§Z¿,§A¿0,1,1,1,99,2,1,-1,0,0,TRUE,TRUE,1,99,2,1,-1,1,0,TRUE,TRUE§Z¿,§A¿0,1,1,1,8,5,1,-1,0,0,TRUE,TRUE,1,8,5,1,-1,1,0,TRUE,TRUE§Z¿,2)]]></FFF>
                      </SersProps>
                    </Sers>
                    <Sers>
                      <SersProps>
                        <MN>58</MN>
                        <MCN>1</MCN>
                        <CN>8</CN>
                        <FFF><![CDATA[=SERIES(§A¿0,1,0,1,9,4,1,-1,0,0,TRUE,TRUE§Z¿,§A¿0,1,1,1,99,2,1,-1,0,0,TRUE,TRUE,1,99,2,1,-1,1,0,TRUE,TRUE§Z¿,§A¿0,1,1,1,9,5,1,-1,0,0,TRUE,TRUE,1,9,5,1,-1,1,0,TRUE,TRUE§Z¿,3)]]></FFF>
                      </SersProps>
                    </Sers>
                    <Sers>
                      <SersProps>
                        <MN>58</MN>
                        <MCN>1</MCN>
                        <CN>8</CN>
                        <FFF><![CDATA[=SERIES(§A¿0,1,0,1,10,4,1,-1,0,0,TRUE,TRUE§Z¿,§A¿0,1,1,1,99,2,1,-1,0,0,TRUE,TRUE,1,99,2,1,-1,1,0,TRUE,TRUE§Z¿,§A¿0,1,1,1,10,5,1,-1,0,0,TRUE,TRUE,1,10,5,1,-1,1,0,TRUE,TRUE§Z¿,4)]]></FFF>
                      </SersProps>
                    </Sers>
                    <Sers>
                      <SersProps>
                        <MN>58</MN>
                        <MCN>1</MCN>
                        <CN>8</CN>
                        <FFF><![CDATA[=SERIES(§A¿0,1,0,1,11,4,1,-1,0,0,TRUE,TRUE§Z¿,§A¿0,1,1,1,99,2,1,-1,0,0,TRUE,TRUE,1,99,2,1,-1,1,0,TRUE,TRUE§Z¿,§A¿0,1,1,1,11,5,1,-1,0,0,TRUE,TRUE,1,11,5,1,-1,1,0,TRUE,TRUE§Z¿,5)]]></FFF>
                      </SersProps>
                    </Sers>
                  </SersCltn>
                </Cht>
                <Cht>
                  <ChtProps>
                    <MN>58</MN>
                    <MCN>1</MCN>
                    <CPVT>0</CPVT>
                    <SIT>0</SIT>
                    <TLCRSN>1</TLCRSN>
                    <TLCREN>68</TLCREN>
                    <TLCRSRT>5</TLCRSRT>
                    <TLCRCSTN>0</TLCRCSTN>
                    <TLCRIP>0</TLCRIP>
                    <TLCCPT>0</TLCCPT>
                    <TLCCN>30</TLCCN>
                    <TLCCOT>0</TLCCOT>
                    <TLCCOC>0</TLCCOC>
                    <TLCCPTBMCN>0</TLCCPTBMCN>
                    <TLCCPTBN>0</TLCCPTBN>
                    <TLCCIP>0.378376178913288</TLCCIP>
                    <BRCRSN>1</BRCRSN>
                    <BRCREN>78</BRCREN>
                    <BRCRSRT>5</BRCRSRT>
                    <BRCRCSTN>0</BRCRCSTN>
                    <BRCRIP>1</BRCRIP>
                    <BRCCPT>0</BRCCPT>
                    <BRCCN>34</BRCCN>
                    <BRCCOT>0</BRCCOT>
                    <BRCCOC>0</BRCCOC>
                    <BRCCPTBMCN>0</BRCCPTBMCN>
                    <BRCCPTBN>0</BRCCPTBN>
                    <BRCCIP>1.00450230503941</BRCCIP>
                    <N><![CDATA[bpmChartFs_Sum18]]></N>
                    <CSSN><![CDATA[Summary]]></CSSN>
                    <CT>-4111</CT>
                    <SFVT>0</SFVT>
                    <PB>1</PB>
                    <ST>1</ST>
                    <SST>0</SST>
                    <SFCOSTN>0</SFCOSTN>
                    <SLCOSTN>0</SLCOSTN>
                  </ChtProps>
                  <SersCltn>
                    <Sers>
                      <SersProps>
                        <MN>58</MN>
                        <MCN>1</MCN>
                        <CN>9</CN>
                        <FFF><![CDATA[=SERIES(§A¿0,1,0,1,74,1,1,-1,0,0,TRUE,TRUE§Z¿,§A¿0,1,1,1,99,2,1,-1,0,0,TRUE,TRUE,1,99,2,1,-1,1,0,TRUE,TRUE§Z¿,§A¿0,1,1,1,74,2,1,-1,0,0,TRUE,TRUE,1,74,2,1,-1,1,0,TRUE,TRUE§Z¿,1)]]></FFF>
                      </SersProps>
                    </Sers>
                    <Sers>
                      <SersProps>
                        <MN>58</MN>
                        <MCN>1</MCN>
                        <CN>9</CN>
                        <FFF><![CDATA[=SERIES(§A¿0,1,0,1,77,1,1,-1,0,0,TRUE,TRUE§Z¿,§A¿0,1,1,1,99,2,1,-1,0,0,TRUE,TRUE,1,99,2,1,-1,1,0,TRUE,TRUE§Z¿,§A¿0,1,1,1,77,2,1,-1,0,0,TRUE,TRUE,1,77,2,1,-1,1,0,TRUE,TRUE§Z¿,2)]]></FFF>
                      </SersProps>
                    </Sers>
                    <Sers>
                      <SersProps>
                        <MN>58</MN>
                        <MCN>1</MCN>
                        <CN>9</CN>
                        <FFF><![CDATA[=SERIES(§A¿0,1,0,1,84,1,1,-1,0,0,TRUE,TRUE§Z¿,§A¿0,1,1,1,99,2,1,-1,0,0,TRUE,TRUE,1,99,2,1,-1,1,0,TRUE,TRUE§Z¿,§A¿0,1,1,1,84,2,1,-1,0,0,TRUE,TRUE,1,84,2,1,-1,1,0,TRUE,TRUE§Z¿,3)]]></FFF>
                      </SersProps>
                    </Sers>
                    <Sers>
                      <SersProps>
                        <MN>58</MN>
                        <MCN>1</MCN>
                        <CN>9</CN>
                        <FFF><![CDATA[=SERIES(§A¿0,1,0,1,85,1,1,-1,0,0,TRUE,TRUE§Z¿,§A¿0,1,1,1,6,2,1,-1,0,0,TRUE,TRUE,1,6,2,1,-1,1,0,TRUE,TRUE§Z¿,§A¿0,1,1,1,85,2,1,-1,0,0,TRUE,TRUE,1,85,2,1,-1,1,0,TRUE,TRUE§Z¿,4)]]></FFF>
                      </SersProps>
                    </Sers>
                  </SersCltn>
                </Cht>
                <Cht>
                  <ChtProps>
                    <MN>58</MN>
                    <MCN>1</MCN>
                    <CPVT>0</CPVT>
                    <SIT>0</SIT>
                    <TLCRSN>1</TLCRSN>
                    <TLCREN>24</TLCREN>
                    <TLCRSRT>5</TLCRSRT>
                    <TLCRCSTN>0</TLCRCSTN>
                    <TLCRIP>0.97220458984375</TLCRIP>
                    <TLCCPT>0</TLCCPT>
                    <TLCCN>19</TLCCN>
                    <TLCCOT>0</TLCCOT>
                    <TLCCOC>0</TLCCOC>
                    <TLCCPTBMCN>0</TLCCPTBMCN>
                    <TLCCPTBN>0</TLCCPTBN>
                    <TLCCIP>0</TLCCIP>
                    <BRCRSN>1</BRCRSN>
                    <BRCREN>41</BRCREN>
                    <BRCRSRT>5</BRCRSRT>
                    <BRCRCSTN>0</BRCRCSTN>
                    <BRCRIP>1</BRCRIP>
                    <BRCCPT>0</BRCCPT>
                    <BRCCN>24</BRCCN>
                    <BRCCOT>0</BRCCOT>
                    <BRCCOC>0</BRCCOC>
                    <BRCCPTBMCN>0</BRCCPTBMCN>
                    <BRCCPTBN>0</BRCCPTBN>
                    <BRCCIP>1</BRCCIP>
                    <N><![CDATA[bpmChartFs_Sum19]]></N>
                    <CSSN><![CDATA[Summary]]></CSSN>
                    <CT>65</CT>
                    <SFVT>0</SFVT>
                    <PB>1</PB>
                    <ST>1</ST>
                    <SST>0</SST>
                    <SFCOSTN>0</SFCOSTN>
                    <SLCOSTN>0</SLCOSTN>
                  </ChtProps>
                  <SersCltn>
                    <Sers>
                      <SersProps>
                        <MN>58</MN>
                        <MCN>1</MCN>
                        <CN>10</CN>
                        <FFF><![CDATA[=SERIES(§A¿0,1,0,1,7,1,1,-1,0,0,TRUE,TRUE§Z¿,§A¿0,1,1,1,99,2,1,-1,0,0,TRUE,TRUE,1,99,2,1,-1,1,0,TRUE,TRUE§Z¿,§A¿0,1,1,1,7,2,1,-1,0,0,TRUE,TRUE,1,7,2,1,-1,1,0,TRUE,TRUE§Z¿,1)]]></FFF>
                      </SersProps>
                    </Sers>
                    <Sers>
                      <SersProps>
                        <MN>58</MN>
                        <MCN>1</MCN>
                        <CN>10</CN>
                        <FFF><![CDATA[=SERIES(§A¿0,1,0,1,9,1,1,-1,0,0,TRUE,TRUE§Z¿,§A¿0,1,1,1,99,2,1,-1,0,0,TRUE,TRUE,1,99,2,1,-1,1,0,TRUE,TRUE§Z¿,§A¿0,1,1,1,9,2,1,-1,0,0,TRUE,TRUE,1,9,2,1,-1,1,0,TRUE,TRUE§Z¿,2)]]></FFF>
                      </SersProps>
                    </Sers>
                    <Sers>
                      <SersProps>
                        <MN>58</MN>
                        <MCN>1</MCN>
                        <CN>10</CN>
                        <FFF><![CDATA[=SERIES(§A¿0,1,0,1,14,1,1,-1,0,0,TRUE,TRUE§Z¿,§A¿0,1,1,1,99,2,1,-1,0,0,TRUE,TRUE,1,99,2,1,-1,1,0,TRUE,TRUE§Z¿,§A¿0,1,1,1,14,2,1,-1,0,0,TRUE,TRUE,1,14,2,1,-1,1,0,TRUE,TRUE§Z¿,3)]]></FFF>
                      </SersProps>
                    </Sers>
                    <Sers>
                      <SersProps>
                        <MN>58</MN>
                        <MCN>1</MCN>
                        <CN>10</CN>
                        <FFF><![CDATA[=SERIES(§A¿0,1,0,1,17,1,1,-1,0,0,TRUE,TRUE§Z¿,§A¿0,1,1,1,99,2,1,-1,0,0,TRUE,TRUE,1,99,2,1,-1,1,0,TRUE,TRUE§Z¿,§A¿0,1,1,1,17,2,1,-1,0,0,TRUE,TRUE,1,17,2,1,-1,1,0,TRUE,TRUE§Z¿,4)]]></FFF>
                      </SersProps>
                    </Sers>
                    <Sers>
                      <SersProps>
                        <MN>58</MN>
                        <MCN>1</MCN>
                        <CN>10</CN>
                        <FFF><![CDATA[=SERIES(§A¿0,1,0,1,20,1,1,-1,0,0,TRUE,TRUE§Z¿,§A¿0,1,1,1,99,2,1,-1,0,0,TRUE,TRUE,1,99,2,1,-1,1,0,TRUE,TRUE§Z¿,§A¿0,1,1,1,20,2,1,-1,0,0,TRUE,TRUE,1,20,2,1,-1,1,0,TRUE,TRUE§Z¿,5)]]></FFF>
                      </SersProps>
                    </Sers>
                    <Sers>
                      <SersProps>
                        <MN>58</MN>
                        <MCN>1</MCN>
                        <CN>10</CN>
                        <FFF><![CDATA[=SERIES(§A¿0,1,0,1,23,1,1,-1,0,0,TRUE,TRUE§Z¿,§A¿0,1,1,1,99,2,1,-1,0,0,TRUE,TRUE,1,99,2,1,-1,1,0,TRUE,TRUE§Z¿,§A¿0,1,1,1,23,2,1,-1,0,0,TRUE,TRUE,1,23,2,1,-1,1,0,TRUE,TRUE§Z¿,6)]]></FFF>
                      </SersProps>
                    </Sers>
                  </SersCltn>
                </Cht>
              </Chts>
              <ResShps>
                <ResShp>
                  <ResShpProps>
                    <MN>58</MN>
                    <MCN>1</MCN>
                    <SIT>0</SIT>
                    <TLCRSN>1</TLCRSN>
                    <TLCREN>23</TLCREN>
                    <TLCRSRT>5</TLCRSRT>
                    <TLCRCSTN>0</TLCRCSTN>
                    <TLCRIP>0.89999959309896</TLCRIP>
                    <TLCCPT>0</TLCCPT>
                    <TLCCN>25</TLCCN>
                    <TLCCOT>0</TLCCOT>
                    <TLCCOC>0</TLCCOC>
                    <TLCCPTBMCN>0</TLCCPTBMCN>
                    <TLCCPTBN>0</TLCCPTBN>
                    <TLCCIP>0</TLCCIP>
                    <BRCRSN>1</BRCRSN>
                    <BRCREN>25</BRCREN>
                    <BRCRSRT>5</BRCRSRT>
                    <BRCRCSTN>0</BRCRCSTN>
                    <BRCRIP>0.0921045684814468</BRCRIP>
                    <BRCCPT>0</BRCCPT>
                    <BRCCN>25</BRCCN>
                    <BRCCOT>0</BRCCOT>
                    <BRCCOC>0</BRCCOC>
                    <BRCCPTBMCN>0</BRCCPTBMCN>
                    <BRCCPTBN>0</BRCCPTBN>
                    <BRCCIP>0.365740740740741</BRCCIP>
                    <N><![CDATA[bpmShapeFs_Sum1]]></N>
                    <CSSN>Summary</CSSN>
                    <WLN>0</WLN>
                  </ResShpProps>
                </ResShp>
                <ResShp>
                  <ResShpProps>
                    <MN>58</MN>
                    <MCN>1</MCN>
                    <SIT>0</SIT>
                    <TLCRSN>1</TLCRSN>
                    <TLCREN>23</TLCREN>
                    <TLCRSRT>5</TLCRSRT>
                    <TLCRCSTN>0</TLCRCSTN>
                    <TLCRIP>0.89999959309896</TLCRIP>
                    <TLCCPT>0</TLCCPT>
                    <TLCCN>29</TLCCN>
                    <TLCCOT>0</TLCCOT>
                    <TLCCOC>0</TLCCOC>
                    <TLCCPTBMCN>0</TLCCPTBMCN>
                    <TLCCPTBN>0</TLCCPTBN>
                    <TLCCIP>0.997217248987268</TLCCIP>
                    <BRCRSN>1</BRCRSN>
                    <BRCREN>25</BRCREN>
                    <BRCRSRT>5</BRCRSRT>
                    <BRCRCSTN>0</BRCRCSTN>
                    <BRCRIP>0.0921045684814468</BRCRIP>
                    <BRCCPT>0</BRCCPT>
                    <BRCCN>30</BRCCN>
                    <BRCCOT>0</BRCCOT>
                    <BRCCOC>0</BRCCOC>
                    <BRCCPTBMCN>0</BRCCPTBMCN>
                    <BRCCPTBN>0</BRCCPTBN>
                    <BRCCIP>0.365735760441533</BRCCIP>
                    <N><![CDATA[bpmShapeFs_Sum2]]></N>
                    <CSSN>Summary</CSSN>
                    <WLN>0</WLN>
                  </ResShpProps>
                </ResShp>
                <ResShp>
                  <ResShpProps>
                    <MN>58</MN>
                    <MCN>1</MCN>
                    <SIT>0</SIT>
                    <TLCRSN>1</TLCRSN>
                    <TLCREN>41</TLCREN>
                    <TLCRSRT>5</TLCRSRT>
                    <TLCRCSTN>0</TLCRCSTN>
                    <TLCRIP>0.874981282552085</TLCRIP>
                    <TLCCPT>0</TLCCPT>
                    <TLCCN>25</TLCCN>
                    <TLCCOT>0</TLCCOT>
                    <TLCCOC>0</TLCCOC>
                    <TLCCPTBMCN>0</TLCCPTBMCN>
                    <TLCCPTBN>0</TLCCPTBN>
                    <TLCCIP>0</TLCCIP>
                    <BRCRSN>1</BRCRSN>
                    <BRCREN>43</BRCREN>
                    <BRCRSRT>5</BRCRSRT>
                    <BRCRCSTN>0</BRCRCSTN>
                    <BRCRIP>0.124981282552085</BRCRIP>
                    <BRCCPT>0</BRCCPT>
                    <BRCCN>25</BRCCN>
                    <BRCCOT>0</BRCCOT>
                    <BRCCOC>0</BRCCOC>
                    <BRCCPTBMCN>0</BRCCPTBMCN>
                    <BRCCPTBN>0</BRCCPTBN>
                    <BRCCIP>0.365740740740741</BRCCIP>
                    <N><![CDATA[bpmShapeFs_Sum3]]></N>
                    <CSSN>Summary</CSSN>
                    <WLN>0</WLN>
                  </ResShpProps>
                </ResShp>
                <ResShp>
                  <ResShpProps>
                    <MN>58</MN>
                    <MCN>1</MCN>
                    <SIT>0</SIT>
                    <TLCRSN>1</TLCRSN>
                    <TLCREN>41</TLCREN>
                    <TLCRSRT>5</TLCRSRT>
                    <TLCRCSTN>0</TLCRCSTN>
                    <TLCRIP>0.874981282552085</TLCRIP>
                    <TLCCPT>0</TLCCPT>
                    <TLCCN>29</TLCCN>
                    <TLCCOT>0</TLCCOT>
                    <TLCCOC>0</TLCCOC>
                    <TLCCPTBMCN>0</TLCCPTBMCN>
                    <TLCCPTBN>0</TLCCPTBN>
                    <TLCCIP>0.997217248987268</TLCCIP>
                    <BRCRSN>1</BRCRSN>
                    <BRCREN>43</BRCREN>
                    <BRCRSRT>5</BRCRSRT>
                    <BRCRCSTN>0</BRCRCSTN>
                    <BRCRIP>0.124981282552085</BRCRIP>
                    <BRCCPT>0</BRCCPT>
                    <BRCCN>30</BRCCN>
                    <BRCCOT>0</BRCCOT>
                    <BRCCOC>0</BRCCOC>
                    <BRCCPTBMCN>0</BRCCPTBMCN>
                    <BRCCPTBN>0</BRCCPTBN>
                    <BRCCIP>0.37386057111952</BRCCIP>
                    <N><![CDATA[bpmShapeFs_Sum4]]></N>
                    <CSSN>Summary</CSSN>
                    <WLN>0</WLN>
                  </ResShpProps>
                </ResShp>
                <ResShp>
                  <ResShpProps>
                    <MN>58</MN>
                    <MCN>1</MCN>
                    <SIT>0</SIT>
                    <TLCRSN>1</TLCRSN>
                    <TLCREN>53</TLCREN>
                    <TLCRSRT>5</TLCRSRT>
                    <TLCRCSTN>0</TLCRCSTN>
                    <TLCRIP>0.874981282552085</TLCRIP>
                    <TLCCPT>0</TLCCPT>
                    <TLCCN>29</TLCCN>
                    <TLCCOT>0</TLCCOT>
                    <TLCCOC>0</TLCCOC>
                    <TLCCPTBMCN>0</TLCCPTBMCN>
                    <TLCCPTBN>0</TLCCPTBN>
                    <TLCCIP>0.997217248987268</TLCCIP>
                    <BRCRSN>1</BRCRSN>
                    <BRCREN>55</BRCREN>
                    <BRCRSRT>5</BRCRSRT>
                    <BRCRCSTN>0</BRCRCSTN>
                    <BRCRIP>0.124976069132489</BRCRIP>
                    <BRCCPT>0</BRCCPT>
                    <BRCCN>30</BRCCN>
                    <BRCCOT>0</BRCCOT>
                    <BRCCOC>0</BRCCOC>
                    <BRCCPTBMCN>0</BRCCPTBMCN>
                    <BRCCPTBN>0</BRCCPTBN>
                    <BRCCIP>0.37386057111952</BRCCIP>
                    <N><![CDATA[bpmShapeFs_Sum5]]></N>
                    <CSSN>Summary</CSSN>
                    <WLN>0</WLN>
                  </ResShpProps>
                </ResShp>
                <ResShp>
                  <ResShpProps>
                    <MN>58</MN>
                    <MCN>1</MCN>
                    <SIT>0</SIT>
                    <TLCRSN>1</TLCRSN>
                    <TLCREN>66</TLCREN>
                    <TLCRSRT>5</TLCRSRT>
                    <TLCRCSTN>0</TLCRCSTN>
                    <TLCRIP>0.874981282552085</TLCRIP>
                    <TLCCPT>0</TLCCPT>
                    <TLCCN>29</TLCCN>
                    <TLCCOT>0</TLCCOT>
                    <TLCCOC>0</TLCCOC>
                    <TLCCPTBMCN>0</TLCCPTBMCN>
                    <TLCCPTBN>0</TLCCPTBN>
                    <TLCCIP>0.997217248987268</TLCCIP>
                    <BRCRSN>1</BRCRSN>
                    <BRCREN>68</BRCREN>
                    <BRCRSRT>5</BRCRSRT>
                    <BRCRCSTN>0</BRCRCSTN>
                    <BRCRIP>0.124986495971674</BRCRIP>
                    <BRCCPT>0</BRCCPT>
                    <BRCCN>30</BRCCN>
                    <BRCCOT>0</BRCCOT>
                    <BRCCOC>0</BRCCOC>
                    <BRCCPTBMCN>0</BRCCPTBMCN>
                    <BRCCPTBN>0</BRCCPTBN>
                    <BRCCIP>0.37386057111952</BRCCIP>
                    <N><![CDATA[bpmShapeFs_Sum6]]></N>
                    <CSSN>Summary</CSSN>
                    <WLN>0</WLN>
                  </ResShpProps>
                </ResShp>
                <ResShp>
                  <ResShpProps>
                    <MN>58</MN>
                    <MCN>1</MCN>
                    <SIT>0</SIT>
                    <TLCRSN>1</TLCRSN>
                    <TLCREN>78</TLCREN>
                    <TLCRSRT>5</TLCRSRT>
                    <TLCRCSTN>0</TLCRCSTN>
                    <TLCRIP>0.874985351562494</TLCRIP>
                    <TLCCPT>0</TLCCPT>
                    <TLCCN>29</TLCCN>
                    <TLCCOT>0</TLCCOT>
                    <TLCCOC>0</TLCCOC>
                    <TLCCPTBMCN>0</TLCCPTBMCN>
                    <TLCCPTBN>0</TLCCPTBN>
                    <TLCCIP>0.997217248987268</TLCCIP>
                    <BRCRSN>1</BRCRSN>
                    <BRCREN>80</BRCREN>
                    <BRCRSRT>5</BRCRSRT>
                    <BRCRCSTN>0</BRCRCSTN>
                    <BRCRIP>0.124985351562494</BRCRIP>
                    <BRCCPT>0</BRCCPT>
                    <BRCCN>30</BRCCN>
                    <BRCCOT>0</BRCCOT>
                    <BRCCOC>0</BRCCOC>
                    <BRCCPTBMCN>0</BRCCPTBMCN>
                    <BRCCPTBN>0</BRCCPTBN>
                    <BRCCIP>0.37386057111952</BRCCIP>
                    <N><![CDATA[bpmShapeFs_Sum7]]></N>
                    <CSSN>Summary</CSSN>
                    <WLN>0</WLN>
                  </ResShpProps>
                </ResShp>
              </ResShps>
              <ModCompPrntStgs>
                <ModCompPrntStgsProps>
                  <MCN>1</MCN>
                  <PO>2</PO>
                  <Z>False</Z>
                  <FTPW>1</FTPW>
                  <FTPT>1</FTPT>
                  <PS>8</PS>
                  <CH>False</CH>
                  <CV>False</CV>
                  <TLCRSN>1</TLCRSN>
                  <TLCREN>2</TLCREN>
                  <TLCRSRT>5</TLCRSRT>
                  <TLCRCSTN>0</TLCRCSTN>
                  <TLCROR>0</TLCROR>
                  <TLCCPT>0</TLCCPT>
                  <TLCCN>2</TLCCN>
                  <TLCCOT>0</TLCCOT>
                  <TLCCOC>0</TLCCOC>
                  <TLCCPTBMCN>0</TLCCPTBMCN>
                  <TLCCPTBN>0</TLCCPTBN>
                  <BRCRSN>1</BRCRSN>
                  <BRCREN>85</BRCREN>
                  <BRCRSRT>5</BRCRSRT>
                  <BRCRCSTN>0</BRCRCSTN>
                  <BRCROR>0</BRCROR>
                  <BRCCPT>0</BRCCPT>
                  <BRCCN>34</BRCCN>
                  <BRCCOT>0</BRCCOT>
                  <BRCCOC>0</BRCCOC>
                  <BRCCPTBMCN>0</BRCCPTBMCN>
                  <BRCCPTBN>0</BRCCPTBN>
                  <PTRFRN>0</PTRFRN>
                  <PTRLRN>0</PTRLRN>
                  <PTCFCN>0</PTCFCN>
                  <PTCLCN>0</PTCLCN>
                  <HPB/>
                  <FPC/>
                  <MHFC>False</MHFC>
                  <ML>0</ML>
                  <MR>0</MR>
                  <MT>0</MT>
                  <MB>0</MB>
                  <MH>0</MH>
                  <MF>0</MF>
                  <HL/>
                  <HC/>
                  <HR/>
                  <FL/>
                  <FC/>
                  <FR/>
                </ModCompPrntStgsProps>
              </ModCompPrntStgs>
            </ModComp>
            <ModComp>
              <ModCompProps>
                <MN>58</MN>
                <MCN>2</MCN>
                <MCTK>LU</MCTK>
                <RT><![CDATA[<ModuleName> - Lookups]]></RT>
                <ERN>MODMC9</ERN>
                <MCST>3</MCST>
                <IPMC>False</IPMC>
                <SN>19</SN>
                <LODS>False</LODS>
                <LST>False</LST>
                <RSTF>False</RSTF>
                <STRA>0</STRA>
                <HS>False</HS>
                <IBOA>0</IBOA>
                <IB>True</IB>
                <CI/>
                <PTI/>
                <PTP>False</PTP>
                <PTD/>
                <PTMCN>0</PTMCN>
                <CROL>0</CROL>
                <CCOL>0</CCOL>
                <AMFN>0</AMFN>
              </ModCompProps>
              <Sects>
                <Sect>
                  <SectProps>
                    <LI>2,1</LI>
                    <EGN>0</EGN>
                  </SectProps>
                  <Elmts>
                    <Elmt>
                      <ElmtProps>
                        <CPT>2</CPT>
                      </ElmtProps>
                      <TtlCtg/>
                    </Elmt>
                    <Elmt>
                      <ElmtProps>
                        <CPT>2</CPT>
                      </ElmtProps>
                      <ClmnBlks>
                        <ClmnBlk>
                          <ClmnBlkProps>
                            <FCPT>0</FCPT>
                            <FCN>2</FCN>
                            <LCPT>0</LCPT>
                            <LCN>2</LCN>
                          </ClmnBlkProps>
                          <ClmnBlkPts>
                            <ClmnBlkPt>
                              <ClmnBlkPtProps>
                                <CBPT>5</CBPT>
                                <HCTHR>True</HCTHR>
                                <CTHN>31</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4</R>
                        </TtlCtgProps>
                      </TtlCtg>
                    </Elmt>
                    <Elmt>
                      <ElmtProps>
                        <CPT>2</CPT>
                      </ElmtProps>
                      <ClmnBlks>
                        <ClmnBlk>
                          <ClmnBlkProps>
                            <FCPT>0</FCPT>
                            <FCN>3</FCN>
                            <LCPT>0</LCPT>
                            <LCN>5</LCN>
                          </ClmnBlkProps>
                          <ClmnBlkPts>
                            <ClmnBlkPt>
                              <ClmnBlkPtProps>
                                <CBPT>5</CBPT>
                                <ST>4</ST>
                                <MC>True</MC>
                                <VOFFF><![CDATA[First Displayed Period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4</R>
                        </TtlCtgProps>
                      </TtlCtg>
                    </Elmt>
                    <Elmt>
                      <ElmtProps>
                        <CPT>2</CPT>
                      </ElmtProps>
                      <TtlCtg>
                        <TtlCtgProps>
                          <R>4</R>
                        </TtlCtgProps>
                      </TtlCtg>
                    </Elmt>
                    <Elmt>
                      <ElmtProps>
                        <CPT>0</CPT>
                        <TOT>True</TOT>
                        <EGN>3</EGN>
                      </ElmtProps>
                      <ClmnBlks>
                        <ClmnBlk>
                          <ClmnBlkProps>
                            <FCPT>0</FCPT>
                            <FCN>4</FCN>
                            <LCPT>0</LCPT>
                            <LCN>4</LCN>
                          </ClmnBlkProps>
                          <ClmnBlkPts>
                            <ClmnBlkPt>
                              <ClmnBlkPtProps>
                                <CBPT>0</CBPT>
                                <ST>25</ST>
                                <SON>21</SON>
                                <VOFFF><![CDATA[=EDATE(§A¿7,1,1,1,9,0,2,1,1§Z¿,ROWS(§A¿0,2,1,1,6,1,1,1,0,0,TRUE,FALSE,1,6,1,1,0,0,0,FALSE,FALSE§Z¿))-1]]></VOFFF>
                              </ClmnBlkPtProps>
                              <RgeNmes>
                                <RgeNme>
                                  <RgeNmeProps>
                                    <CBPLI>2,1,6,1,1</CBPLI>
                                    <MCN>2</MCN>
                                    <SN>1</SN>
                                    <EN>6</EN>
                                    <CN>0</CN>
                                    <CBN>1</CBN>
                                    <CBPN>1</CBPN>
                                    <PT>1</PT>
                                    <CBPRNT>2</CBPRNT>
                                    <NT>11</NT>
                                    <SP1><![CDATA[First_Disp_Pe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First Displayed Peri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Fs_Sum_First_Disp_Per]]></VOFFF>
                              </ClmnBlkPtProps>
                            </ClmnBlkPt>
                          </ClmnBlkPts>
                        </ClmnBlk>
                      </ClmnBlks>
                      <SubTtls>
                        <SubTtl>
                          <Ctgs>
                            <Ctg>
                              <CtgProps>
                                <R>4</R>
                              </CtgProps>
                              <LuTblLbl>
                                <LuTblLblProps>
                                  <CLI>2,1,6,False,1</CLI>
                                  <L><![CDATA[Lookup Label <CategoryNumber>.]]></L>
                                </LuTblLblProps>
                              </LuTblLbl>
                            </Ctg>
                            <Ctg>
                              <CtgProps>
                                <R>4</R>
                              </CtgProps>
                              <LuTblLbl>
                                <LuTblLblProps>
                                  <CLI>2,1,6,False,2</CLI>
                                  <L><![CDATA[Lookup Label <CategoryNumber>.]]></L>
                                </LuTblLblProps>
                              </LuTblLbl>
                            </Ctg>
                            <Ctg>
                              <CtgProps>
                                <R>4</R>
                              </CtgProps>
                              <LuTblLbl>
                                <LuTblLblProps>
                                  <CLI>2,1,6,False,3</CLI>
                                  <L><![CDATA[Lookup Label <CategoryNumber>.]]></L>
                                </LuTblLblProps>
                              </LuTblLbl>
                            </Ctg>
                            <Ctg>
                              <CtgProps>
                                <R>4</R>
                              </CtgProps>
                              <LuTblLbl>
                                <LuTblLblProps>
                                  <CLI>2,1,6,False,4</CLI>
                                  <L><![CDATA[Lookup Label <CategoryNumber>.]]></L>
                                </LuTblLblProps>
                              </LuTblLbl>
                            </Ctg>
                            <Ctg>
                              <CtgProps>
                                <R>4</R>
                              </CtgProps>
                              <LuTblLbl>
                                <LuTblLblProps>
                                  <CLI>2,1,6,False,5</CLI>
                                  <L><![CDATA[Lookup Label <CategoryNumber>.]]></L>
                                </LuTblLblProps>
                              </LuTblLbl>
                            </Ctg>
                            <Ctg>
                              <CtgProps>
                                <R>4</R>
                              </CtgProps>
                              <LuTblLbl>
                                <LuTblLblProps>
                                  <CLI>2,1,6,False,6</CLI>
                                  <L><![CDATA[Lookup Label <CategoryNumber>.]]></L>
                                </LuTblLblProps>
                              </LuTblLbl>
                            </Ctg>
                            <Ctg>
                              <CtgProps>
                                <R>4</R>
                              </CtgProps>
                              <LuTblLbl>
                                <LuTblLblProps>
                                  <CLI>2,1,6,False,7</CLI>
                                  <L><![CDATA[Lookup Label <CategoryNumber>.]]></L>
                                </LuTblLblProps>
                              </LuTblLbl>
                            </Ctg>
                            <Ctg>
                              <CtgProps>
                                <R>4</R>
                              </CtgProps>
                              <LuTblLbl>
                                <LuTblLblProps>
                                  <CLI>2,1,6,False,8</CLI>
                                  <L><![CDATA[Lookup Label <CategoryNumber>.]]></L>
                                </LuTblLblProps>
                              </LuTblLbl>
                            </Ctg>
                            <Ctg>
                              <CtgProps>
                                <R>4</R>
                              </CtgProps>
                              <LuTblLbl>
                                <LuTblLblProps>
                                  <CLI>2,1,6,False,9</CLI>
                                  <L><![CDATA[Lookup Label <CategoryNumber>.]]></L>
                                </LuTblLblProps>
                              </LuTblLbl>
                            </Ctg>
                            <Ctg>
                              <CtgProps>
                                <R>4</R>
                              </CtgProps>
                              <LuTblLbl>
                                <LuTblLblProps>
                                  <CLI>2,1,6,False,10</CLI>
                                  <L><![CDATA[Lookup Label <CategoryNumber>.]]></L>
                                </LuTblLblProps>
                              </LuTblLbl>
                            </Ctg>
                            <Ctg>
                              <CtgProps>
                                <R>4</R>
                              </CtgProps>
                              <LuTblLbl>
                                <LuTblLblProps>
                                  <CLI>2,1,6,False,11</CLI>
                                  <L><![CDATA[Lookup Label <CategoryNumber>.]]></L>
                                </LuTblLblProps>
                              </LuTblLbl>
                            </Ctg>
                            <Ctg>
                              <CtgProps>
                                <R>4</R>
                              </CtgProps>
                              <LuTblLbl>
                                <LuTblLblProps>
                                  <CLI>2,1,6,False,12</CLI>
                                  <L><![CDATA[Lookup Label <CategoryNumber>.]]></L>
                                </LuTblLblProps>
                              </LuTblLbl>
                            </Ctg>
                            <Ctg>
                              <CtgProps>
                                <R>4</R>
                              </CtgProps>
                              <LuTblLbl>
                                <LuTblLblProps>
                                  <CLI>2,1,6,False,13</CLI>
                                  <L><![CDATA[Lookup Label <CategoryNumber>.]]></L>
                                </LuTblLblProps>
                              </LuTblLbl>
                            </Ctg>
                            <Ctg>
                              <CtgProps>
                                <R>4</R>
                              </CtgProps>
                              <LuTblLbl>
                                <LuTblLblProps>
                                  <CLI>2,1,6,False,14</CLI>
                                  <L><![CDATA[Lookup Label <CategoryNumber>.]]></L>
                                </LuTblLblProps>
                              </LuTblLbl>
                            </Ctg>
                            <Ctg>
                              <CtgProps>
                                <R>4</R>
                              </CtgProps>
                              <LuTblLbl>
                                <LuTblLblProps>
                                  <CLI>2,1,6,False,15</CLI>
                                  <L><![CDATA[Lookup Label <CategoryNumber>.]]></L>
                                </LuTblLblProps>
                              </LuTblLbl>
                            </Ctg>
                            <Ctg>
                              <CtgProps>
                                <R>4</R>
                              </CtgProps>
                              <LuTblLbl>
                                <LuTblLblProps>
                                  <CLI>2,1,6,False,16</CLI>
                                  <L><![CDATA[Lookup Label <CategoryNumber>.]]></L>
                                </LuTblLblProps>
                              </LuTblLbl>
                            </Ctg>
                            <Ctg>
                              <CtgProps>
                                <R>4</R>
                              </CtgProps>
                              <LuTblLbl>
                                <LuTblLblProps>
                                  <CLI>2,1,6,False,17</CLI>
                                  <L><![CDATA[Lookup Label <CategoryNumber>.]]></L>
                                </LuTblLblProps>
                              </LuTblLbl>
                            </Ctg>
                            <Ctg>
                              <CtgProps>
                                <R>4</R>
                              </CtgProps>
                              <LuTblLbl>
                                <LuTblLblProps>
                                  <CLI>2,1,6,False,18</CLI>
                                  <L><![CDATA[Lookup Label <CategoryNumber>.]]></L>
                                </LuTblLblProps>
                              </LuTblLbl>
                            </Ctg>
                            <Ctg>
                              <CtgProps>
                                <R>4</R>
                              </CtgProps>
                              <LuTblLbl>
                                <LuTblLblProps>
                                  <CLI>2,1,6,False,19</CLI>
                                  <L><![CDATA[Lookup Label <CategoryNumber>.]]></L>
                                </LuTblLblProps>
                              </LuTblLbl>
                            </Ctg>
                            <Ctg>
                              <CtgProps>
                                <R>4</R>
                              </CtgProps>
                              <LuTblLbl>
                                <LuTblLblProps>
                                  <CLI>2,1,6,False,20</CLI>
                                  <L><![CDATA[Lookup Label <CategoryNumber>.]]></L>
                                </LuTblLblProps>
                              </LuTblLbl>
                            </Ctg>
                            <Ctg>
                              <CtgProps>
                                <R>4</R>
                              </CtgProps>
                              <LuTblLbl>
                                <LuTblLblProps>
                                  <CLI>2,1,6,False,21</CLI>
                                  <L><![CDATA[Lookup Label <CategoryNumber>.]]></L>
                                </LuTblLblProps>
                              </LuTblLbl>
                            </Ctg>
                            <Ctg>
                              <CtgProps>
                                <R>4</R>
                              </CtgProps>
                              <LuTblLbl>
                                <LuTblLblProps>
                                  <CLI>2,1,6,False,22</CLI>
                                  <L><![CDATA[Lookup Label <CategoryNumber>.]]></L>
                                </LuTblLblProps>
                              </LuTblLbl>
                            </Ctg>
                            <Ctg>
                              <CtgProps>
                                <R>4</R>
                              </CtgProps>
                              <LuTblLbl>
                                <LuTblLblProps>
                                  <CLI>2,1,6,False,23</CLI>
                                  <L><![CDATA[Lookup Label <CategoryNumber>.]]></L>
                                </LuTblLblProps>
                              </LuTblLbl>
                            </Ctg>
                            <Ctg>
                              <CtgProps>
                                <R>4</R>
                              </CtgProps>
                              <LuTblLbl>
                                <LuTblLblProps>
                                  <CLI>2,1,6,False,24</CLI>
                                  <L><![CDATA[Lookup Label <CategoryNumber>.]]></L>
                                </LuTblLblProps>
                              </LuTblLbl>
                            </Ctg>
                            <Ctg>
                              <CtgProps>
                                <R>4</R>
                              </CtgProps>
                              <LuTblLbl>
                                <LuTblLblProps>
                                  <CLI>2,1,6,False,25</CLI>
                                  <L><![CDATA[Lookup Label <CategoryNumber>.]]></L>
                                </LuTblLblProps>
                              </LuTblLbl>
                            </Ctg>
                            <Ctg>
                              <CtgProps>
                                <R>4</R>
                              </CtgProps>
                              <LuTblLbl>
                                <LuTblLblProps>
                                  <CLI>2,1,6,False,26</CLI>
                                  <L><![CDATA[Lookup Label <CategoryNumber>.]]></L>
                                </LuTblLblProps>
                              </LuTblLbl>
                            </Ctg>
                            <Ctg>
                              <CtgProps>
                                <R>4</R>
                              </CtgProps>
                              <LuTblLbl>
                                <LuTblLblProps>
                                  <CLI>2,1,6,False,27</CLI>
                                  <L><![CDATA[Lookup Label <CategoryNumber>.]]></L>
                                </LuTblLblProps>
                              </LuTblLbl>
                            </Ctg>
                            <Ctg>
                              <CtgProps>
                                <R>4</R>
                              </CtgProps>
                              <LuTblLbl>
                                <LuTblLblProps>
                                  <CLI>2,1,6,False,28</CLI>
                                  <L><![CDATA[Lookup Label <CategoryNumber>.]]></L>
                                </LuTblLblProps>
                              </LuTblLbl>
                            </Ctg>
                            <Ctg>
                              <CtgProps>
                                <R>4</R>
                              </CtgProps>
                              <LuTblLbl>
                                <LuTblLblProps>
                                  <CLI>2,1,6,False,29</CLI>
                                  <L><![CDATA[Lookup Label <CategoryNumber>.]]></L>
                                </LuTblLblProps>
                              </LuTblLbl>
                            </Ctg>
                            <Ctg>
                              <CtgProps>
                                <R>4</R>
                              </CtgProps>
                              <LuTblLbl>
                                <LuTblLblProps>
                                  <CLI>2,1,6,False,30</CLI>
                                  <L><![CDATA[Lookup Label <CategoryNumber>.]]></L>
                                </LuTblLblProps>
                              </LuTblLbl>
                            </Ctg>
                            <Ctg>
                              <CtgProps>
                                <R>4</R>
                              </CtgProps>
                              <LuTblLbl>
                                <LuTblLblProps>
                                  <CLI>2,1,6,False,31</CLI>
                                  <L><![CDATA[Lookup Label <CategoryNumber>.]]></L>
                                </LuTblLblProps>
                              </LuTblLbl>
                            </Ctg>
                            <Ctg>
                              <CtgProps>
                                <R>4</R>
                              </CtgProps>
                              <LuTblLbl>
                                <LuTblLblProps>
                                  <CLI>2,1,6,False,32</CLI>
                                  <L><![CDATA[Lookup Label <CategoryNumber>.]]></L>
                                </LuTblLblProps>
                              </LuTblLbl>
                            </Ctg>
                            <Ctg>
                              <CtgProps>
                                <R>4</R>
                              </CtgProps>
                              <LuTblLbl>
                                <LuTblLblProps>
                                  <CLI>2,1,6,False,33</CLI>
                                  <L><![CDATA[Lookup Label <CategoryNumber>.]]></L>
                                </LuTblLblProps>
                              </LuTblLbl>
                            </Ctg>
                            <Ctg>
                              <CtgProps>
                                <R>4</R>
                              </CtgProps>
                              <LuTblLbl>
                                <LuTblLblProps>
                                  <CLI>2,1,6,False,34</CLI>
                                  <L><![CDATA[Lookup Label <CategoryNumber>.]]></L>
                                </LuTblLblProps>
                              </LuTblLbl>
                            </Ctg>
                            <Ctg>
                              <CtgProps>
                                <R>4</R>
                              </CtgProps>
                              <LuTblLbl>
                                <LuTblLblProps>
                                  <CLI>2,1,6,False,35</CLI>
                                  <L><![CDATA[Lookup Label <CategoryNumber>.]]></L>
                                </LuTblLblProps>
                              </LuTblLbl>
                            </Ctg>
                            <Ctg>
                              <CtgProps>
                                <R>4</R>
                              </CtgProps>
                              <LuTblLbl>
                                <LuTblLblProps>
                                  <CLI>2,1,6,False,36</CLI>
                                  <L><![CDATA[Lookup Label <CategoryNumber>.]]></L>
                                </LuTblLblProps>
                              </LuTblLbl>
                            </Ctg>
                          </Ctgs>
                        </SubTtl>
                      </SubTtls>
                      <TtlCtg>
                        <TtlCtgProps>
                          <R>4</R>
                        </TtlCtgProps>
                      </TtlCtg>
                    </Elmt>
                  </Elmts>
                </Sect>
              </Sects>
            </ModComp>
          </ModComps>
        </Mod>
        <Mod>
          <ModProps>
            <MVS>14.0.5.0</MVS>
            <RAV/>
            <RXV>0</RXV>
            <FV>3</FV>
            <MT>0</MT>
            <SCT>-1</SCT>
            <P><![CDATA[Fs_Sum]]></P>
            <OI>300</OI>
            <MN>2</MN>
            <MAG>0E45B0A4-BB6F-4798-AC8B-7C4671EA5BC0</MAG>
            <BN><![CDATA[Summary]]></BN>
            <N><![CDATA[Summary (2)]]></N>
            <TS><![CDATA[Contains time series-based catgories groups and may contain global list-based categories groups, time series assumptions and/or lookup tables.]]></TS>
            <D><![CDATA[Provides a tabulated and graphical summary of the information within an income statement and its related balance sheet and cash flow statement.]]></D>
            <FS><![CDATA[Provides a tabulated and graphical summary of the information within an income statement and its related balance sheet and cash flow statement.]]></FS>
            <R><![CDATA[United Kingdom]]></R>
            <GE><![CDATA[Financial Statements Summary Dashboard]]></GE>
            <CA><![CDATA[Chart of Accounts 2]]></CA>
            <VA><![CDATA[Single Component]]></VA>
            <GST><![CDATA[VAT]]></GST>
            <DE><![CDATA[Modano]]></DE>
            <E><![CDATA[info@modano.com]]></E>
            <C><![CDATA[Modano]]></C>
            <W><![CDATA[www.modano.com]]></W>
            <K/>
            <CO/>
            <V>10.22.5.1.</V>
            <AX>2</AX>
            <SX/>
            <PMLO>False</PMLO>
            <IPMLO>False</IPMLO>
            <MACA>0</MACA>
            <HP>False</HP>
            <DR>False</DR>
            <RTSM>True</RTSM>
            <CC>False</CC>
            <X>False</X>
            <G>77E7B668-F135-4AB6-A81C-6669BF1EDC76</G>
          </ModProps>
          <RowStgs>
            <RowStg>
              <RowStgProps>
                <RSN>1</RSN>
                <RHST>0</RHST>
                <HS>0</HS>
                <OL>2</OL>
                <RH>False</RH>
              </RowStgProps>
            </RowStg>
          </RowStgs>
          <StlOvlys>
            <StlOvly>
              <StlOvlyProps>
                <SON>1</SON>
                <INF>True</INF>
                <NT>-2</NT>
                <DP>0</DP>
                <CNF><![CDATA[mmmm yyyy]]></CNF>
              </StlOvlyProps>
            </StlOvly>
          </StlOvlys>
          <ElmtsGrps>
            <ElmtsGrp>
              <ElmtsGrpProps>
                <NU>1</NU>
                <NA><![CDATA[First Displayed Periods]]></NA>
                <EGT>1</EGT>
                <DCC>0</DCC>
                <AST>False</AST>
                <ISTH>True</ISTH>
                <PTMCN>4</PTMCN>
                <PTBN>3</PTBN>
                <PTBI>0</PTBI>
                <GLN/>
                <CLOT>0</CLOT>
                <CLIT>0</CLIT>
                <PMLO>0</PMLO>
                <IPMLO>0</IPMLO>
                <ICT>0</ICT>
                <ICO>1</ICO>
                <ICLCF/>
                <ICG>True</ICG>
                <ICIR>3</ICIR>
                <ICAR>3</ICAR>
                <ICU>0</ICU>
              </ElmtsGrpProps>
            </ElmtsGrp>
          </ElmtsGrps>
          <ModComps>
            <ModComp>
              <ModCompProps>
                <MN>59</MN>
                <MCN>1</MCN>
                <MCTK>LU</MCTK>
                <RT><![CDATA[<ModuleName> - Lookups]]></RT>
                <ERN>MODMC49</ERN>
                <MCST>3</MCST>
                <IPMC>False</IPMC>
                <SN>19</SN>
                <LODS>False</LODS>
                <LST>False</LST>
                <RSTF>False</RSTF>
                <STRA>0</STRA>
                <HS>False</HS>
                <IBOA>0</IBOA>
                <IB>True</IB>
                <CI/>
                <PTI/>
                <PTP>False</PTP>
                <PTD/>
                <PTMCN>0</PTMCN>
                <CROL>0</CROL>
                <CCOL>0</CCOL>
                <AMFN>0</AMFN>
              </ModCompProps>
              <Sects>
                <Sect>
                  <SectProps>
                    <LI>1,1</LI>
                    <EGN>0</EGN>
                  </SectProps>
                  <Elmts>
                    <Elmt>
                      <ElmtProps>
                        <CPT>2</CPT>
                      </ElmtProps>
                      <TtlCtg/>
                    </Elmt>
                    <Elmt>
                      <ElmtProps>
                        <CPT>2</CPT>
                      </ElmtProps>
                      <ClmnBlks>
                        <ClmnBlk>
                          <ClmnBlkProps>
                            <FCPT>0</FCPT>
                            <FCN>2</FCN>
                            <LCPT>0</LCPT>
                            <LCN>2</LCN>
                          </ClmnBlkProps>
                          <ClmnBlkPts>
                            <ClmnBlkPt>
                              <ClmnBlkPtProps>
                                <CBPT>5</CBPT>
                                <HCTHR>True</HCTHR>
                                <CTHN>51</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0</FCPT>
                            <FCN>3</FCN>
                            <LCPT>0</LCPT>
                            <LCN>5</LCN>
                          </ClmnBlkProps>
                          <ClmnBlkPts>
                            <ClmnBlkPt>
                              <ClmnBlkPtProps>
                                <CBPT>5</CBPT>
                                <ST>4</ST>
                                <MC>True</MC>
                                <VOFFF><![CDATA[First Displayed Period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1</R>
                        </TtlCtgProps>
                      </TtlCtg>
                    </Elmt>
                    <Elmt>
                      <ElmtProps>
                        <CPT>2</CPT>
                      </ElmtProps>
                      <TtlCtg>
                        <TtlCtgProps>
                          <R>1</R>
                        </TtlCtgProps>
                      </TtlCtg>
                    </Elmt>
                    <Elmt>
                      <ElmtProps>
                        <CPT>0</CPT>
                        <TOT>True</TOT>
                        <EGN>1</EGN>
                      </ElmtProps>
                      <ClmnBlks>
                        <ClmnBlk>
                          <ClmnBlkProps>
                            <FCPT>0</FCPT>
                            <FCN>4</FCN>
                            <LCPT>0</LCPT>
                            <LCN>4</LCN>
                          </ClmnBlkProps>
                          <ClmnBlkPts>
                            <ClmnBlkPt>
                              <ClmnBlkPtProps>
                                <CBPT>0</CBPT>
                                <ST>25</ST>
                                <SON>1</SON>
                                <VOFFF><![CDATA[=EDATE(§A¿7,1,1,1,9,0,2,1,1§Z¿,ROWS(§A¿0,1,1,1,6,1,1,1,0,0,TRUE,FALSE,1,6,1,1,0,0,0,FALSE,FALSE§Z¿))-1]]></VOFFF>
                              </ClmnBlkPtProps>
                              <RgeNmes>
                                <RgeNme>
                                  <RgeNmeProps>
                                    <CBPLI>1,1,6,1,1</CBPLI>
                                    <MCN>1</MCN>
                                    <SN>1</SN>
                                    <EN>6</EN>
                                    <CN>0</CN>
                                    <CBN>1</CBN>
                                    <CBPN>1</CBPN>
                                    <PT>1</PT>
                                    <CBPRNT>2</CBPRNT>
                                    <NT>11</NT>
                                    <SP1><![CDATA[First_Disp_Pe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First Displayed Peri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Fs_Sum_2_First_Disp_Per]]></VOFFF>
                              </ClmnBlkPtProps>
                            </ClmnBlkPt>
                          </ClmnBlkPts>
                        </ClmnBlk>
                      </ClmnBlks>
                      <SubTtls>
                        <SubTtl>
                          <Ctgs>
                            <Ctg>
                              <CtgProps>
                                <R>1</R>
                              </CtgProps>
                              <LuTblLbl>
                                <LuTblLblProps>
                                  <CLI>1,1,6,False,1</CLI>
                                  <L><![CDATA[Lookup Label <CategoryNumber>.]]></L>
                                </LuTblLblProps>
                              </LuTblLbl>
                            </Ctg>
                            <Ctg>
                              <CtgProps>
                                <R>1</R>
                              </CtgProps>
                              <LuTblLbl>
                                <LuTblLblProps>
                                  <CLI>1,1,6,False,2</CLI>
                                  <L><![CDATA[Lookup Label <CategoryNumber>.]]></L>
                                </LuTblLblProps>
                              </LuTblLbl>
                            </Ctg>
                            <Ctg>
                              <CtgProps>
                                <R>1</R>
                              </CtgProps>
                              <LuTblLbl>
                                <LuTblLblProps>
                                  <CLI>1,1,6,False,3</CLI>
                                  <L><![CDATA[Lookup Label <CategoryNumber>.]]></L>
                                </LuTblLblProps>
                              </LuTblLbl>
                            </Ctg>
                            <Ctg>
                              <CtgProps>
                                <R>1</R>
                              </CtgProps>
                              <LuTblLbl>
                                <LuTblLblProps>
                                  <CLI>1,1,6,False,4</CLI>
                                  <L><![CDATA[Lookup Label <CategoryNumber>.]]></L>
                                </LuTblLblProps>
                              </LuTblLbl>
                            </Ctg>
                            <Ctg>
                              <CtgProps>
                                <R>1</R>
                              </CtgProps>
                              <LuTblLbl>
                                <LuTblLblProps>
                                  <CLI>1,1,6,False,5</CLI>
                                  <L><![CDATA[Lookup Label <CategoryNumber>.]]></L>
                                </LuTblLblProps>
                              </LuTblLbl>
                            </Ctg>
                            <Ctg>
                              <CtgProps>
                                <R>1</R>
                              </CtgProps>
                              <LuTblLbl>
                                <LuTblLblProps>
                                  <CLI>1,1,6,False,6</CLI>
                                  <L><![CDATA[Lookup Label <CategoryNumber>.]]></L>
                                </LuTblLblProps>
                              </LuTblLbl>
                            </Ctg>
                            <Ctg>
                              <CtgProps>
                                <R>1</R>
                              </CtgProps>
                              <LuTblLbl>
                                <LuTblLblProps>
                                  <CLI>1,1,6,False,7</CLI>
                                  <L><![CDATA[Lookup Label <CategoryNumber>.]]></L>
                                </LuTblLblProps>
                              </LuTblLbl>
                            </Ctg>
                            <Ctg>
                              <CtgProps>
                                <R>1</R>
                              </CtgProps>
                              <LuTblLbl>
                                <LuTblLblProps>
                                  <CLI>1,1,6,False,8</CLI>
                                  <L><![CDATA[Lookup Label <CategoryNumber>.]]></L>
                                </LuTblLblProps>
                              </LuTblLbl>
                            </Ctg>
                            <Ctg>
                              <CtgProps>
                                <R>1</R>
                              </CtgProps>
                              <LuTblLbl>
                                <LuTblLblProps>
                                  <CLI>1,1,6,False,9</CLI>
                                  <L><![CDATA[Lookup Label <CategoryNumber>.]]></L>
                                </LuTblLblProps>
                              </LuTblLbl>
                            </Ctg>
                            <Ctg>
                              <CtgProps>
                                <R>1</R>
                              </CtgProps>
                              <LuTblLbl>
                                <LuTblLblProps>
                                  <CLI>1,1,6,False,10</CLI>
                                  <L><![CDATA[Lookup Label <CategoryNumber>.]]></L>
                                </LuTblLblProps>
                              </LuTblLbl>
                            </Ctg>
                            <Ctg>
                              <CtgProps>
                                <R>1</R>
                              </CtgProps>
                              <LuTblLbl>
                                <LuTblLblProps>
                                  <CLI>1,1,6,False,11</CLI>
                                  <L><![CDATA[Lookup Label <CategoryNumber>.]]></L>
                                </LuTblLblProps>
                              </LuTblLbl>
                            </Ctg>
                            <Ctg>
                              <CtgProps>
                                <R>1</R>
                              </CtgProps>
                              <LuTblLbl>
                                <LuTblLblProps>
                                  <CLI>1,1,6,False,12</CLI>
                                  <L><![CDATA[Lookup Label <CategoryNumber>.]]></L>
                                </LuTblLblProps>
                              </LuTblLbl>
                            </Ctg>
                            <Ctg>
                              <CtgProps>
                                <R>1</R>
                              </CtgProps>
                              <LuTblLbl>
                                <LuTblLblProps>
                                  <CLI>1,1,6,False,13</CLI>
                                  <L><![CDATA[Lookup Label <CategoryNumber>.]]></L>
                                </LuTblLblProps>
                              </LuTblLbl>
                            </Ctg>
                            <Ctg>
                              <CtgProps>
                                <R>1</R>
                              </CtgProps>
                              <LuTblLbl>
                                <LuTblLblProps>
                                  <CLI>1,1,6,False,14</CLI>
                                  <L><![CDATA[Lookup Label <CategoryNumber>.]]></L>
                                </LuTblLblProps>
                              </LuTblLbl>
                            </Ctg>
                            <Ctg>
                              <CtgProps>
                                <R>1</R>
                              </CtgProps>
                              <LuTblLbl>
                                <LuTblLblProps>
                                  <CLI>1,1,6,False,15</CLI>
                                  <L><![CDATA[Lookup Label <CategoryNumber>.]]></L>
                                </LuTblLblProps>
                              </LuTblLbl>
                            </Ctg>
                            <Ctg>
                              <CtgProps>
                                <R>1</R>
                              </CtgProps>
                              <LuTblLbl>
                                <LuTblLblProps>
                                  <CLI>1,1,6,False,16</CLI>
                                  <L><![CDATA[Lookup Label <CategoryNumber>.]]></L>
                                </LuTblLblProps>
                              </LuTblLbl>
                            </Ctg>
                            <Ctg>
                              <CtgProps>
                                <R>1</R>
                              </CtgProps>
                              <LuTblLbl>
                                <LuTblLblProps>
                                  <CLI>1,1,6,False,17</CLI>
                                  <L><![CDATA[Lookup Label <CategoryNumber>.]]></L>
                                </LuTblLblProps>
                              </LuTblLbl>
                            </Ctg>
                            <Ctg>
                              <CtgProps>
                                <R>1</R>
                              </CtgProps>
                              <LuTblLbl>
                                <LuTblLblProps>
                                  <CLI>1,1,6,False,18</CLI>
                                  <L><![CDATA[Lookup Label <CategoryNumber>.]]></L>
                                </LuTblLblProps>
                              </LuTblLbl>
                            </Ctg>
                            <Ctg>
                              <CtgProps>
                                <R>1</R>
                              </CtgProps>
                              <LuTblLbl>
                                <LuTblLblProps>
                                  <CLI>1,1,6,False,19</CLI>
                                  <L><![CDATA[Lookup Label <CategoryNumber>.]]></L>
                                </LuTblLblProps>
                              </LuTblLbl>
                            </Ctg>
                            <Ctg>
                              <CtgProps>
                                <R>1</R>
                              </CtgProps>
                              <LuTblLbl>
                                <LuTblLblProps>
                                  <CLI>1,1,6,False,20</CLI>
                                  <L><![CDATA[Lookup Label <CategoryNumber>.]]></L>
                                </LuTblLblProps>
                              </LuTblLbl>
                            </Ctg>
                            <Ctg>
                              <CtgProps>
                                <R>1</R>
                              </CtgProps>
                              <LuTblLbl>
                                <LuTblLblProps>
                                  <CLI>1,1,6,False,21</CLI>
                                  <L><![CDATA[Lookup Label <CategoryNumber>.]]></L>
                                </LuTblLblProps>
                              </LuTblLbl>
                            </Ctg>
                            <Ctg>
                              <CtgProps>
                                <R>1</R>
                              </CtgProps>
                              <LuTblLbl>
                                <LuTblLblProps>
                                  <CLI>1,1,6,False,22</CLI>
                                  <L><![CDATA[Lookup Label <CategoryNumber>.]]></L>
                                </LuTblLblProps>
                              </LuTblLbl>
                            </Ctg>
                            <Ctg>
                              <CtgProps>
                                <R>1</R>
                              </CtgProps>
                              <LuTblLbl>
                                <LuTblLblProps>
                                  <CLI>1,1,6,False,23</CLI>
                                  <L><![CDATA[Lookup Label <CategoryNumber>.]]></L>
                                </LuTblLblProps>
                              </LuTblLbl>
                            </Ctg>
                            <Ctg>
                              <CtgProps>
                                <R>1</R>
                              </CtgProps>
                              <LuTblLbl>
                                <LuTblLblProps>
                                  <CLI>1,1,6,False,24</CLI>
                                  <L><![CDATA[Lookup Label <CategoryNumber>.]]></L>
                                </LuTblLblProps>
                              </LuTblLbl>
                            </Ctg>
                            <Ctg>
                              <CtgProps>
                                <R>1</R>
                              </CtgProps>
                              <LuTblLbl>
                                <LuTblLblProps>
                                  <CLI>1,1,6,False,25</CLI>
                                  <L><![CDATA[Lookup Label <CategoryNumber>.]]></L>
                                </LuTblLblProps>
                              </LuTblLbl>
                            </Ctg>
                            <Ctg>
                              <CtgProps>
                                <R>1</R>
                              </CtgProps>
                              <LuTblLbl>
                                <LuTblLblProps>
                                  <CLI>1,1,6,False,26</CLI>
                                  <L><![CDATA[Lookup Label <CategoryNumber>.]]></L>
                                </LuTblLblProps>
                              </LuTblLbl>
                            </Ctg>
                            <Ctg>
                              <CtgProps>
                                <R>1</R>
                              </CtgProps>
                              <LuTblLbl>
                                <LuTblLblProps>
                                  <CLI>1,1,6,False,27</CLI>
                                  <L><![CDATA[Lookup Label <CategoryNumber>.]]></L>
                                </LuTblLblProps>
                              </LuTblLbl>
                            </Ctg>
                            <Ctg>
                              <CtgProps>
                                <R>1</R>
                              </CtgProps>
                              <LuTblLbl>
                                <LuTblLblProps>
                                  <CLI>1,1,6,False,28</CLI>
                                  <L><![CDATA[Lookup Label <CategoryNumber>.]]></L>
                                </LuTblLblProps>
                              </LuTblLbl>
                            </Ctg>
                            <Ctg>
                              <CtgProps>
                                <R>1</R>
                              </CtgProps>
                              <LuTblLbl>
                                <LuTblLblProps>
                                  <CLI>1,1,6,False,29</CLI>
                                  <L><![CDATA[Lookup Label <CategoryNumber>.]]></L>
                                </LuTblLblProps>
                              </LuTblLbl>
                            </Ctg>
                            <Ctg>
                              <CtgProps>
                                <R>1</R>
                              </CtgProps>
                              <LuTblLbl>
                                <LuTblLblProps>
                                  <CLI>1,1,6,False,30</CLI>
                                  <L><![CDATA[Lookup Label <CategoryNumber>.]]></L>
                                </LuTblLblProps>
                              </LuTblLbl>
                            </Ctg>
                            <Ctg>
                              <CtgProps>
                                <R>1</R>
                              </CtgProps>
                              <LuTblLbl>
                                <LuTblLblProps>
                                  <CLI>1,1,6,False,31</CLI>
                                  <L><![CDATA[Lookup Label <CategoryNumber>.]]></L>
                                </LuTblLblProps>
                              </LuTblLbl>
                            </Ctg>
                            <Ctg>
                              <CtgProps>
                                <R>1</R>
                              </CtgProps>
                              <LuTblLbl>
                                <LuTblLblProps>
                                  <CLI>1,1,6,False,32</CLI>
                                  <L><![CDATA[Lookup Label <CategoryNumber>.]]></L>
                                </LuTblLblProps>
                              </LuTblLbl>
                            </Ctg>
                            <Ctg>
                              <CtgProps>
                                <R>1</R>
                              </CtgProps>
                              <LuTblLbl>
                                <LuTblLblProps>
                                  <CLI>1,1,6,False,33</CLI>
                                  <L><![CDATA[Lookup Label <CategoryNumber>.]]></L>
                                </LuTblLblProps>
                              </LuTblLbl>
                            </Ctg>
                            <Ctg>
                              <CtgProps>
                                <R>1</R>
                              </CtgProps>
                              <LuTblLbl>
                                <LuTblLblProps>
                                  <CLI>1,1,6,False,34</CLI>
                                  <L><![CDATA[Lookup Label <CategoryNumber>.]]></L>
                                </LuTblLblProps>
                              </LuTblLbl>
                            </Ctg>
                            <Ctg>
                              <CtgProps>
                                <R>1</R>
                              </CtgProps>
                              <LuTblLbl>
                                <LuTblLblProps>
                                  <CLI>1,1,6,False,35</CLI>
                                  <L><![CDATA[Lookup Label <CategoryNumber>.]]></L>
                                </LuTblLblProps>
                              </LuTblLbl>
                            </Ctg>
                            <Ctg>
                              <CtgProps>
                                <R>1</R>
                              </CtgProps>
                              <LuTblLbl>
                                <LuTblLblProps>
                                  <CLI>1,1,6,False,36</CLI>
                                  <L><![CDATA[Lookup Label <CategoryNumber>.]]></L>
                                </LuTblLblProps>
                              </LuTblLbl>
                            </Ctg>
                          </Ctgs>
                        </SubTtl>
                      </SubTtls>
                      <TtlCtg>
                        <TtlCtgProps>
                          <R>1</R>
                        </TtlCtgProps>
                      </TtlCtg>
                    </Elmt>
                  </Elmts>
                </Sect>
              </Sects>
            </ModComp>
          </ModComps>
        </Mod>
        <Mod>
          <ModProps>
            <MVS>14.0.5.0</MVS>
            <RAV/>
            <RXV>0</RXV>
            <FV>3</FV>
            <MT>0</MT>
            <SCT>-1</SCT>
            <P><![CDATA[Scen_Db]]></P>
            <OI>1000</OI>
            <MN>0</MN>
            <MAG>0E45B0A4-BB6F-4798-AC8B-7C4671EA5BC0</MAG>
            <BN><![CDATA[Scenarios Summary]]></BN>
            <N><![CDATA[Scenarios Summary]]></N>
            <TS><![CDATA[Requires time series assumptions and/or lookup tables.]]></TS>
            <D><![CDATA[Provides a tabulated and graphical summary of selected financial statements data for each of the scenarios included within the model.]]></D>
            <FS><![CDATA[Facilitates turning data tables on and off or disabling data tables to enhance performance during model use.]]></FS>
            <R><![CDATA[United Kingdom]]></R>
            <GE><![CDATA[Scenarios Summary Dashboard]]></GE>
            <CA><![CDATA[Chart of Accounts 2]]></CA>
            <VA><![CDATA[Multiple Components]]></VA>
            <GST><![CDATA[None]]></GST>
            <DE><![CDATA[Modano]]></DE>
            <E><![CDATA[info@modano.com]]></E>
            <C><![CDATA[Modano]]></C>
            <W><![CDATA[www.modano.com]]></W>
            <K><![CDATA[Modano, Modular Spreadsheet Development]]></K>
            <CO/>
            <V>10.16.1.0.</V>
            <AX>2</AX>
            <SX/>
            <PMLO>False</PMLO>
            <IPMLO>False</IPMLO>
            <MACA>0</MACA>
            <HP>False</HP>
            <DR>False</DR>
            <RTSM>True</RTSM>
            <CC>True</CC>
            <X>True</X>
            <G>36775D49-B5FF-4B21-A8E9-D1E3CB1C36E2</G>
          </ModProps>
          <RowStgs>
            <RowStg>
              <RowStgProps>
                <RSN>1</RSN>
                <RHST>0</RHST>
                <HS>100</HS>
                <OL>2</OL>
                <RH>False</RH>
              </RowStgProps>
            </RowStg>
            <RowStg>
              <RowStgProps>
                <RSN>2</RSN>
                <RHST>0</RHST>
                <HS>0</HS>
                <OL>3</OL>
                <RH>True</RH>
              </RowStgProps>
            </RowStg>
            <RowStg>
              <RowStgProps>
                <RSN>3</RSN>
                <RHST>0</RHST>
                <HS>0</HS>
                <OL>3</OL>
                <RH>False</RH>
              </RowStgProps>
            </RowStg>
            <RowStg>
              <RowStgProps>
                <RSN>4</RSN>
                <RHST>1</RHST>
                <HS>50</HS>
                <OL>1</OL>
                <RH>True</RH>
              </RowStgProps>
            </RowStg>
            <RowStg>
              <RowStgProps>
                <RSN>5</RSN>
                <RHST>2</RHST>
                <HS>15.75</HS>
                <OL>2</OL>
                <RH>False</RH>
              </RowStgProps>
            </RowStg>
            <RowStg>
              <RowStgProps>
                <RSN>6</RSN>
                <RHST>1</RHST>
                <HS>50</HS>
                <OL>3</OL>
                <RH>False</RH>
              </RowStgProps>
            </RowStg>
          </RowStgs>
          <StlOvlys>
            <StlOvly>
              <StlOvlyProps>
                <SON>1</SON>
                <IHA>True</IHA>
                <HA>-4152</HA>
              </StlOvlyProps>
            </StlOvly>
            <StlOvly>
              <StlOvlyProps>
                <SON>2</SON>
              </StlOvlyProps>
              <FntOvly>
                <FntOvlyProps>
                  <PT>1</PT>
                  <SON>2</SON>
                  <CBPLI>0,0,0,0,0</CBPLI>
                  <FCN>0</FCN>
                  <CN>0</CN>
                  <II>True</II>
                  <I>True</I>
                </FntOvlyProps>
              </FntOvly>
            </StlOvly>
            <StlOvly>
              <StlOvlyProps>
                <SON>3</SON>
                <INF>True</INF>
                <IHA>True</IHA>
                <NT>0</NT>
                <DP>0</DP>
                <CNF/>
                <HA>-4108</HA>
              </StlOvlyProps>
              <FntOvly>
                <FntOvlyProps>
                  <PT>1</PT>
                  <SON>3</SON>
                  <CBPLI>0,0,0,0,0</CBPLI>
                  <FCN>0</FCN>
                  <CN>0</CN>
                  <IC>True</IC>
                  <CT>-3</CT>
                  <CNU>2</CNU>
                  <CPR>8421504</CPR>
                  <TAS>0.4999847</TAS>
                </FntOvlyProps>
              </FntOvly>
            </StlOvly>
            <StlOvly>
              <StlOvlyProps>
                <SON>4</SON>
                <IHA>True</IHA>
                <HA>-4108</HA>
              </StlOvlyProps>
              <FntOvly>
                <FntOvlyProps>
                  <PT>1</PT>
                  <SON>4</SON>
                  <CBPLI>0,0,0,0,0</CBPLI>
                  <FCN>0</FCN>
                  <CN>0</CN>
                  <IC>True</IC>
                  <CT>-3</CT>
                  <CNU>2</CNU>
                  <CPR>8421504</CPR>
                  <TAS>0.4999847</TAS>
                </FntOvlyProps>
              </FntOvly>
            </StlOvly>
            <StlOvly>
              <StlOvlyProps>
                <SON>5</SON>
                <IHA>True</IHA>
                <HA>-4152</HA>
              </StlOvlyProps>
              <FntOvly>
                <FntOvlyProps>
                  <PT>1</PT>
                  <SON>5</SON>
                  <CBPLI>0,0,0,0,0</CBPLI>
                  <FCN>0</FCN>
                  <CN>0</CN>
                  <II>True</II>
                  <I>True</I>
                </FntOvlyProps>
              </FntOvly>
              <BdrOvlys>
                <BdrOvly>
                  <BdrOvlyProps>
                    <PT>1</PT>
                    <SON>5</SON>
                    <CBPLI/>
                    <FCN>0</FCN>
                    <I>True</I>
                    <BI>9</BI>
                    <LS>-4115</LS>
                    <W>2</W>
                  </BdrOvlyProps>
                </BdrOvly>
              </BdrOvlys>
            </StlOvly>
            <StlOvly>
              <StlOvlyProps>
                <SON>6</SON>
                <INF>True</INF>
                <IHA>True</IHA>
                <NT>0</NT>
                <DP>0</DP>
                <CNF/>
                <HA>-4108</HA>
              </StlOvlyProps>
              <BdrOvlys>
                <BdrOvly>
                  <BdrOvlyProps>
                    <PT>1</PT>
                    <SON>6</SON>
                    <CBPLI/>
                    <FCN>0</FCN>
                    <I>True</I>
                    <BI>7</BI>
                    <LS>1</LS>
                    <W>2</W>
                    <CT>3</CT>
                    <CN>2</CN>
                    <TAS>0.4999847</TAS>
                  </BdrOvlyProps>
                </BdrOvly>
                <BdrOvly>
                  <BdrOvlyProps>
                    <PT>1</PT>
                    <SON>6</SON>
                    <CBPLI/>
                    <FCN>0</FCN>
                    <I>True</I>
                    <BI>10</BI>
                    <LS>1</LS>
                    <W>2</W>
                    <CT>3</CT>
                    <CN>2</CN>
                    <TAS>0.4999847</TAS>
                  </BdrOvlyProps>
                </BdrOvly>
                <BdrOvly>
                  <BdrOvlyProps>
                    <PT>1</PT>
                    <SON>6</SON>
                    <CBPLI/>
                    <FCN>0</FCN>
                    <I>True</I>
                    <BI>8</BI>
                    <LS>1</LS>
                    <W>2</W>
                    <CT>3</CT>
                    <CN>2</CN>
                    <TAS>0.4999847</TAS>
                  </BdrOvlyProps>
                </BdrOvly>
                <BdrOvly>
                  <BdrOvlyProps>
                    <PT>1</PT>
                    <SON>6</SON>
                    <CBPLI/>
                    <FCN>0</FCN>
                    <I>True</I>
                    <BI>9</BI>
                    <LS>1</LS>
                    <W>2</W>
                    <CT>3</CT>
                    <CN>2</CN>
                    <TAS>0.4999847</TAS>
                  </BdrOvlyProps>
                </BdrOvly>
              </BdrOvlys>
            </StlOvly>
            <StlOvly>
              <StlOvlyProps>
                <SON>7</SON>
              </StlOvlyProps>
              <BdrOvlys>
                <BdrOvly>
                  <BdrOvlyProps>
                    <PT>1</PT>
                    <SON>7</SON>
                    <CBPLI/>
                    <FCN>0</FCN>
                    <I>True</I>
                    <BI>9</BI>
                    <LS>1</LS>
                    <W>2</W>
                    <CT>3</CT>
                    <CN>3</CN>
                    <TAS>0</TAS>
                  </BdrOvlyProps>
                </BdrOvly>
              </BdrOvlys>
            </StlOvly>
            <StlOvly>
              <StlOvlyProps>
                <SON>8</SON>
                <IHA>True</IHA>
                <HA>-4108</HA>
              </StlOvlyProps>
            </StlOvly>
            <StlOvly>
              <StlOvlyProps>
                <SON>9</SON>
              </StlOvlyProps>
              <FntOvly>
                <FntOvlyProps>
                  <PT>1</PT>
                  <SON>9</SON>
                  <CBPLI>0,0,0,0,0</CBPLI>
                  <FCN>0</FCN>
                  <CN>0</CN>
                  <II>True</II>
                  <IC>True</IC>
                  <I>True</I>
                  <CT>-3</CT>
                  <CNU>3</CNU>
                  <CPR>15132391</CPR>
                  <TAS>0</TAS>
                </FntOvlyProps>
              </FntOvly>
            </StlOvly>
            <StlOvly>
              <StlOvlyProps>
                <SON>10</SON>
                <IHA>True</IHA>
                <HA>-4152</HA>
              </StlOvlyProps>
              <FntOvly>
                <FntOvlyProps>
                  <PT>1</PT>
                  <SON>10</SON>
                  <CBPLI>0,0,0,0,0</CBPLI>
                  <FCN>0</FCN>
                  <CN>0</CN>
                  <IB>True</IB>
                  <B>True</B>
                </FntOvlyProps>
              </FntOvly>
              <BdrOvlys>
                <BdrOvly>
                  <BdrOvlyProps>
                    <PT>1</PT>
                    <SON>10</SON>
                    <CBPLI/>
                    <FCN>0</FCN>
                    <I>True</I>
                    <BI>8</BI>
                    <LS>1</LS>
                    <W>2</W>
                  </BdrOvlyProps>
                </BdrOvly>
              </BdrOvlys>
            </StlOvly>
            <StlOvly>
              <StlOvlyProps>
                <SON>11</SON>
                <IHA>True</IHA>
                <HA>-4152</HA>
              </StlOvlyProps>
              <FntOvly>
                <FntOvlyProps>
                  <PT>1</PT>
                  <SON>11</SON>
                  <CBPLI>0,0,0,0,0</CBPLI>
                  <FCN>0</FCN>
                  <CN>0</CN>
                  <IB>True</IB>
                  <B>True</B>
                </FntOvlyProps>
              </FntOvly>
              <BdrOvlys>
                <BdrOvly>
                  <BdrOvlyProps>
                    <PT>1</PT>
                    <SON>11</SON>
                    <CBPLI/>
                    <FCN>0</FCN>
                    <I>True</I>
                    <BI>8</BI>
                    <LS>1</LS>
                    <W>2</W>
                  </BdrOvlyProps>
                </BdrOvly>
                <BdrOvly>
                  <BdrOvlyProps>
                    <PT>1</PT>
                    <SON>11</SON>
                    <CBPLI/>
                    <FCN>0</FCN>
                    <I>True</I>
                    <BI>9</BI>
                    <LS>-4119</LS>
                    <W>4</W>
                  </BdrOvlyProps>
                </BdrOvly>
              </BdrOvlys>
            </StlOvly>
            <StlOvly>
              <StlOvlyProps>
                <SON>12</SON>
              </StlOvlyProps>
              <FntOvly>
                <FntOvlyProps>
                  <PT>1</PT>
                  <SON>12</SON>
                  <CBPLI>0,0,0,0,0</CBPLI>
                  <FCN>0</FCN>
                  <CN>0</CN>
                  <IC>True</IC>
                  <CT>-2</CT>
                  <CNU>0</CNU>
                  <CPR>0</CPR>
                  <TAS>0</TAS>
                </FntOvlyProps>
              </FntOvly>
            </StlOvly>
            <StlOvly>
              <StlOvlyProps>
                <SON>13</SON>
                <INF>True</INF>
                <NT>0</NT>
                <DP>0</DP>
                <CNF/>
              </StlOvlyProps>
            </StlOvly>
            <StlOvly>
              <StlOvlyProps>
                <SON>14</SON>
                <INF>True</INF>
                <IHA>True</IHA>
                <NT>0</NT>
                <DP>0</DP>
                <CNF/>
                <HA>-4108</HA>
              </StlOvlyProps>
            </StlOvly>
            <StlOvly>
              <StlOvlyProps>
                <SON>15</SON>
              </StlOvlyProps>
              <BdrOvlys>
                <BdrOvly>
                  <BdrOvlyProps>
                    <PT>1</PT>
                    <SON>15</SON>
                    <CBPLI/>
                    <FCN>0</FCN>
                    <I>True</I>
                    <BI>9</BI>
                    <LS>1</LS>
                    <W>2</W>
                  </BdrOvlyProps>
                </BdrOvly>
              </BdrOvlys>
            </StlOvly>
            <StlOvly>
              <StlOvlyProps>
                <SON>16</SON>
                <INF>True</INF>
                <IHA>True</IHA>
                <NT>-2</NT>
                <DP>0</DP>
                <CNF><![CDATA[_(###0_);(###0);_("-"_);@_)]]></CNF>
                <HA>-4152</HA>
              </StlOvlyProps>
            </StlOvly>
            <StlOvly>
              <StlOvlyProps>
                <SON>17</SON>
              </StlOvlyProps>
              <BdrOvlys>
                <BdrOvly>
                  <BdrOvlyProps>
                    <PT>1</PT>
                    <SON>17</SON>
                    <CBPLI/>
                    <FCN>0</FCN>
                    <I>True</I>
                    <BI>9</BI>
                    <LS>-4115</LS>
                    <W>2</W>
                  </BdrOvlyProps>
                </BdrOvly>
              </BdrOvlys>
            </StlOvly>
            <StlOvly>
              <StlOvlyProps>
                <SON>18</SON>
                <INF>True</INF>
                <NT>0</NT>
                <DP>0</DP>
                <CNF><![CDATA[_(#,##0.0_);(#,##0.0);_-"-"_-;_)@_)]]></CNF>
              </StlOvlyProps>
            </StlOvly>
            <StlOvly>
              <StlOvlyProps>
                <SON>19</SON>
                <INF>True</INF>
                <NT>0</NT>
                <DP>0</DP>
                <CNF><![CDATA[_(#,##0.0_);(#,##0.0);_-"-"_-;_)@_)]]></CNF>
              </StlOvlyProps>
              <FntOvly>
                <FntOvlyProps>
                  <PT>1</PT>
                  <SON>19</SON>
                  <CBPLI>0,0,0,0,0</CBPLI>
                  <FCN>0</FCN>
                  <CN>0</CN>
                  <IB>True</IB>
                  <B>True</B>
                </FntOvlyProps>
              </FntOvly>
              <BdrOvlys>
                <BdrOvly>
                  <BdrOvlyProps>
                    <PT>1</PT>
                    <SON>19</SON>
                    <CBPLI/>
                    <FCN>0</FCN>
                    <I>True</I>
                    <BI>10</BI>
                    <LS>1</LS>
                    <W>2</W>
                  </BdrOvlyProps>
                </BdrOvly>
              </BdrOvlys>
            </StlOvly>
            <StlOvly>
              <StlOvlyProps>
                <SON>20</SON>
                <INF>True</INF>
                <IHA>True</IHA>
                <NT>-2</NT>
                <DP>0</DP>
                <CNF><![CDATA[_(###0_);(###0);_("-"_);_)@_)]]></CNF>
                <HA>-4152</HA>
              </StlOvlyProps>
              <BdrOvlys>
                <BdrOvly>
                  <BdrOvlyProps>
                    <PT>1</PT>
                    <SON>20</SON>
                    <CBPLI/>
                    <FCN>0</FCN>
                    <I>True</I>
                    <BI>7</BI>
                    <LS>1</LS>
                    <W>2</W>
                  </BdrOvlyProps>
                </BdrOvly>
              </BdrOvlys>
            </StlOvly>
            <StlOvly>
              <StlOvlyProps>
                <SON>21</SON>
                <IHA>True</IHA>
                <HA>-4152</HA>
              </StlOvlyProps>
              <BdrOvlys>
                <BdrOvly>
                  <BdrOvlyProps>
                    <PT>1</PT>
                    <SON>21</SON>
                    <CBPLI/>
                    <FCN>0</FCN>
                    <I>True</I>
                    <BI>7</BI>
                    <LS>1</LS>
                    <W>2</W>
                  </BdrOvlyProps>
                </BdrOvly>
              </BdrOvlys>
            </StlOvly>
            <StlOvly>
              <StlOvlyProps>
                <SON>22</SON>
                <IHA>True</IHA>
                <HA>-4152</HA>
              </StlOvlyProps>
              <FntOvly>
                <FntOvlyProps>
                  <PT>1</PT>
                  <SON>22</SON>
                  <CBPLI>0,0,0,0,0</CBPLI>
                  <FCN>0</FCN>
                  <CN>0</CN>
                  <IB>True</IB>
                  <B>True</B>
                </FntOvlyProps>
              </FntOvly>
              <BdrOvlys>
                <BdrOvly>
                  <BdrOvlyProps>
                    <PT>1</PT>
                    <SON>22</SON>
                    <CBPLI/>
                    <FCN>0</FCN>
                    <I>True</I>
                    <BI>7</BI>
                    <LS>1</LS>
                    <W>2</W>
                  </BdrOvlyProps>
                </BdrOvly>
                <BdrOvly>
                  <BdrOvlyProps>
                    <PT>1</PT>
                    <SON>22</SON>
                    <CBPLI/>
                    <FCN>0</FCN>
                    <I>True</I>
                    <BI>8</BI>
                    <LS>1</LS>
                    <W>2</W>
                  </BdrOvlyProps>
                </BdrOvly>
              </BdrOvlys>
            </StlOvly>
            <StlOvly>
              <StlOvlyProps>
                <SON>23</SON>
                <IHA>True</IHA>
                <HA>-4152</HA>
              </StlOvlyProps>
              <FntOvly>
                <FntOvlyProps>
                  <PT>1</PT>
                  <SON>23</SON>
                  <CBPLI>0,0,0,0,0</CBPLI>
                  <FCN>0</FCN>
                  <CN>0</CN>
                  <IB>True</IB>
                  <B>True</B>
                </FntOvlyProps>
              </FntOvly>
              <BdrOvlys>
                <BdrOvly>
                  <BdrOvlyProps>
                    <PT>1</PT>
                    <SON>23</SON>
                    <CBPLI/>
                    <FCN>0</FCN>
                    <I>True</I>
                    <BI>7</BI>
                    <LS>1</LS>
                    <W>2</W>
                  </BdrOvlyProps>
                </BdrOvly>
                <BdrOvly>
                  <BdrOvlyProps>
                    <PT>1</PT>
                    <SON>23</SON>
                    <CBPLI/>
                    <FCN>0</FCN>
                    <I>True</I>
                    <BI>8</BI>
                    <LS>1</LS>
                    <W>2</W>
                  </BdrOvlyProps>
                </BdrOvly>
                <BdrOvly>
                  <BdrOvlyProps>
                    <PT>1</PT>
                    <SON>23</SON>
                    <CBPLI/>
                    <FCN>0</FCN>
                    <I>True</I>
                    <BI>9</BI>
                    <LS>-4119</LS>
                    <W>4</W>
                  </BdrOvlyProps>
                </BdrOvly>
              </BdrOvlys>
            </StlOvly>
            <StlOvly>
              <StlOvlyProps>
                <SON>24</SON>
                <INF>True</INF>
                <IHA>True</IHA>
                <NT>-2</NT>
                <DP>0</DP>
                <CNF><![CDATA[_(###0_);(###0);_("-"_);_)@_)]]></CNF>
                <HA>-4152</HA>
              </StlOvlyProps>
            </StlOvly>
            <StlOvly>
              <StlOvlyProps>
                <SON>25</SON>
                <INF>True</INF>
                <IHA>True</IHA>
                <NT>-2</NT>
                <DP>0</DP>
                <CNF><![CDATA[_(###0_);(###0);_("-"_);@_)]]></CNF>
                <HA>-4152</HA>
              </StlOvlyProps>
              <BdrOvlys>
                <BdrOvly>
                  <BdrOvlyProps>
                    <PT>1</PT>
                    <SON>25</SON>
                    <CBPLI/>
                    <FCN>0</FCN>
                    <I>True</I>
                    <BI>9</BI>
                    <LS>1</LS>
                    <W>2</W>
                  </BdrOvlyProps>
                </BdrOvly>
              </BdrOvlys>
            </StlOvly>
            <StlOvly>
              <StlOvlyProps>
                <SON>26</SON>
                <INF>True</INF>
                <NT>-2</NT>
                <DP>0</DP>
                <CNF><![CDATA[mmmm yyyy]]></CNF>
              </StlOvlyProps>
            </StlOvly>
          </StlOvlys>
          <ElmtsGrps>
            <ElmtsGrp>
              <ElmtsGrpProps>
                <NU>1</NU>
                <NA><![CDATA[Scenario Names]]></NA>
                <EGT>1</EGT>
                <DCC>6</DCC>
                <AST>False</AST>
                <ISTH>True</ISTH>
                <PTMCN>3</PTMCN>
                <PTBN>3</PTBN>
                <PTBI>0</PTBI>
                <GLN/>
                <CLOT>0</CLOT>
                <CLIT>0</CLIT>
                <PMLO>0</PMLO>
                <IPMLO>0</IPMLO>
                <ICT>0</ICT>
                <ICO>1</ICO>
                <ICLCF/>
                <ICG>True</ICG>
                <ICIR>3</ICIR>
                <ICAR>3</ICAR>
                <ICU>0</ICU>
              </ElmtsGrpProps>
            </ElmtsGrp>
            <ElmtsGrp>
              <ElmtsGrpProps>
                <NU>2</NU>
                <NA><![CDATA[Data Tables Status]]></NA>
                <EGT>0</EGT>
                <DCC>3</DCC>
                <AST>False</AST>
                <ISTH>True</ISTH>
                <PTMCN>0</PTMCN>
                <PTBN>0</PTBN>
                <PTBI>0</PTBI>
                <GLN/>
                <CLOT>0</CLOT>
                <CLIT>0</CLIT>
                <PMLO>0</PMLO>
                <IPMLO>0</IPMLO>
              </ElmtsGrpProps>
            </ElmtsGrp>
            <ElmtsGrp>
              <ElmtsGrpProps>
                <NU>3</NU>
                <NA><![CDATA[First Displayed Periods]]></NA>
                <EGT>1</EGT>
                <DCC>6</DCC>
                <AST>False</AST>
                <ISTH>True</ISTH>
                <PTMCN>4</PTMCN>
                <PTBN>3</PTBN>
                <PTBI>0</PTBI>
                <GLN/>
                <CLOT>0</CLOT>
                <CLIT>0</CLIT>
                <PMLO>0</PMLO>
                <IPMLO>0</IPMLO>
                <ICT>0</ICT>
                <ICO>1</ICO>
                <ICLCF/>
                <ICG>True</ICG>
                <ICIR>3</ICIR>
                <ICAR>3</ICAR>
                <ICU>0</ICU>
              </ElmtsGrpProps>
            </ElmtsGrp>
          </ElmtsGrps>
          <TrigCbps>
            <TrigCbp>
              <TrigCbpProps>
                <LI>1,1,21,2,1</LI>
                <TT>6</TT>
                <RLI/>
                <R2LI/>
                <TS/>
                <OT>0</OT>
                <FO>0</FO>
              </TrigCbpProps>
            </TrigCbp>
          </TrigCbps>
          <ModComps>
            <ModComp>
              <ModCompProps>
                <MN>60</MN>
                <MCN>1</MCN>
                <MCTK>BaseCase</MCTK>
                <RT><![CDATA[<ModuleName> - Data Tables]]></RT>
                <ERN>MODMC33</ERN>
                <MCST>0</MCST>
                <IPMC>False</IPMC>
                <SN>7</SN>
                <LODS>False</LODS>
                <LST>False</LST>
                <RSTF>False</RSTF>
                <STRA>0</STRA>
                <HS>False</HS>
                <IBOA>0</IBOA>
                <IB>True</IB>
                <CI><![CDATA[Scenarios]]></CI>
                <PTI><![CDATA[Scen_Dt]]></PTI>
                <PTP>False</PTP>
                <PTD/>
                <PTMCN>0</PTMCN>
                <CROL>0</CROL>
                <CCOL>0</CCOL>
                <AMFN>0</AMFN>
              </ModCompProps>
              <Sects>
                <Sect>
                  <SectProps>
                    <LI>1,1</LI>
                    <EGN>0</EGN>
                  </SectProps>
                  <Elmts>
                    <Elmt>
                      <ElmtProps>
                        <CPT>2</CPT>
                      </ElmtProps>
                      <TtlCtg/>
                    </Elmt>
                    <Elmt>
                      <ElmtProps>
                        <CPT>2</CPT>
                      </ElmtProps>
                      <ClmnBlks>
                        <ClmnBlk>
                          <ClmnBlkProps>
                            <FCPT>0</FCPT>
                            <FCN>1</FCN>
                            <LCPT>0</LCPT>
                            <LCN>1</LCN>
                          </ClmnBlkProps>
                          <ClmnBlkPts>
                            <ClmnBlkPt>
                              <ClmnBlkPtProps>
                                <CBPT>5</CBPT>
                                <ST>50</ST>
                                <VOFFF><![CDATA[ï]]></VOFFF>
                              </ClmnBlkPtProps>
                              <Hlk>
                                <HlkProps>
                                  <CBPLI>1,1,2,1,1</CBPLI>
                                  <RT>0</RT>
                                  <RRRT>1</RRRT>
                                  <RCBPLI>2,1,2,2,1</RCBPLI>
                                  <RCN>0</RCN>
                                  <RRNPT>1</RRNPT>
                                  <RRNN>1</RRNN>
                                  <TTDT>0</TTDT>
                                  <AGT>False</AGT>
                                  <CT/>
                                </HlkProps>
                              </Hlk>
                            </ClmnBlkPt>
                          </ClmnBlkPts>
                        </ClmnBlk>
                        <ClmnBlk>
                          <ClmnBlkProps>
                            <FCPT>0</FCPT>
                            <FCN>2</FCN>
                            <LCPT>0</LCPT>
                            <LCN>2</LCN>
                          </ClmnBlkProps>
                          <ClmnBlkPts>
                            <ClmnBlkPt>
                              <ClmnBlkPtProps>
                                <CBPT>5</CBPT>
                                <HCTHR>True</HCTHR>
                                <CTHN>38</CTHN>
                                <ST>3</ST>
                                <VOFFF><![CDATA[Scenario Data Tables]]></VOFFF>
                              </ClmnBlkPtProps>
                              <RgeNmes>
                                <RgeNme>
                                  <RgeNmeProps>
                                    <CBPLI>1,1,2,2,1</CBPLI>
                                    <MCN>1</MCN>
                                    <SN>1</SN>
                                    <EN>2</EN>
                                    <CN>0</CN>
                                    <CBN>2</CBN>
                                    <CBPN>1</CBPN>
                                    <PT>1</PT>
                                    <CBPRNT>6</CBPRNT>
                                    <NT>12</NT>
                                    <SP1><![CDATA[Ass]]></SP1>
                                    <SP2/>
                                    <FFF/>
                                    <CMT/>
                                  </RgeNmeProps>
                                </RgeNme>
                              </RgeNmes>
                            </ClmnBlkPt>
                          </ClmnBlkPts>
                        </ClmnBlk>
                        <ClmnBlk>
                          <ClmnBlkProps>
                            <FCPT>0</FCPT>
                            <FCN>3</FCN>
                            <LCPT>0</LCPT>
                            <LCN>20</LCN>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0</FCPT>
                            <FCN>2</FCN>
                            <LCPT>0</LCPT>
                            <LCN>2</LCN>
                          </ClmnBlkProps>
                          <ClmnBlkPts>
                            <ClmnBlkPt>
                              <ClmnBlkPtProps>
                                <CBPT>5</CBPT>
                                <ST>22</ST>
                                <VOFFF><![CDATA[Month Ending]]></VOFFF>
                              </ClmnBlkPtProps>
                            </ClmnBlkPt>
                          </ClmnBlkPts>
                        </ClmnBlk>
                        <ClmnBlk>
                          <ClmnBlkProps>
                            <FCPT>0</FCPT>
                            <FCN>3</FCN>
                            <LCPT>0</LCPT>
                            <LCN>8</LCN>
                          </ClmnBlkProps>
                          <ClmnBlkPts>
                            <ClmnBlkPt>
                              <ClmnBlkPtProps>
                                <CBPT>5</CBPT>
                                <ST>22</ST>
                                <VOFFF/>
                              </ClmnBlkPtProps>
                            </ClmnBlkPt>
                          </ClmnBlkPts>
                        </ClmnBlk>
                        <ClmnBlk>
                          <ClmnBlkProps>
                            <FCPT>0</FCPT>
                            <FCN>9</FCN>
                            <LCPT>0</LCPT>
                            <LCN>20</LCN>
                          </ClmnBlkProps>
                          <ClmnBlkPts>
                            <ClmnBlkPt>
                              <ClmnBlkPtProps>
                                <CBPT>5</CBPT>
                                <ST>22</ST>
                                <SON>16</SON>
                                <VOFFF><![CDATA[=TEXT(§A¿0,1,0,1,7,2,1,-1,0,0,FALSE,FALSE§Z¿,"mmm-yy")]]></VOFFF>
                              </ClmnBlkPtProps>
                            </ClmnBlkPt>
                          </ClmnBlkPts>
                        </ClmnBlk>
                      </ClmnBlks>
                      <TtlCtg>
                        <TtlCtgProps>
                          <R>1</R>
                        </TtlCtgProps>
                      </TtlCtg>
                    </Elmt>
                    <Elmt>
                      <ElmtProps>
                        <CPT>2</CPT>
                      </ElmtProps>
                      <ClmnBlks>
                        <ClmnBlk>
                          <ClmnBlkProps>
                            <FCPT>0</FCPT>
                            <FCN>2</FCN>
                            <LCPT>0</LCPT>
                            <LCN>2</LCN>
                          </ClmnBlkProps>
                          <ClmnBlkPts>
                            <ClmnBlkPt>
                              <ClmnBlkPtProps>
                                <CBPT>5</CBPT>
                                <ST>22</ST>
                                <VOFFF><![CDATA[Month]]></VOFFF>
                              </ClmnBlkPtProps>
                            </ClmnBlkPt>
                          </ClmnBlkPts>
                        </ClmnBlk>
                        <ClmnBlk>
                          <ClmnBlkProps>
                            <FCPT>0</FCPT>
                            <FCN>3</FCN>
                            <LCPT>0</LCPT>
                            <LCN>8</LCN>
                          </ClmnBlkProps>
                          <ClmnBlkPts>
                            <ClmnBlkPt>
                              <ClmnBlkPtProps>
                                <CBPT>5</CBPT>
                                <ST>22</ST>
                                <VOFFF/>
                              </ClmnBlkPtProps>
                            </ClmnBlkPt>
                          </ClmnBlkPts>
                        </ClmnBlk>
                        <ClmnBlk>
                          <ClmnBlkProps>
                            <FCPT>0</FCPT>
                            <FCN>9</FCN>
                            <LCPT>0</LCPT>
                            <LCN>20</LCN>
                          </ClmnBlkProps>
                          <ClmnBlkPts>
                            <ClmnBlkPt>
                              <ClmnBlkPtProps>
                                <CBPT>5</CBPT>
                                <ST>22</ST>
                                <SON>24</SON>
                                <VOFFF><![CDATA[="M"&§A¿0,1,0,1,10,2,1,-1,0,0,FALS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Period Start Date]]></VOFFF>
                              </ClmnBlkPtProps>
                            </ClmnBlkPt>
                          </ClmnBlkPts>
                        </ClmnBlk>
                        <ClmnBlk>
                          <ClmnBlkProps>
                            <FCPT>0</FCPT>
                            <FCN>9</FCN>
                            <LCPT>0</LCPT>
                            <LCN>20</LCN>
                          </ClmnBlkProps>
                          <ClmnBlkPts>
                            <ClmnBlkPt>
                              <ClmnBlkPtProps>
                                <CBPT>5</CBPT>
                                <ST>17</ST>
                                <VOFFF><![CDATA[=EDATE(§A¿7,1,1,1,9,0,2,1,1§Z¿,§A¿0,1,0,1,8,2,1,-1,0,0,FALSE,FALSE§Z¿-1)]]></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Period End Date]]></VOFFF>
                              </ClmnBlkPtProps>
                            </ClmnBlkPt>
                          </ClmnBlkPts>
                        </ClmnBlk>
                        <ClmnBlk>
                          <ClmnBlkProps>
                            <FCPT>0</FCPT>
                            <FCN>9</FCN>
                            <LCPT>0</LCPT>
                            <LCN>20</LCN>
                          </ClmnBlkProps>
                          <ClmnBlkPts>
                            <ClmnBlkPt>
                              <ClmnBlkPtProps>
                                <CBPT>5</CBPT>
                                <ST>17</ST>
                                <VOFFF><![CDATA[=EDATE(§A¿0,1,0,1,6,2,1,-1,0,0,FALSE,FALSE§Z¿,1)-1]]></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Counter]]></VOFFF>
                              </ClmnBlkPtProps>
                            </ClmnBlkPt>
                          </ClmnBlkPts>
                        </ClmnBlk>
                        <ClmnBlk>
                          <ClmnBlkProps>
                            <FCPT>0</FCPT>
                            <FCN>9</FCN>
                            <LCPT>0</LCPT>
                            <LCN>20</LCN>
                          </ClmnBlkProps>
                          <ClmnBlkPts>
                            <ClmnBlkPt>
                              <ClmnBlkPtProps>
                                <CBPT>5</CBPT>
                                <ST>18</ST>
                                <SON>13</SON>
                                <VOFFF><![CDATA[=COLUMNS(§A¿0,1,1,1,12,3,1,-1,0,0,FALSE,TRUE,1,12,3,1,-1,0,0,FALSE,FALSE§Z¿)+§A¿0,1,0,1,15,2,1,-1,0,0,FALSE,TRUE§Z¿]]></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Financial Year]]></VOFFF>
                              </ClmnBlkPtProps>
                            </ClmnBlkPt>
                          </ClmnBlkPts>
                        </ClmnBlk>
                        <ClmnBlk>
                          <ClmnBlkProps>
                            <FCPT>0</FCPT>
                            <FCN>9</FCN>
                            <LCPT>0</LCPT>
                            <LCN>20</LCN>
                          </ClmnBlkProps>
                          <ClmnBlkPts>
                            <ClmnBlkPt>
                              <ClmnBlkPtProps>
                                <CBPT>5</CBPT>
                                <ST>16</ST>
                                <VOFFF><![CDATA[=YEAR(§A¿0,1,0,1,7,2,1,-1,0,0,FALSE,FALSE§Z¿)+IF(MONTH(§A¿0,1,0,1,7,2,1,-1,0,0,FALSE,FALSE§Z¿)>§A¿7,1,1,1,5,0,2,1,1§Z¿,1,0)]]></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Month Number]]></VOFFF>
                              </ClmnBlkPtProps>
                            </ClmnBlkPt>
                          </ClmnBlkPts>
                        </ClmnBlk>
                        <ClmnBlk>
                          <ClmnBlkProps>
                            <FCPT>0</FCPT>
                            <FCN>9</FCN>
                            <LCPT>0</LCPT>
                            <LCN>20</LCN>
                          </ClmnBlkProps>
                          <ClmnBlkPts>
                            <ClmnBlkPt>
                              <ClmnBlkPtProps>
                                <CBPT>5</CBPT>
                                <ST>18</ST>
                                <SON>13</SON>
                                <VOFFF><![CDATA[=MOD(MONTH(§A¿0,1,0,1,7,2,1,-1,0,0,FALSE,FALSE§Z¿)-§A¿7,1,1,1,5,0,2,1,1§Z¿-1,§A¿7,2,2,1,14,7,1,1,1§Z¿)+1]]></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Data Available]]></VOFFF>
                              </ClmnBlkPtProps>
                            </ClmnBlkPt>
                          </ClmnBlkPts>
                        </ClmnBlk>
                        <ClmnBlk>
                          <ClmnBlkProps>
                            <FCPT>0</FCPT>
                            <FCN>9</FCN>
                            <LCPT>0</LCPT>
                            <LCN>20</LCN>
                          </ClmnBlkProps>
                          <ClmnBlkPts>
                            <ClmnBlkPt>
                              <ClmnBlkPtProps>
                                <CBPT>5</CBPT>
                                <ST>6</ST>
                                <SON>16</SON>
                                <VOFFF><![CDATA[=IF(§A¿0,1,0,1,8,2,1,-1,0,0,FALSE,FALSE§Z¿>0,IF(§A¿0,1,0,1,8,2,1,-1,0,0,FALSE,FALSE§Z¿<=§A¿7,1,1,1,8,0,2,1,1§Z¿,TRUE,FALSE),FALSE)]]></VOFFF>
                              </ClmnBlkPtProps>
                            </ClmnBlkPt>
                          </ClmnBlkPts>
                        </ClmnBlk>
                      </ClmnBlks>
                      <TtlCtg>
                        <TtlCtgProps>
                          <R>3</R>
                        </TtlCtgProps>
                      </TtlCtg>
                    </Elmt>
                    <Elmt>
                      <ElmtProps>
                        <CPT>2</CPT>
                      </ElmtProps>
                      <ClmnBlks>
                        <ClmnBlk>
                          <ClmnBlkProps>
                            <FCPT>0</FCPT>
                            <FCN>2</FCN>
                            <LCPT>0</LCPT>
                            <LCN>2</LCN>
                          </ClmnBlkProps>
                          <ClmnBlkPts>
                            <ClmnBlkPt>
                              <ClmnBlkPtProps>
                                <CBPT>5</CBPT>
                                <ST>6</ST>
                                <SON>15</SON>
                                <VOFFF><![CDATA[Dashboard Period Titles]]></VOFFF>
                              </ClmnBlkPtProps>
                            </ClmnBlkPt>
                          </ClmnBlkPts>
                        </ClmnBlk>
                        <ClmnBlk>
                          <ClmnBlkProps>
                            <FCPT>0</FCPT>
                            <FCN>3</FCN>
                            <LCPT>0</LCPT>
                            <LCN>8</LCN>
                          </ClmnBlkProps>
                          <ClmnBlkPts>
                            <ClmnBlkPt>
                              <ClmnBlkPtProps>
                                <CBPT>5</CBPT>
                                <ST>-1</ST>
                                <SON>15</SON>
                                <VOFFF/>
                              </ClmnBlkPtProps>
                            </ClmnBlkPt>
                          </ClmnBlkPts>
                        </ClmnBlk>
                        <ClmnBlk>
                          <ClmnBlkProps>
                            <FCPT>0</FCPT>
                            <FCN>9</FCN>
                            <LCPT>0</LCPT>
                            <LCN>20</LCN>
                          </ClmnBlkProps>
                          <ClmnBlkPts>
                            <ClmnBlkPt>
                              <ClmnBlkPtProps>
                                <CBPT>5</CBPT>
                                <ST>6</ST>
                                <SON>25</SON>
                                <VOFFF><![CDATA[=TEXT(§A¿0,1,0,1,7,2,1,-1,0,0,FALSE,FALSE§Z¿,"mmm-yy")]]></VOFFF>
                              </ClmnBlkPtProps>
                            </ClmnBlkPt>
                          </ClmnBlkPts>
                        </ClmnBlk>
                      </ClmnBlks>
                      <TtlCtg>
                        <TtlCtgProps>
                          <R>3</R>
                        </TtlCtgProps>
                      </TtlCtg>
                    </Elmt>
                    <Elmt>
                      <ElmtProps>
                        <CPT>2</CPT>
                      </ElmtProps>
                      <TtlCtg>
                        <TtlCtgProps>
                          <R>1</R>
                        </TtlCtgProps>
                      </TtlCtg>
                    </Elmt>
                    <Elmt>
                      <ElmtProps>
                        <CPT>2</CPT>
                      </ElmtProps>
                      <ClmnBlks>
                        <ClmnBlk>
                          <ClmnBlkProps>
                            <FCPT>0</FCPT>
                            <FCN>2</FCN>
                            <LCPT>0</LCPT>
                            <LCN>2</LCN>
                          </ClmnBlkProps>
                          <ClmnBlkPts>
                            <ClmnBlkPt>
                              <ClmnBlkPtProps>
                                <CBPT>5</CBPT>
                                <ST>6</ST>
                                <VOFFF><![CDATA[First Displayed Period]]></VOFFF>
                              </ClmnBlkPtProps>
                            </ClmnBlkPt>
                          </ClmnBlkPts>
                        </ClmnBlk>
                        <ClmnBlk>
                          <ClmnBlkProps>
                            <FCPT>0</FCPT>
                            <FCN>8</FCN>
                            <LCPT>0</LCPT>
                            <LCN>8</LCN>
                          </ClmnBlkProps>
                          <ClmnBlkPts>
                            <ClmnBlkPt>
                              <ClmnBlkPtProps>
                                <CBPT>5</CBPT>
                                <ST>15</ST>
                                <SON>12</SON>
                                <VOFFF><![CDATA[1]]></VOFFF>
                                <UDAV><![CDATA[1]]></UDAV>
                              </ClmnBlkPtProps>
                              <Vdtn>
                                <VdtnProps>
                                  <CBPLI>1,1,14,2,1</CBPLI>
                                  <ADVT>-1</ADVT>
                                  <VT>1</VT>
                                  <AS>1</AS>
                                  <O>1</O>
                                  <F1FFF><![CDATA[1]]></F1FFF>
                                  <F2FFF><![CDATA[=ROWS(§A¿1,1,3,1,6,0,1,1,1§Z¿)]]></F2FFF>
                                  <IB>False</IB>
                                  <ICDD>False</ICDD>
                                  <SI>False</SI>
                                  <IT/>
                                  <IM/>
                                  <SE>True</SE>
                                  <ET><![CDATA[Drop Down Box Cell Link]]></ET>
                                  <EM><![CDATA[The value in a drop down box cell link must be a whole number within the control's lookup range rows.]]></EM>
                                  <IMO>0</IMO>
                                </VdtnProps>
                              </Vdtn>
                              <RgeNmes>
                                <RgeNme>
                                  <RgeNmeProps>
                                    <CBPLI>1,1,14,2,1</CBPLI>
                                    <MCN>1</MCN>
                                    <SN>1</SN>
                                    <EN>14</EN>
                                    <CN>0</CN>
                                    <CBN>2</CBN>
                                    <CBPN>1</CBPN>
                                    <PT>1</PT>
                                    <CBPRNT>6</CBPRNT>
                                    <NT>3</NT>
                                    <SP1><![CDATA[First_Disp_Per]]></SP1>
                                    <SP2/>
                                    <FFF/>
                                    <CMT/>
                                  </RgeNmeProps>
                                </RgeNme>
                              </RgeNmes>
                            </ClmnBlkPt>
                          </ClmnBlkPts>
                        </ClmnBlk>
                      </ClmnBlks>
                      <TtlCtg>
                        <TtlCtgProps>
                          <R>5</R>
                        </TtlCtgProps>
                      </TtlCtg>
                      <ShpNmes>
                        <ShpNme>
                          <ShpNmeProps>
                            <ELI>1,1,14</ELI>
                            <COSTN>0</COSTN>
                            <ST>1</ST>
                            <SNPT>2</SNPT>
                            <N><![CDATA[bpmDropDownScen_Db5]]></N>
                            <SHN>1</SHN>
                            <SHTN>1</SHTN>
                          </ShpNmeProps>
                        </ShpNme>
                      </ShpNmes>
                    </Elmt>
                    <Elmt>
                      <ElmtProps>
                        <CPT>2</CPT>
                      </ElmtProps>
                      <ClmnBlks>
                        <ClmnBlk>
                          <ClmnBlkProps>
                            <FCPT>0</FCPT>
                            <FCN>2</FCN>
                            <LCPT>0</LCPT>
                            <LCN>2</LCN>
                          </ClmnBlkProps>
                          <ClmnBlkPts>
                            <ClmnBlkPt>
                              <ClmnBlkPtProps>
                                <CBPT>5</CBPT>
                                <ST>6</ST>
                                <VOFFF><![CDATA[Linked In Data Columns Offset]]></VOFFF>
                              </ClmnBlkPtProps>
                            </ClmnBlkPt>
                          </ClmnBlkPts>
                        </ClmnBlk>
                        <ClmnBlk>
                          <ClmnBlkProps>
                            <FCPT>0</FCPT>
                            <FCN>8</FCN>
                            <LCPT>0</LCPT>
                            <LCN>8</LCN>
                          </ClmnBlkProps>
                          <ClmnBlkPts>
                            <ClmnBlkPt>
                              <ClmnBlkPtProps>
                                <CBPT>5</CBPT>
                                <ST>18</ST>
                                <SON>14</SON>
                                <VOFFF><![CDATA[=§A¿1,1,1,1,14,0,2,1,1§Z¿-1]]></VOFFF>
                              </ClmnBlkPtProps>
                            </ClmnBlkPt>
                          </ClmnBlkPts>
                        </ClmnBlk>
                      </ClmnBlks>
                      <TtlCtg>
                        <TtlCtgProps>
                          <R>3</R>
                        </TtlCtgProps>
                      </TtlCtg>
                    </Elmt>
                    <Elmt>
                      <ElmtProps>
                        <CPT>2</CPT>
                      </ElmtProps>
                      <ClmnBlks>
                        <ClmnBlk>
                          <ClmnBlkProps>
                            <FCPT>0</FCPT>
                            <FCN>2</FCN>
                            <LCPT>0</LCPT>
                            <LCN>2</LCN>
                          </ClmnBlkProps>
                          <ClmnBlkPts>
                            <ClmnBlkPt>
                              <ClmnBlkPtProps>
                                <CBPT>5</CBPT>
                                <ST>6</ST>
                                <VOFFF><![CDATA[Displayed Periods Description]]></VOFFF>
                              </ClmnBlkPtProps>
                            </ClmnBlkPt>
                          </ClmnBlkPts>
                        </ClmnBlk>
                        <ClmnBlk>
                          <ClmnBlkProps>
                            <FCPT>0</FCPT>
                            <FCN>8</FCN>
                            <LCPT>0</LCPT>
                            <LCN>8</LCN>
                          </ClmnBlkProps>
                          <ClmnBlkPts>
                            <ClmnBlkPt>
                              <ClmnBlkPtProps>
                                <CBPT>5</CBPT>
                                <ST>6</ST>
                                <VOFFF><![CDATA[=IF(AND(COLUMNS(§A¿0,1,1,1,7,2,1,-1,0,0,FALSE,TRUE,1,7,2,1,-1,1,0,FALSE,TRUE§Z¿)=§A¿7,2,2,1,14,7,1,1,1§Z¿,MONTH(§A¿0,1,0,1,7,2,1,-1,1,0,FALSE,TRUE§Z¿)=§A¿7,1,1,1,5,0,2,1,1§Z¿),"FY"&YEAR(§A¿0,1,0,1,7,2,1,-1,1,0,FALSE,TRUE§Z¿),COLUMNS(§A¿0,1,1,1,7,2,1,-1,0,0,FALSE,TRUE,1,7,2,1,-1,1,0,FALSE,TRUE§Z¿)&" Months to "&TEXT(§A¿0,1,0,1,7,2,1,-1,1,0,FALSE,TRUE§Z¿,"mmmm yyyy"))]]></VOFFF>
                              </ClmnBlkPtProps>
                            </ClmnBlkPt>
                          </ClmnBlkPts>
                        </ClmnBlk>
                      </ClmnBlks>
                      <TtlCtg>
                        <TtlCtgProps>
                          <R>3</R>
                        </TtlCtgProps>
                      </TtlCtg>
                    </Elmt>
                    <Elmt>
                      <ElmtProps>
                        <CPT>2</CPT>
                      </ElmtProps>
                      <TtlCtg>
                        <TtlCtgProps>
                          <R>6</R>
                        </TtlCtgProps>
                      </TtlCtg>
                    </Elmt>
                    <Elmt>
                      <ElmtProps>
                        <CPT>2</CPT>
                      </ElmtProps>
                      <ClmnBlks>
                        <ClmnBlk>
                          <ClmnBlkProps>
                            <FCPT>0</FCPT>
                            <FCN>2</FCN>
                            <LCPT>0</LCPT>
                            <LCN>2</LCN>
                          </ClmnBlkProps>
                          <ClmnBlkPts>
                            <ClmnBlkPt>
                              <ClmnBlkPtProps>
                                <CBPT>5</CBPT>
                                <ST>6</ST>
                                <VOFFF><![CDATA[Data Tables Scenario]]></VOFFF>
                              </ClmnBlkPtProps>
                            </ClmnBlkPt>
                          </ClmnBlkPts>
                        </ClmnBlk>
                        <ClmnBlk>
                          <ClmnBlkProps>
                            <FCPT>0</FCPT>
                            <FCN>7</FCN>
                            <LCPT>0</LCPT>
                            <LCN>7</LCN>
                          </ClmnBlkProps>
                          <ClmnBlkPts>
                            <ClmnBlkPt>
                              <ClmnBlkPtProps>
                                <CBPT>5</CBPT>
                                <ST>40</ST>
                                <SON>9</SON>
                                <VOFFF><![CDATA[<ModuleName>]]></VOFFF>
                              </ClmnBlkPtProps>
                            </ClmnBlkPt>
                          </ClmnBlkPts>
                        </ClmnBlk>
                        <ClmnBlk>
                          <ClmnBlkProps>
                            <FCPT>0</FCPT>
                            <FCN>8</FCN>
                            <LCPT>0</LCPT>
                            <LCN>8</LCN>
                          </ClmnBlkProps>
                          <ClmnBlkPts>
                            <ClmnBlkPt>
                              <ClmnBlkPtProps>
                                <CBPT>5</CBPT>
                                <ST>18</ST>
                                <SON>6</SON>
                                <VOFFF><![CDATA[0]]></VOFFF>
                              </ClmnBlkPtProps>
                            </ClmnBlkPt>
                          </ClmnBlkPts>
                        </ClmnBlk>
                      </ClmnBlks>
                      <TtlCtg>
                        <TtlCtgProps>
                          <R>3</R>
                        </TtlCtgProps>
                      </TtlCtg>
                      <ElmtLnksOut>
                        <ElmtLnk>
                          <ElmtLnkProps>
                            <ELI>1,1,18</ELI>
                            <ELN>1</ELN>
                            <ELGN>1</ELGN>
                            <MLG>2A81519E-F0C6-4A2A-BDF6-68ADCD9F04D5</MLG>
                            <ICBI>2,3</ICBI>
                            <ILBN>1,2</ILBN>
                            <LIBN>0</LIBN>
                          </ElmtLnkProps>
                        </ElmtLnk>
                      </ElmtLnksOut>
                    </Elmt>
                    <Elmt>
                      <ElmtProps>
                        <CPT>2</CPT>
                      </ElmtProps>
                      <ClmnBlks>
                        <ClmnBlk>
                          <ClmnBlkProps>
                            <FCPT>0</FCPT>
                            <FCN>2</FCN>
                            <LCPT>0</LCPT>
                            <LCN>2</LCN>
                          </ClmnBlkProps>
                          <ClmnBlkPts>
                            <ClmnBlkPt>
                              <ClmnBlkPtProps>
                                <CBPT>5</CBPT>
                                <ST>6</ST>
                                <VOFFF><![CDATA[Active Scenario]]></VOFFF>
                              </ClmnBlkPtProps>
                              <LnkInForms>
                                <LnkInForm>
                                  <LnkInFormProps>
                                    <CBPLI>1,1,19,1,1</CBPLI>
                                    <ELN>1</ELN>
                                    <FFF/>
                                  </LnkInFormProps>
                                </LnkInForm>
                              </LnkInForms>
                            </ClmnBlkPt>
                          </ClmnBlkPts>
                        </ClmnBlk>
                        <ClmnBlk>
                          <ClmnBlkProps>
                            <FCPT>0</FCPT>
                            <FCN>8</FCN>
                            <LCPT>0</LCPT>
                            <LCN>8</LCN>
                          </ClmnBlkProps>
                          <ClmnBlkPts>
                            <ClmnBlkPt>
                              <ClmnBlkPtProps>
                                <CBPT>5</CBPT>
                                <ST>18</ST>
                                <SON>6</SON>
                                <VOFFF><![CDATA[1]]></VOFFF>
                              </ClmnBlkPtProps>
                              <RgeNmes>
                                <RgeNme>
                                  <RgeNmeProps>
                                    <CBPLI>1,1,19,2,1</CBPLI>
                                    <MCN>1</MCN>
                                    <SN>1</SN>
                                    <EN>19</EN>
                                    <CN>0</CN>
                                    <CBN>2</CBN>
                                    <CBPN>1</CBPN>
                                    <PT>1</PT>
                                    <CBPRNT>6</CBPRNT>
                                    <NT>-1</NT>
                                    <SP1><![CDATA[Active_Scenario]]></SP1>
                                    <SP2/>
                                    <FFF/>
                                    <CMT/>
                                  </RgeNmeProps>
                                </RgeNme>
                              </RgeNmes>
                              <LnkInForms>
                                <LnkInForm>
                                  <LnkInFormProps>
                                    <CBPLI>1,1,19,2,1</CBPLI>
                                    <ELN>1</ELN>
                                    <FFF><![CDATA[=§A¿10,FALSE,0,2,0,FALSE§Z¿]]></FFF>
                                  </LnkInFormProps>
                                </LnkInForm>
                              </LnkInForms>
                            </ClmnBlkPt>
                          </ClmnBlkPts>
                        </ClmnBlk>
                      </ClmnBlks>
                      <TtlCtg>
                        <TtlCtgProps>
                          <R>3</R>
                        </TtlCtgProps>
                        <LnkIn>
                          <LnkInProps>
                            <MN>60</MN>
                            <CLI>1,1,19,True,0</CLI>
                            <ELN>1</ELN>
                            <LOOT>2</LOOT>
                            <LOMN>2</LOMN>
                            <LOMCN>1</LOMCN>
                            <LOSN>1</LOSN>
                            <LOEN>9</LOEN>
                            <LOCN>0</LOCN>
                          </LnkInProps>
                        </LnkIn>
                      </TtlCtg>
                      <ElmtLnksIn>
                        <ElmtLnk>
                          <ElmtLnkProps>
                            <ELI>1,1,19</ELI>
                            <ELN>1</ELN>
                            <ELGN>1</ELGN>
                            <MLG>D4DCC3F9-35E2-4238-8D02-A3DB30F01813</MLG>
                            <ICBI>2</ICBI>
                            <ILBN/>
                            <LIBN>0</LIBN>
                          </ElmtLnkProps>
                        </ElmtLnk>
                      </ElmtLnksIn>
                    </Elmt>
                    <Elmt>
                      <ElmtProps>
                        <CPT>2</CPT>
                      </ElmtProps>
                      <TtlCtg>
                        <TtlCtgProps>
                          <R>6</R>
                        </TtlCtgProps>
                      </TtlCtg>
                    </Elmt>
                    <Elmt>
                      <ElmtProps>
                        <CPT>2</CPT>
                      </ElmtProps>
                      <ClmnBlks>
                        <ClmnBlk>
                          <ClmnBlkProps>
                            <FCPT>0</FCPT>
                            <FCN>2</FCN>
                            <LCPT>0</LCPT>
                            <LCN>2</LCN>
                          </ClmnBlkProps>
                          <ClmnBlkPts>
                            <ClmnBlkPt>
                              <ClmnBlkPtProps>
                                <CBPT>5</CBPT>
                                <ST>6</ST>
                                <VOFFF><![CDATA[Data Tables Status]]></VOFFF>
                              </ClmnBlkPtProps>
                            </ClmnBlkPt>
                          </ClmnBlkPts>
                        </ClmnBlk>
                        <ClmnBlk>
                          <ClmnBlkProps>
                            <FCPT>0</FCPT>
                            <FCN>8</FCN>
                            <LCPT>0</LCPT>
                            <LCN>8</LCN>
                          </ClmnBlkProps>
                          <ClmnBlkPts>
                            <ClmnBlkPt>
                              <ClmnBlkPtProps>
                                <CBPT>5</CBPT>
                                <ST>8</ST>
                                <SON>8</SON>
                                <VOFFF><![CDATA[Disabled]]></VOFFF>
                                <UDAV><![CDATA[Disabled]]></UDAV>
                              </ClmnBlkPtProps>
                              <Vdtn>
                                <VdtnProps>
                                  <CBPLI>1,1,21,2,1</CBPLI>
                                  <ADVT>-1</ADVT>
                                  <VT>3</VT>
                                  <AS>1</AS>
                                  <O>1</O>
                                  <F1FFF><![CDATA[=§A¿1,1,3,1,14,0,1,1,1§Z¿]]></F1FFF>
                                  <F2FFF/>
                                  <IB>False</IB>
                                  <ICDD>True</ICDD>
                                  <SI>True</SI>
                                  <IT/>
                                  <IM/>
                                  <SE>True</SE>
                                  <ET><![CDATA[Data Tables Status]]></ET>
                                  <EM><![CDATA[Select a status from the provided list.]]></EM>
                                  <IMO>0</IMO>
                                </VdtnProps>
                              </Vdtn>
                              <RgeNmes>
                                <RgeNme>
                                  <RgeNmeProps>
                                    <CBPLI>1,1,21,2,1</CBPLI>
                                    <MCN>1</MCN>
                                    <SN>1</SN>
                                    <EN>21</EN>
                                    <CN>0</CN>
                                    <CBN>2</CBN>
                                    <CBPN>1</CBPN>
                                    <PT>1</PT>
                                    <CBPRNT>6</CBPRNT>
                                    <NT>-1</NT>
                                    <SP1><![CDATA[Data_Tables_Status]]></SP1>
                                    <SP2/>
                                    <FFF/>
                                    <CMT/>
                                  </RgeNmeProps>
                                </RgeNme>
                              </RgeNmes>
                            </ClmnBlkPt>
                          </ClmnBlkPts>
                        </ClmnBlk>
                      </ClmnBlks>
                      <TtlCtg>
                        <TtlCtgProps>
                          <R>1</R>
                        </TtlCtgProps>
                      </TtlCtg>
                    </Elmt>
                    <Elmt>
                      <ElmtProps>
                        <CPT>2</CPT>
                      </ElmtProps>
                      <ClmnBlks>
                        <ClmnBlk>
                          <ClmnBlkProps>
                            <FCPT>0</FCPT>
                            <FCN>2</FCN>
                            <LCPT>0</LCPT>
                            <LCN>2</LCN>
                          </ClmnBlkProps>
                          <ClmnBlkPts>
                            <ClmnBlkPt>
                              <ClmnBlkPtProps>
                                <CBPT>5</CBPT>
                                <ST>6</ST>
                                <VOFFF><![CDATA[Data Tables Off]]></VOFFF>
                              </ClmnBlkPtProps>
                            </ClmnBlkPt>
                          </ClmnBlkPts>
                        </ClmnBlk>
                        <ClmnBlk>
                          <ClmnBlkProps>
                            <FCPT>0</FCPT>
                            <FCN>8</FCN>
                            <LCPT>0</LCPT>
                            <LCN>8</LCN>
                          </ClmnBlkProps>
                          <ClmnBlkPts>
                            <ClmnBlkPt>
                              <ClmnBlkPtProps>
                                <CBPT>5</CBPT>
                                <ST>6</ST>
                                <SON>8</SON>
                                <VOFFF><![CDATA[=§A¿1,1,1,1,21,0,2,1,1§Z¿<>§A¿1,2,3,1,14,1,1,1,1§Z¿]]></VOFFF>
                              </ClmnBlkPtProps>
                              <RgeNmes>
                                <RgeNme>
                                  <RgeNmeProps>
                                    <CBPLI>1,1,22,2,1</CBPLI>
                                    <MCN>1</MCN>
                                    <SN>1</SN>
                                    <EN>22</EN>
                                    <CN>0</CN>
                                    <CBN>2</CBN>
                                    <CBPN>1</CBPN>
                                    <PT>1</PT>
                                    <CBPRNT>6</CBPRNT>
                                    <NT>-1</NT>
                                    <SP1><![CDATA[Data_Tables_Off]]></SP1>
                                    <SP2/>
                                    <FFF/>
                                    <CMT/>
                                  </RgeNmeProps>
                                </RgeNme>
                              </RgeNmes>
                            </ClmnBlkPt>
                          </ClmnBlkPts>
                        </ClmnBlk>
                      </ClmnBlks>
                      <TtlCtg>
                        <TtlCtgProps>
                          <R>3</R>
                        </TtlCtgProps>
                      </TtlCtg>
                    </Elmt>
                    <Elmt>
                      <ElmtProps>
                        <CPT>2</CPT>
                      </ElmtProps>
                      <TtlCtg>
                        <TtlCtgProps>
                          <R>1</R>
                        </TtlCtgProps>
                      </TtlCtg>
                    </Elmt>
                    <Elmt>
                      <ElmtProps>
                        <CPT>2</CPT>
                      </ElmtProps>
                      <ClmnBlks>
                        <ClmnBlk>
                          <ClmnBlkProps>
                            <FCPT>0</FCPT>
                            <FCN>2</FCN>
                            <LCPT>0</LCPT>
                            <LCN>2</LCN>
                          </ClmnBlkProps>
                          <ClmnBlkPts>
                            <ClmnBlkPt>
                              <ClmnBlkPtProps>
                                <CBPT>5</CBPT>
                                <ST>4</ST>
                                <VOFFF><![CDATA[Income Statement]]></VOFFF>
                              </ClmnBlkPtProps>
                            </ClmnBlkPt>
                          </ClmnBlkPts>
                        </ClmnBlk>
                        <ClmnBlk>
                          <ClmnBlkProps>
                            <FCPT>0</FCPT>
                            <FCN>3</FCN>
                            <LCPT>0</LCPT>
                            <LCN>20</LCN>
                          </ClmnBlkProps>
                          <ClmnBlkPts>
                            <ClmnBlkPt>
                              <ClmnBlkPtProps>
                                <CBPT>5</CBPT>
                                <ST>4</ST>
                                <VOFFF/>
                              </ClmnBlkPtProps>
                            </ClmnBlkPt>
                          </ClmnBlkPts>
                        </ClmnBlk>
                      </ClmnBlks>
                      <TtlCtg>
                        <TtlCtgProps>
                          <R>1</R>
                        </TtlCtgProps>
                      </TtlCtg>
                    </Elmt>
                    <Elmt>
                      <ElmtProps>
                        <CPT>2</CPT>
                      </ElmtProps>
                      <TtlCtg>
                        <TtlCtgProps>
                          <R>1</R>
                        </TtlCtgProps>
                      </TtlCtg>
                    </Elmt>
                    <Elmt>
                      <ElmtProps>
                        <CPT>2</CPT>
                      </ElmtProps>
                      <ClmnBlks>
                        <ClmnBlk>
                          <ClmnBlkProps>
                            <FCPT>0</FCPT>
                            <FCN>2</FCN>
                            <LCPT>0</LCPT>
                            <LCN>2</LCN>
                          </ClmnBlkProps>
                          <ClmnBlkPts>
                            <ClmnBlkPt>
                              <ClmnBlkPtProps>
                                <CBPT>5</CBPT>
                                <ST>5</ST>
                                <VOFFF><![CDATA[=§A¿0,1,0,1,27,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Revenue]]></VOFFF>
                              </ClmnBlkPtProps>
                            </ClmnBlkPt>
                          </ClmnBlkPts>
                        </ClmnBlk>
                        <ClmnBlk>
                          <ClmnBlkProps>
                            <FCPT>0</FCPT>
                            <FCN>9</FCN>
                            <LCPT>0</LCPT>
                            <LCN>20</LCN>
                          </ClmnBlkProps>
                          <ClmnBlkPts>
                            <ClmnBlkPt>
                              <ClmnBlkPtProps>
                                <CBPT>5</CBPT>
                                <ST>18</ST>
                                <SON>1</SON>
                                <VOFFF><![CDATA[0]]></VOFFF>
                              </ClmnBlkPtProps>
                              <LnkInForms>
                                <LnkInForm>
                                  <LnkInFormProps>
                                    <CBPLI>1,1,27,2,1</CBPLI>
                                    <ELN>1</ELN>
                                    <FFF><![CDATA[=IF(§A¿1,1,1,1,22,0,2,1,1§Z¿,§A¿1,2,3,1,14,2,1,1,1§Z¿,IF(§A¿0,1,0,1,11,2,1,-1,0,0,TRUE,FALSE§Z¿,OFFSET(§A¿10,FALSE,0,2,0,FALSE§Z¿,0,§A¿0,1,0,1,15,2,1,-1,0,0,TRUE,TRUE§Z¿),0))]]></FFF>
                                  </LnkInFormProps>
                                </LnkInForm>
                              </LnkInForms>
                            </ClmnBlkPt>
                          </ClmnBlkPts>
                        </ClmnBlk>
                      </ClmnBlks>
                      <TtlCtg>
                        <TtlCtgProps>
                          <R>3</R>
                        </TtlCtgProps>
                        <LnkIn>
                          <LnkInProps>
                            <MN>60</MN>
                            <CLI>1,1,27,True,0</CLI>
                            <ELN>1</ELN>
                            <LOOT>2</LOOT>
                            <LOMN>4</LOMN>
                            <LOMCN>1</LOMCN>
                            <LOSN>1</LOSN>
                            <LOEN>5</LOEN>
                            <LOCN>0</LOCN>
                          </LnkInProps>
                        </LnkIn>
                      </TtlCtg>
                      <ElmtLnksIn>
                        <ElmtLnk>
                          <ElmtLnkProps>
                            <ELI>1,1,27</ELI>
                            <ELN>1</ELN>
                            <ELGN>1</ELGN>
                            <MLG>11F00A27-4776-45B0-B483-5FE1F109AE07</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28,2,1,0,0,0,FALSE,TRUE§Z¿)]]></VOFFF>
                              </ClmnBlkPtProps>
                            </ClmnBlkPt>
                            <ClmnBlkPt>
                              <ClmnBlkPtProps>
                                <CBPT>1</CBPT>
                                <ST>6</ST>
                                <VOFFF><![CDATA[="Total "&§A¿0,1,0,1,28,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27,2,1,-1,0,0,FALSE,FALSE§Z¿]]></VOFFF>
                              </ClmnBlkPtProps>
                            </ClmnBlkPt>
                          </ClmnBlkPts>
                        </ClmnBlk>
                      </ClmnBlks>
                      <SubTtls>
                        <SubTtl>
                          <CatSpan>
                            <CatSpanProps>
                              <CC>3</CC>
                              <R>1</R>
                            </CatSpanProps>
                          </CatSpan>
                        </SubTtl>
                      </SubTtls>
                      <TtlCtg>
                        <TtlCtgProps>
                          <R>3</R>
                        </TtlCtgProps>
                      </TtlCtg>
                      <DataTables>
                        <DataTable>
                          <DataTableProps>
                            <ELI>1,1,28</ELI>
                            <FCBN>2</FCBN>
                            <LCBN>3</LCBN>
                            <RI/>
                            <CI>1,1,18,3,1</CI>
                            <ERN>MODDT1</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31,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Cost of Goods Sold]]></VOFFF>
                              </ClmnBlkPtProps>
                            </ClmnBlkPt>
                          </ClmnBlkPts>
                        </ClmnBlk>
                        <ClmnBlk>
                          <ClmnBlkProps>
                            <FCPT>0</FCPT>
                            <FCN>9</FCN>
                            <LCPT>0</LCPT>
                            <LCN>20</LCN>
                          </ClmnBlkProps>
                          <ClmnBlkPts>
                            <ClmnBlkPt>
                              <ClmnBlkPtProps>
                                <CBPT>5</CBPT>
                                <ST>18</ST>
                                <SON>1</SON>
                                <VOFFF><![CDATA[0]]></VOFFF>
                              </ClmnBlkPtProps>
                              <LnkInForms>
                                <LnkInForm>
                                  <LnkInFormProps>
                                    <CBPLI>1,1,31,2,1</CBPLI>
                                    <ELN>1</ELN>
                                    <FFF><![CDATA[=IF(§A¿1,1,1,1,22,0,2,1,1§Z¿,§A¿1,2,3,1,14,2,1,1,1§Z¿,IF(§A¿0,1,0,1,11,2,1,-1,0,0,TRUE,FALSE§Z¿,-OFFSET(§A¿10,FALSE,0,2,0,FALSE§Z¿,0,§A¿0,1,0,1,15,2,1,-1,0,0,TRUE,TRUE§Z¿),0))]]></FFF>
                                  </LnkInFormProps>
                                </LnkInForm>
                              </LnkInForms>
                            </ClmnBlkPt>
                          </ClmnBlkPts>
                        </ClmnBlk>
                      </ClmnBlks>
                      <TtlCtg>
                        <TtlCtgProps>
                          <R>2</R>
                        </TtlCtgProps>
                        <LnkIn>
                          <LnkInProps>
                            <MN>60</MN>
                            <CLI>1,1,31,True,0</CLI>
                            <ELN>1</ELN>
                            <LOOT>2</LOOT>
                            <LOMN>4</LOMN>
                            <LOMCN>1</LOMCN>
                            <LOSN>1</LOSN>
                            <LOEN>8</LOEN>
                            <LOCN>0</LOCN>
                          </LnkInProps>
                        </LnkIn>
                      </TtlCtg>
                      <ElmtLnksIn>
                        <ElmtLnk>
                          <ElmtLnkProps>
                            <ELI>1,1,31</ELI>
                            <ELN>1</ELN>
                            <ELGN>1</ELGN>
                            <MLG>C934D542-549E-4227-AA8E-9BAFC21C1DD6</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32,2,1,0,0,0,FALSE,TRUE§Z¿)]]></VOFFF>
                              </ClmnBlkPtProps>
                            </ClmnBlkPt>
                            <ClmnBlkPt>
                              <ClmnBlkPtProps>
                                <CBPT>1</CBPT>
                                <ST>6</ST>
                                <VOFFF><![CDATA[="Total "&§A¿0,1,0,1,32,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31,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1,1,32</ELI>
                            <FCBN>2</FCBN>
                            <LCBN>3</LCBN>
                            <RI/>
                            <CI>1,1,18,3,1</CI>
                            <ERN>MODDT2</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Gross Margin]]></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1</CPT>
                        <TOT>True</TOT>
                        <EGN>1</EGN>
                      </ElmtProps>
                      <ClmnBlks>
                        <ClmnBlk>
                          <ClmnBlkProps>
                            <FCPT>0</FCPT>
                            <FCN>2</FCN>
                            <LCPT>0</LCPT>
                            <LCN>2</LCN>
                          </ClmnBlkProps>
                          <ClmnBlkPts>
                            <ClmnBlkPt>
                              <ClmnBlkPtProps>
                                <CBPT>0</CBPT>
                                <ST>6</ST>
                                <VOFFF><![CDATA[=INDEX(§A¿1,1,3,1,10,0,1,1,1§Z¿,§A¿0,1,0,1,35,2,1,0,0,0,FALSE,TRUE§Z¿)]]></VOFFF>
                              </ClmnBlkPtProps>
                            </ClmnBlkPt>
                            <ClmnBlkPt>
                              <ClmnBlkPtProps>
                                <CBPT>1</CBPT>
                                <ST>6</ST>
                                <VOFFF><![CDATA[="Total "&§A¿0,1,0,1,35,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
                              </ClmnBlkPtProps>
                            </ClmnBlkPt>
                          </ClmnBlkPts>
                        </ClmnBlk>
                        <ClmnBlk>
                          <ClmnBlkProps>
                            <FCPT>0</FCPT>
                            <FCN>9</FCN>
                            <LCPT>0</LCPT>
                            <LCN>20</LCN>
                          </ClmnBlkProps>
                          <ClmnBlkPts>
                            <ClmnBlkPt>
                              <ClmnBlkPtProps>
                                <CBPT>0</CBPT>
                                <ST>18</ST>
                                <SON>1</SON>
                                <VOFFF><![CDATA[=IF(§A¿1,1,1,1,22,0,2,1,1§Z¿,§A¿1,2,3,1,14,2,1,1,1§Z¿,§A¿0,1,0,1,28,3,1,0,0,0,FALSE,FALSE§Z¿-§A¿0,1,0,1,32,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
                              </ClmnBlkPtProps>
                            </ClmnBlkPt>
                          </ClmnBlkPts>
                        </ClmnBlk>
                      </ClmnBlks>
                      <SubTtls>
                        <SubTtl>
                          <CatSpan>
                            <CatSpanProps>
                              <CC>3</CC>
                              <R>1</R>
                            </CatSpanProps>
                          </CatSpan>
                        </SubTtl>
                      </SubTtls>
                      <TtlCtg>
                        <TtlCtgProps>
                          <R>3</R>
                        </TtlCtgProps>
                      </TtlCtg>
                    </Elmt>
                    <Elmt>
                      <ElmtProps>
                        <CPT>2</CPT>
                      </ElmtProps>
                      <TtlCtg>
                        <TtlCtgProps>
                          <R>1</R>
                        </TtlCtgProps>
                      </TtlCtg>
                    </Elmt>
                    <Elmt>
                      <ElmtProps>
                        <CPT>2</CPT>
                      </ElmtProps>
                      <ClmnBlks>
                        <ClmnBlk>
                          <ClmnBlkProps>
                            <FCPT>0</FCPT>
                            <FCN>2</FCN>
                            <LCPT>0</LCPT>
                            <LCN>2</LCN>
                          </ClmnBlkProps>
                          <ClmnBlkPts>
                            <ClmnBlkPt>
                              <ClmnBlkPtProps>
                                <CBPT>5</CBPT>
                                <ST>5</ST>
                                <VOFFF><![CDATA[=§A¿0,1,0,1,38,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Net Operating Expenditure]]></VOFFF>
                              </ClmnBlkPtProps>
                              <LnkInForms>
                                <LnkInForm>
                                  <LnkInFormProps>
                                    <CBPLI>1,1,38,1,1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1,1,38,2,1</CBPLI>
                                    <ELN>1</ELN>
                                    <FFF><![CDATA[=IF(§A¿1,1,1,1,22,0,2,1,1§Z¿,§A¿1,2,3,1,14,2,1,1,1§Z¿,IF(§A¿0,1,0,1,11,2,1,-1,0,0,TRUE,FALSE§Z¿,-OFFSET(§A¿10,FALSE,0,2,0,FALSE§Z¿,0,§A¿0,1,0,1,15,2,1,-1,0,0,TRUE,TRUE§Z¿),0))]]></FFF>
                                  </LnkInFormProps>
                                </LnkInForm>
                              </LnkInForms>
                            </ClmnBlkPt>
                          </ClmnBlkPts>
                        </ClmnBlk>
                      </ClmnBlks>
                      <TtlCtg>
                        <TtlCtgProps>
                          <R>2</R>
                        </TtlCtgProps>
                        <LnkIn>
                          <LnkInProps>
                            <MN>60</MN>
                            <CLI>1,1,38,True,0</CLI>
                            <ELN>1</ELN>
                            <LOOT>2</LOOT>
                            <LOMN>4</LOMN>
                            <LOMCN>1</LOMCN>
                            <LOSN>1</LOSN>
                            <LOEN>19</LOEN>
                            <LOCN>0</LOCN>
                          </LnkInProps>
                        </LnkIn>
                      </TtlCtg>
                      <ElmtLnksIn>
                        <ElmtLnk>
                          <ElmtLnkProps>
                            <ELI>1,1,38</ELI>
                            <ELN>1</ELN>
                            <ELGN>1</ELGN>
                            <MLG>F4E23BA8-1749-48B1-B62F-4B203402E9B5</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39,2,1,0,0,0,FALSE,TRUE§Z¿)]]></VOFFF>
                              </ClmnBlkPtProps>
                            </ClmnBlkPt>
                            <ClmnBlkPt>
                              <ClmnBlkPtProps>
                                <CBPT>1</CBPT>
                                <ST>6</ST>
                                <VOFFF><![CDATA[="Total "&§A¿0,1,0,1,39,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38,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1,1,39</ELI>
                            <FCBN>2</FCBN>
                            <LCBN>3</LCBN>
                            <RI/>
                            <CI>1,1,18,3,1</CI>
                            <ERN>MODDT3</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42,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Depreciation & Amortisation]]></VOFFF>
                              </ClmnBlkPtProps>
                              <LnkInForms>
                                <LnkInForm>
                                  <LnkInFormProps>
                                    <CBPLI>1,1,42,1,1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1,1,42,2,1</CBPLI>
                                    <ELN>1</ELN>
                                    <FFF><![CDATA[=IF(§A¿1,1,1,1,22,0,2,1,1§Z¿,§A¿1,2,3,1,14,2,1,1,1§Z¿,IF(§A¿0,1,0,1,11,2,1,-1,0,0,TRUE,FALSE§Z¿,-OFFSET(§A¿10,FALSE,0,2,0,FALSE§Z¿,0,§A¿0,1,0,1,15,2,1,-1,0,0,TRUE,TRUE§Z¿),0))]]></FFF>
                                  </LnkInFormProps>
                                </LnkInForm>
                              </LnkInForms>
                            </ClmnBlkPt>
                          </ClmnBlkPts>
                        </ClmnBlk>
                      </ClmnBlks>
                      <TtlCtg>
                        <TtlCtgProps>
                          <R>2</R>
                        </TtlCtgProps>
                        <LnkIn>
                          <LnkInProps>
                            <MN>60</MN>
                            <CLI>1,1,42,True,0</CLI>
                            <ELN>1</ELN>
                            <LOOT>2</LOOT>
                            <LOMN>4</LOMN>
                            <LOMCN>1</LOMCN>
                            <LOSN>1</LOSN>
                            <LOEN>26</LOEN>
                            <LOCN>0</LOCN>
                          </LnkInProps>
                        </LnkIn>
                      </TtlCtg>
                      <ElmtLnksIn>
                        <ElmtLnk>
                          <ElmtLnkProps>
                            <ELI>1,1,42</ELI>
                            <ELN>1</ELN>
                            <ELGN>1</ELGN>
                            <MLG>3CDE2022-386E-486D-89BB-32DDA443CC7B</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43,2,1,0,0,0,FALSE,TRUE§Z¿)]]></VOFFF>
                              </ClmnBlkPtProps>
                            </ClmnBlkPt>
                            <ClmnBlkPt>
                              <ClmnBlkPtProps>
                                <CBPT>1</CBPT>
                                <ST>6</ST>
                                <VOFFF><![CDATA[="Total "&§A¿0,1,0,1,43,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42,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1,1,43</ELI>
                            <FCBN>2</FCBN>
                            <LCBN>3</LCBN>
                            <RI/>
                            <CI>1,1,18,3,1</CI>
                            <ERN>MODDT4</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46,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Net Interest Expense]]></VOFFF>
                              </ClmnBlkPtProps>
                              <LnkInForms>
                                <LnkInForm>
                                  <LnkInFormProps>
                                    <CBPLI>1,1,46,1,1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1,1,46,2,1</CBPLI>
                                    <ELN>1</ELN>
                                    <FFF><![CDATA[=IF(§A¿1,1,1,1,22,0,2,1,1§Z¿,§A¿1,2,3,1,14,2,1,1,1§Z¿,IF(§A¿0,1,0,1,11,2,1,-1,0,0,TRUE,FALSE§Z¿,-OFFSET(§A¿10,FALSE,0,2,0,FALSE§Z¿,0,§A¿0,1,0,1,15,2,1,-1,0,0,TRUE,TRUE§Z¿),0))]]></FFF>
                                  </LnkInFormProps>
                                </LnkInForm>
                              </LnkInForms>
                            </ClmnBlkPt>
                          </ClmnBlkPts>
                        </ClmnBlk>
                      </ClmnBlks>
                      <TtlCtg>
                        <TtlCtgProps>
                          <R>2</R>
                        </TtlCtgProps>
                        <LnkIn>
                          <LnkInProps>
                            <MN>60</MN>
                            <CLI>1,1,46,True,0</CLI>
                            <ELN>1</ELN>
                            <LOOT>2</LOOT>
                            <LOMN>4</LOMN>
                            <LOMCN>1</LOMCN>
                            <LOSN>1</LOSN>
                            <LOEN>34</LOEN>
                            <LOCN>0</LOCN>
                          </LnkInProps>
                        </LnkIn>
                      </TtlCtg>
                      <ElmtLnksIn>
                        <ElmtLnk>
                          <ElmtLnkProps>
                            <ELI>1,1,46</ELI>
                            <ELN>1</ELN>
                            <ELGN>1</ELGN>
                            <MLG>DB46FB3D-E1B3-4799-85D6-B2E088636C8A</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47,2,1,0,0,0,FALSE,TRUE§Z¿)]]></VOFFF>
                              </ClmnBlkPtProps>
                            </ClmnBlkPt>
                            <ClmnBlkPt>
                              <ClmnBlkPtProps>
                                <CBPT>1</CBPT>
                                <ST>6</ST>
                                <VOFFF><![CDATA[="Total "&§A¿0,1,0,1,47,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46,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1,1,47</ELI>
                            <FCBN>2</FCBN>
                            <LCBN>3</LCBN>
                            <RI/>
                            <CI>1,1,18,3,1</CI>
                            <ERN>MODDT5</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50,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Tax Expense]]></VOFFF>
                              </ClmnBlkPtProps>
                              <LnkInForms>
                                <LnkInForm>
                                  <LnkInFormProps>
                                    <CBPLI>1,1,50,1,1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1,1,50,2,1</CBPLI>
                                    <ELN>1</ELN>
                                    <FFF><![CDATA[=IF(§A¿1,1,1,1,22,0,2,1,1§Z¿,§A¿1,2,3,1,14,2,1,1,1§Z¿,IF(§A¿0,1,0,1,11,2,1,-1,0,0,TRUE,FALSE§Z¿,-OFFSET(§A¿10,FALSE,0,2,0,FALSE§Z¿,0,§A¿0,1,0,1,15,2,1,-1,0,0,TRUE,TRUE§Z¿),0))]]></FFF>
                                  </LnkInFormProps>
                                </LnkInForm>
                              </LnkInForms>
                            </ClmnBlkPt>
                          </ClmnBlkPts>
                        </ClmnBlk>
                      </ClmnBlks>
                      <TtlCtg>
                        <TtlCtgProps>
                          <R>3</R>
                        </TtlCtgProps>
                        <LnkIn>
                          <LnkInProps>
                            <MN>60</MN>
                            <CLI>1,1,50,True,0</CLI>
                            <ELN>1</ELN>
                            <LOOT>2</LOOT>
                            <LOMN>4</LOMN>
                            <LOMCN>1</LOMCN>
                            <LOSN>1</LOSN>
                            <LOEN>38</LOEN>
                            <LOCN>0</LOCN>
                          </LnkInProps>
                        </LnkIn>
                      </TtlCtg>
                      <ElmtLnksIn>
                        <ElmtLnk>
                          <ElmtLnkProps>
                            <ELI>1,1,50</ELI>
                            <ELN>1</ELN>
                            <ELGN>1</ELGN>
                            <MLG>DCFF2135-C05D-4362-983A-FBD5D24C6213</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51,2,1,0,0,0,FALSE,TRUE§Z¿)]]></VOFFF>
                              </ClmnBlkPtProps>
                            </ClmnBlkPt>
                            <ClmnBlkPt>
                              <ClmnBlkPtProps>
                                <CBPT>1</CBPT>
                                <ST>6</ST>
                                <VOFFF><![CDATA[="Total "&§A¿0,1,0,1,51,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50,2,1,-1,0,0,FALSE,FALSE§Z¿]]></VOFFF>
                              </ClmnBlkPtProps>
                            </ClmnBlkPt>
                          </ClmnBlkPts>
                        </ClmnBlk>
                      </ClmnBlks>
                      <SubTtls>
                        <SubTtl>
                          <CatSpan>
                            <CatSpanProps>
                              <CC>3</CC>
                              <R>1</R>
                            </CatSpanProps>
                          </CatSpan>
                        </SubTtl>
                      </SubTtls>
                      <TtlCtg>
                        <TtlCtgProps>
                          <R>3</R>
                        </TtlCtgProps>
                      </TtlCtg>
                      <DataTables>
                        <DataTable>
                          <DataTableProps>
                            <ELI>1,1,51</ELI>
                            <FCBN>2</FCBN>
                            <LCBN>3</LCBN>
                            <RI/>
                            <CI>1,1,18,3,1</CI>
                            <ERN>MODDT6</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54,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Net Profit After Tax]]></VOFFF>
                              </ClmnBlkPtProps>
                              <LnkInForms>
                                <LnkInForm>
                                  <LnkInFormProps>
                                    <CBPLI>1,1,54,1,1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1,1,54,2,1</CBPLI>
                                    <ELN>1</ELN>
                                    <FFF><![CDATA[=IF(§A¿1,1,1,1,22,0,2,1,1§Z¿,§A¿1,2,3,1,14,2,1,1,1§Z¿,IF(§A¿0,1,0,1,11,2,1,-1,0,0,TRUE,FALSE§Z¿,OFFSET(§A¿10,FALSE,0,2,0,FALSE§Z¿,0,§A¿0,1,0,1,15,2,1,-1,0,0,TRUE,TRUE§Z¿),0))]]></FFF>
                                  </LnkInFormProps>
                                </LnkInForm>
                              </LnkInForms>
                            </ClmnBlkPt>
                          </ClmnBlkPts>
                        </ClmnBlk>
                      </ClmnBlks>
                      <TtlCtg>
                        <TtlCtgProps>
                          <R>3</R>
                        </TtlCtgProps>
                        <LnkIn>
                          <LnkInProps>
                            <MN>60</MN>
                            <CLI>1,1,54,True,0</CLI>
                            <ELN>1</ELN>
                            <LOOT>2</LOOT>
                            <LOMN>4</LOMN>
                            <LOMCN>1</LOMCN>
                            <LOSN>1</LOSN>
                            <LOEN>40</LOEN>
                            <LOCN>0</LOCN>
                          </LnkInProps>
                        </LnkIn>
                      </TtlCtg>
                      <ElmtLnksIn>
                        <ElmtLnk>
                          <ElmtLnkProps>
                            <ELI>1,1,54</ELI>
                            <ELN>1</ELN>
                            <ELGN>1</ELGN>
                            <MLG>1C7940B5-C830-4EC2-92DF-CBA013375747</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55,2,1,0,0,0,FALSE,TRUE§Z¿)]]></VOFFF>
                              </ClmnBlkPtProps>
                            </ClmnBlkPt>
                            <ClmnBlkPt>
                              <ClmnBlkPtProps>
                                <CBPT>1</CBPT>
                                <ST>6</ST>
                                <VOFFF><![CDATA[="Total "&§A¿0,1,0,1,55,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54,2,1,-1,0,0,FALSE,FALSE§Z¿]]></VOFFF>
                              </ClmnBlkPtProps>
                            </ClmnBlkPt>
                          </ClmnBlkPts>
                        </ClmnBlk>
                      </ClmnBlks>
                      <SubTtls>
                        <SubTtl>
                          <CatSpan>
                            <CatSpanProps>
                              <CC>3</CC>
                              <R>1</R>
                            </CatSpanProps>
                          </CatSpan>
                        </SubTtl>
                      </SubTtls>
                      <TtlCtg>
                        <TtlCtgProps>
                          <R>3</R>
                        </TtlCtgProps>
                      </TtlCtg>
                      <DataTables>
                        <DataTable>
                          <DataTableProps>
                            <ELI>1,1,55</ELI>
                            <FCBN>2</FCBN>
                            <LCBN>3</LCBN>
                            <RI/>
                            <CI>1,1,18,3,1</CI>
                            <ERN>MODDT7</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4</ST>
                                <VOFFF><![CDATA[Balance Sheet]]></VOFFF>
                              </ClmnBlkPtProps>
                            </ClmnBlkPt>
                          </ClmnBlkPts>
                        </ClmnBlk>
                        <ClmnBlk>
                          <ClmnBlkProps>
                            <FCPT>0</FCPT>
                            <FCN>3</FCN>
                            <LCPT>0</LCPT>
                            <LCN>20</LCN>
                          </ClmnBlkProps>
                          <ClmnBlkPts>
                            <ClmnBlkPt>
                              <ClmnBlkPtProps>
                                <CBPT>5</CBPT>
                                <ST>4</ST>
                                <VOFFF/>
                              </ClmnBlkPtProps>
                            </ClmnBlkPt>
                          </ClmnBlkPts>
                        </ClmnBlk>
                      </ClmnBlks>
                      <TtlCtg>
                        <TtlCtgProps>
                          <R>1</R>
                        </TtlCtgProps>
                      </TtlCtg>
                    </Elmt>
                    <Elmt>
                      <ElmtProps>
                        <CPT>2</CPT>
                      </ElmtProps>
                      <TtlCtg>
                        <TtlCtgProps>
                          <R>1</R>
                        </TtlCtgProps>
                      </TtlCtg>
                    </Elmt>
                    <Elmt>
                      <ElmtProps>
                        <CPT>2</CPT>
                      </ElmtProps>
                      <ClmnBlks>
                        <ClmnBlk>
                          <ClmnBlkProps>
                            <FCPT>0</FCPT>
                            <FCN>2</FCN>
                            <LCPT>0</LCPT>
                            <LCN>2</LCN>
                          </ClmnBlkProps>
                          <ClmnBlkPts>
                            <ClmnBlkPt>
                              <ClmnBlkPtProps>
                                <CBPT>5</CBPT>
                                <ST>5</ST>
                                <VOFFF><![CDATA[=§A¿0,1,0,1,60,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Closing Cash]]></VOFFF>
                              </ClmnBlkPtProps>
                              <LnkInForms>
                                <LnkInForm>
                                  <LnkInFormProps>
                                    <CBPLI>1,1,60,1,1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1,1,60,2,1</CBPLI>
                                    <ELN>1</ELN>
                                    <FFF><![CDATA[=IF(§A¿1,1,1,1,22,0,2,1,1§Z¿,§A¿1,2,3,1,14,2,1,1,1§Z¿,IF(§A¿0,1,0,1,11,2,1,-1,0,0,TRUE,FALSE§Z¿,OFFSET(§A¿10,FALSE,0,2,0,FALSE§Z¿,0,§A¿0,1,0,1,15,2,1,-1,0,0,TRUE,TRUE§Z¿),0))]]></FFF>
                                  </LnkInFormProps>
                                </LnkInForm>
                              </LnkInForms>
                            </ClmnBlkPt>
                          </ClmnBlkPts>
                        </ClmnBlk>
                      </ClmnBlks>
                      <TtlCtg>
                        <TtlCtgProps>
                          <R>3</R>
                        </TtlCtgProps>
                        <LnkIn>
                          <LnkInProps>
                            <MN>60</MN>
                            <CLI>1,1,60,True,0</CLI>
                            <ELN>1</ELN>
                            <LOOT>2</LOOT>
                            <LOMN>5</LOMN>
                            <LOMCN>1</LOMCN>
                            <LOSN>1</LOSN>
                            <LOEN>6</LOEN>
                            <LOCN>0</LOCN>
                          </LnkInProps>
                        </LnkIn>
                      </TtlCtg>
                      <ElmtLnksIn>
                        <ElmtLnk>
                          <ElmtLnkProps>
                            <ELI>1,1,60</ELI>
                            <ELN>1</ELN>
                            <ELGN>1</ELGN>
                            <MLG>94F7C237-741F-486A-887E-D225C751D340</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61,2,1,0,0,0,FALSE,TRUE§Z¿)]]></VOFFF>
                              </ClmnBlkPtProps>
                            </ClmnBlkPt>
                            <ClmnBlkPt>
                              <ClmnBlkPtProps>
                                <CBPT>1</CBPT>
                                <ST>6</ST>
                                <VOFFF><![CDATA[="Total "&§A¿0,1,0,1,61,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60,2,1,-1,0,0,FALSE,FALSE§Z¿]]></VOFFF>
                              </ClmnBlkPtProps>
                            </ClmnBlkPt>
                          </ClmnBlkPts>
                        </ClmnBlk>
                      </ClmnBlks>
                      <SubTtls>
                        <SubTtl>
                          <CatSpan>
                            <CatSpanProps>
                              <CC>3</CC>
                              <R>1</R>
                            </CatSpanProps>
                          </CatSpan>
                        </SubTtl>
                      </SubTtls>
                      <TtlCtg>
                        <TtlCtgProps>
                          <R>3</R>
                        </TtlCtgProps>
                      </TtlCtg>
                      <DataTables>
                        <DataTable>
                          <DataTableProps>
                            <ELI>1,1,61</ELI>
                            <FCBN>2</FCBN>
                            <LCBN>3</LCBN>
                            <RI/>
                            <CI>1,1,18,3,1</CI>
                            <ERN>MODDT8</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64,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Total Current Assets]]></VOFFF>
                              </ClmnBlkPtProps>
                              <LnkInForms>
                                <LnkInForm>
                                  <LnkInFormProps>
                                    <CBPLI>1,1,64,1,1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1,1,64,2,1</CBPLI>
                                    <ELN>1</ELN>
                                    <FFF><![CDATA[=IF(§A¿1,1,1,1,22,0,2,1,1§Z¿,§A¿1,2,3,1,14,2,1,1,1§Z¿,IF(§A¿0,1,0,1,11,2,1,-1,0,0,TRUE,FALSE§Z¿,OFFSET(§A¿10,FALSE,0,2,0,FALSE§Z¿,0,§A¿0,1,0,1,15,2,1,-1,0,0,TRUE,TRUE§Z¿),0))]]></FFF>
                                  </LnkInFormProps>
                                </LnkInForm>
                              </LnkInForms>
                            </ClmnBlkPt>
                          </ClmnBlkPts>
                        </ClmnBlk>
                      </ClmnBlks>
                      <TtlCtg>
                        <TtlCtgProps>
                          <R>3</R>
                        </TtlCtgProps>
                        <LnkIn>
                          <LnkInProps>
                            <MN>60</MN>
                            <CLI>1,1,64,True,0</CLI>
                            <ELN>1</ELN>
                            <LOOT>2</LOOT>
                            <LOMN>5</LOMN>
                            <LOMCN>1</LOMCN>
                            <LOSN>1</LOSN>
                            <LOEN>14</LOEN>
                            <LOCN>0</LOCN>
                          </LnkInProps>
                        </LnkIn>
                      </TtlCtg>
                      <ElmtLnksIn>
                        <ElmtLnk>
                          <ElmtLnkProps>
                            <ELI>1,1,64</ELI>
                            <ELN>1</ELN>
                            <ELGN>1</ELGN>
                            <MLG>05669348-3946-4025-8A8C-5E6839DA7E46</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65,2,1,0,0,0,FALSE,TRUE§Z¿)]]></VOFFF>
                              </ClmnBlkPtProps>
                            </ClmnBlkPt>
                            <ClmnBlkPt>
                              <ClmnBlkPtProps>
                                <CBPT>1</CBPT>
                                <ST>6</ST>
                                <VOFFF><![CDATA[="Total "&§A¿0,1,0,1,65,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64,2,1,-1,0,0,FALSE,FALSE§Z¿]]></VOFFF>
                              </ClmnBlkPtProps>
                            </ClmnBlkPt>
                          </ClmnBlkPts>
                        </ClmnBlk>
                      </ClmnBlks>
                      <SubTtls>
                        <SubTtl>
                          <CatSpan>
                            <CatSpanProps>
                              <CC>3</CC>
                              <R>1</R>
                            </CatSpanProps>
                          </CatSpan>
                        </SubTtl>
                      </SubTtls>
                      <TtlCtg>
                        <TtlCtgProps>
                          <R>3</R>
                        </TtlCtgProps>
                      </TtlCtg>
                      <DataTables>
                        <DataTable>
                          <DataTableProps>
                            <ELI>1,1,65</ELI>
                            <FCBN>2</FCBN>
                            <LCBN>3</LCBN>
                            <RI/>
                            <CI>1,1,18,3,1</CI>
                            <ERN>MODDT9</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68,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Total Assets]]></VOFFF>
                              </ClmnBlkPtProps>
                              <LnkInForms>
                                <LnkInForm>
                                  <LnkInFormProps>
                                    <CBPLI>1,1,68,1,1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1,1,68,2,1</CBPLI>
                                    <ELN>1</ELN>
                                    <FFF><![CDATA[=IF(§A¿1,1,1,1,22,0,2,1,1§Z¿,§A¿1,2,3,1,14,2,1,1,1§Z¿,IF(§A¿0,1,0,1,11,2,1,-1,0,0,TRUE,FALSE§Z¿,OFFSET(§A¿10,FALSE,0,2,0,FALSE§Z¿,0,§A¿0,1,0,1,15,2,1,-1,0,0,TRUE,TRUE§Z¿),0))]]></FFF>
                                  </LnkInFormProps>
                                </LnkInForm>
                              </LnkInForms>
                            </ClmnBlkPt>
                          </ClmnBlkPts>
                        </ClmnBlk>
                      </ClmnBlks>
                      <TtlCtg>
                        <TtlCtgProps>
                          <R>2</R>
                        </TtlCtgProps>
                        <LnkIn>
                          <LnkInProps>
                            <MN>60</MN>
                            <CLI>1,1,68,True,0</CLI>
                            <ELN>1</ELN>
                            <LOOT>2</LOOT>
                            <LOMN>5</LOMN>
                            <LOMCN>1</LOMCN>
                            <LOSN>1</LOSN>
                            <LOEN>22</LOEN>
                            <LOCN>0</LOCN>
                          </LnkInProps>
                        </LnkIn>
                      </TtlCtg>
                      <ElmtLnksIn>
                        <ElmtLnk>
                          <ElmtLnkProps>
                            <ELI>1,1,68</ELI>
                            <ELN>1</ELN>
                            <ELGN>1</ELGN>
                            <MLG>C14D920E-B313-4475-AA71-1A663B13321A</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69,2,1,0,0,0,FALSE,TRUE§Z¿)]]></VOFFF>
                              </ClmnBlkPtProps>
                            </ClmnBlkPt>
                            <ClmnBlkPt>
                              <ClmnBlkPtProps>
                                <CBPT>1</CBPT>
                                <ST>6</ST>
                                <VOFFF><![CDATA[="Total "&§A¿0,1,0,1,69,1,3,0,0,0,FALSE,FALSE§Z¿]]></VOFFF>
                              </ClmnBlkPtProps>
                            </ClmnBlkPt>
                            <ClmnBlkPt>
                              <ClmnBlkPtProps>
                                <CBPT>2</CBPT>
                                <ST>5</ST>
                                <VOFFF><![CDATA[=§A¿-2§Z¿]]></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68,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1,1,69</ELI>
                            <FCBN>2</FCBN>
                            <LCBN>3</LCBN>
                            <RI/>
                            <CI>1,1,18,3,1</CI>
                            <ERN>MODDT10</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72,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Total Liabilities]]></VOFFF>
                              </ClmnBlkPtProps>
                              <LnkInForms>
                                <LnkInForm>
                                  <LnkInFormProps>
                                    <CBPLI>1,1,72,1,1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1,1,72,2,1</CBPLI>
                                    <ELN>1</ELN>
                                    <FFF><![CDATA[=IF(§A¿1,1,1,1,22,0,2,1,1§Z¿,§A¿1,2,3,1,14,2,1,1,1§Z¿,IF(§A¿0,1,0,1,11,2,1,-1,0,0,TRUE,FALSE§Z¿,OFFSET(§A¿10,FALSE,0,2,0,FALSE§Z¿,0,§A¿0,1,0,1,15,2,1,-1,0,0,TRUE,TRUE§Z¿),0))]]></FFF>
                                  </LnkInFormProps>
                                </LnkInForm>
                              </LnkInForms>
                            </ClmnBlkPt>
                          </ClmnBlkPts>
                        </ClmnBlk>
                      </ClmnBlks>
                      <TtlCtg>
                        <TtlCtgProps>
                          <R>2</R>
                        </TtlCtgProps>
                        <LnkIn>
                          <LnkInProps>
                            <MN>60</MN>
                            <CLI>1,1,72,True,0</CLI>
                            <ELN>1</ELN>
                            <LOOT>2</LOOT>
                            <LOMN>5</LOMN>
                            <LOMCN>1</LOMCN>
                            <LOSN>1</LOSN>
                            <LOEN>52</LOEN>
                            <LOCN>0</LOCN>
                          </LnkInProps>
                        </LnkIn>
                      </TtlCtg>
                      <ElmtLnksIn>
                        <ElmtLnk>
                          <ElmtLnkProps>
                            <ELI>1,1,72</ELI>
                            <ELN>1</ELN>
                            <ELGN>1</ELGN>
                            <MLG>3443602F-4951-46CB-BFE0-63952A1BDF39</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73,2,1,0,0,0,FALSE,TRUE§Z¿)]]></VOFFF>
                              </ClmnBlkPtProps>
                            </ClmnBlkPt>
                            <ClmnBlkPt>
                              <ClmnBlkPtProps>
                                <CBPT>1</CBPT>
                                <ST>6</ST>
                                <VOFFF><![CDATA[="Total "&§A¿0,1,0,1,73,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72,2,1,-1,0,0,FALSE,FALSE§Z¿]]></VOFFF>
                              </ClmnBlkPtProps>
                            </ClmnBlkPt>
                          </ClmnBlkPts>
                        </ClmnBlk>
                      </ClmnBlks>
                      <SubTtls>
                        <SubTtl>
                          <CatSpan>
                            <CatSpanProps>
                              <CC>3</CC>
                              <R>1</R>
                            </CatSpanProps>
                          </CatSpan>
                        </SubTtl>
                      </SubTtls>
                      <TtlCtg>
                        <TtlCtgProps>
                          <R>2</R>
                        </TtlCtgProps>
                        <TtlSpcrRow>
                          <TtlSpcrRowProps>
                            <RSN>4</RSN>
                          </TtlSpcrRowProps>
                        </TtlSpcrRow>
                      </TtlCtg>
                      <DataTables>
                        <DataTable>
                          <DataTableProps>
                            <ELI>1,1,73</ELI>
                            <FCBN>2</FCBN>
                            <LCBN>3</LCBN>
                            <RI/>
                            <CI>1,1,18,3,1</CI>
                            <ERN>MODDT11</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Net Assets]]></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1</CPT>
                        <TOT>True</TOT>
                        <EGN>1</EGN>
                      </ElmtProps>
                      <ClmnBlks>
                        <ClmnBlk>
                          <ClmnBlkProps>
                            <FCPT>0</FCPT>
                            <FCN>2</FCN>
                            <LCPT>0</LCPT>
                            <LCN>2</LCN>
                          </ClmnBlkProps>
                          <ClmnBlkPts>
                            <ClmnBlkPt>
                              <ClmnBlkPtProps>
                                <CBPT>0</CBPT>
                                <ST>6</ST>
                                <VOFFF><![CDATA[=INDEX(§A¿1,1,3,1,10,0,1,1,1§Z¿,§A¿0,1,0,1,76,2,1,0,0,0,FALSE,TRUE§Z¿)]]></VOFFF>
                              </ClmnBlkPtProps>
                            </ClmnBlkPt>
                            <ClmnBlkPt>
                              <ClmnBlkPtProps>
                                <CBPT>1</CBPT>
                                <ST>6</ST>
                                <VOFFF><![CDATA[="Total "&§A¿0,1,0,1,76,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
                              </ClmnBlkPtProps>
                            </ClmnBlkPt>
                          </ClmnBlkPts>
                        </ClmnBlk>
                        <ClmnBlk>
                          <ClmnBlkProps>
                            <FCPT>0</FCPT>
                            <FCN>9</FCN>
                            <LCPT>0</LCPT>
                            <LCN>20</LCN>
                          </ClmnBlkProps>
                          <ClmnBlkPts>
                            <ClmnBlkPt>
                              <ClmnBlkPtProps>
                                <CBPT>0</CBPT>
                                <ST>18</ST>
                                <SON>1</SON>
                                <VOFFF><![CDATA[=IF(§A¿1,1,1,1,22,0,2,1,1§Z¿,§A¿1,2,3,1,14,2,1,1,1§Z¿,§A¿0,1,0,1,69,3,1,0,0,0,FALSE,FALSE§Z¿-§A¿0,1,0,1,73,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
                              </ClmnBlkPtProps>
                            </ClmnBlkPt>
                          </ClmnBlkPts>
                        </ClmnBlk>
                      </ClmnBlks>
                      <SubTtls>
                        <SubTtl>
                          <CatSpan>
                            <CatSpanProps>
                              <CC>3</CC>
                              <R>1</R>
                            </CatSpanProps>
                          </CatSpan>
                        </SubTtl>
                      </SubTtls>
                      <TtlCtg>
                        <TtlCtgProps>
                          <R>3</R>
                        </TtlCtgProps>
                      </TtlCtg>
                    </Elmt>
                    <Elmt>
                      <ElmtProps>
                        <CPT>2</CPT>
                      </ElmtProps>
                      <TtlCtg>
                        <TtlCtgProps>
                          <R>1</R>
                        </TtlCtgProps>
                      </TtlCtg>
                    </Elmt>
                    <Elmt>
                      <ElmtProps>
                        <CPT>2</CPT>
                      </ElmtProps>
                      <ClmnBlks>
                        <ClmnBlk>
                          <ClmnBlkProps>
                            <FCPT>0</FCPT>
                            <FCN>2</FCN>
                            <LCPT>0</LCPT>
                            <LCN>2</LCN>
                          </ClmnBlkProps>
                          <ClmnBlkPts>
                            <ClmnBlkPt>
                              <ClmnBlkPtProps>
                                <CBPT>5</CBPT>
                                <ST>4</ST>
                                <VOFFF><![CDATA[Cash Flow Statement]]></VOFFF>
                              </ClmnBlkPtProps>
                            </ClmnBlkPt>
                          </ClmnBlkPts>
                        </ClmnBlk>
                        <ClmnBlk>
                          <ClmnBlkProps>
                            <FCPT>0</FCPT>
                            <FCN>3</FCN>
                            <LCPT>0</LCPT>
                            <LCN>20</LCN>
                          </ClmnBlkProps>
                          <ClmnBlkPts>
                            <ClmnBlkPt>
                              <ClmnBlkPtProps>
                                <CBPT>5</CBPT>
                                <ST>4</ST>
                                <VOFFF/>
                              </ClmnBlkPtProps>
                            </ClmnBlkPt>
                          </ClmnBlkPts>
                        </ClmnBlk>
                      </ClmnBlks>
                      <TtlCtg>
                        <TtlCtgProps>
                          <R>1</R>
                        </TtlCtgProps>
                      </TtlCtg>
                    </Elmt>
                    <Elmt>
                      <ElmtProps>
                        <CPT>2</CPT>
                      </ElmtProps>
                      <TtlCtg>
                        <TtlCtgProps>
                          <R>1</R>
                        </TtlCtgProps>
                      </TtlCtg>
                    </Elmt>
                    <Elmt>
                      <ElmtProps>
                        <CPT>2</CPT>
                      </ElmtProps>
                      <ClmnBlks>
                        <ClmnBlk>
                          <ClmnBlkProps>
                            <FCPT>0</FCPT>
                            <FCN>2</FCN>
                            <LCPT>0</LCPT>
                            <LCN>2</LCN>
                          </ClmnBlkProps>
                          <ClmnBlkPts>
                            <ClmnBlkPt>
                              <ClmnBlkPtProps>
                                <CBPT>5</CBPT>
                                <ST>5</ST>
                                <VOFFF><![CDATA[=§A¿0,1,0,1,81,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Operating Cash Flows]]></VOFFF>
                              </ClmnBlkPtProps>
                              <LnkInForms>
                                <LnkInForm>
                                  <LnkInFormProps>
                                    <CBPLI>1,1,81,1,1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1,1,81,2,1</CBPLI>
                                    <ELN>1</ELN>
                                    <FFF><![CDATA[=IF(§A¿1,1,1,1,22,0,2,1,1§Z¿,§A¿1,2,3,1,14,2,1,1,1§Z¿,IF(§A¿0,1,0,1,11,2,1,-1,0,0,TRUE,FALSE§Z¿,OFFSET(§A¿10,FALSE,0,2,0,FALSE§Z¿,0,§A¿0,1,0,1,15,2,1,-1,0,0,TRUE,TRUE§Z¿),0))]]></FFF>
                                  </LnkInFormProps>
                                </LnkInForm>
                              </LnkInForms>
                            </ClmnBlkPt>
                          </ClmnBlkPts>
                        </ClmnBlk>
                      </ClmnBlks>
                      <TtlCtg>
                        <TtlCtgProps>
                          <R>3</R>
                        </TtlCtgProps>
                        <LnkIn>
                          <LnkInProps>
                            <MN>60</MN>
                            <CLI>1,1,81,True,0</CLI>
                            <ELN>1</ELN>
                            <LOOT>2</LOOT>
                            <LOMN>6</LOMN>
                            <LOMCN>1</LOMCN>
                            <LOSN>1</LOSN>
                            <LOEN>44</LOEN>
                            <LOCN>0</LOCN>
                          </LnkInProps>
                        </LnkIn>
                      </TtlCtg>
                      <ElmtLnksIn>
                        <ElmtLnk>
                          <ElmtLnkProps>
                            <ELI>1,1,81</ELI>
                            <ELN>1</ELN>
                            <ELGN>1</ELGN>
                            <MLG>5A41D950-1C57-41C9-90EA-CB1F503F74A2</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82,2,1,0,0,0,FALSE,TRUE§Z¿)]]></VOFFF>
                              </ClmnBlkPtProps>
                            </ClmnBlkPt>
                            <ClmnBlkPt>
                              <ClmnBlkPtProps>
                                <CBPT>1</CBPT>
                                <ST>6</ST>
                                <VOFFF><![CDATA[="Total "&§A¿0,1,0,1,82,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81,2,1,-1,0,0,FALSE,FALSE§Z¿]]></VOFFF>
                              </ClmnBlkPtProps>
                            </ClmnBlkPt>
                          </ClmnBlkPts>
                        </ClmnBlk>
                      </ClmnBlks>
                      <SubTtls>
                        <SubTtl>
                          <CatSpan>
                            <CatSpanProps>
                              <CC>3</CC>
                              <R>1</R>
                            </CatSpanProps>
                          </CatSpan>
                        </SubTtl>
                      </SubTtls>
                      <TtlCtg>
                        <TtlCtgProps>
                          <R>3</R>
                        </TtlCtgProps>
                      </TtlCtg>
                      <DataTables>
                        <DataTable>
                          <DataTableProps>
                            <ELI>1,1,82</ELI>
                            <FCBN>2</FCBN>
                            <LCBN>3</LCBN>
                            <RI/>
                            <CI>1,1,18,3,1</CI>
                            <ERN>MODDT12</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85,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Investing Cash Flows]]></VOFFF>
                              </ClmnBlkPtProps>
                              <LnkInForms>
                                <LnkInForm>
                                  <LnkInFormProps>
                                    <CBPLI>1,1,85,1,1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1,1,85,2,1</CBPLI>
                                    <ELN>1</ELN>
                                    <FFF><![CDATA[=IF(§A¿1,1,1,1,22,0,2,1,1§Z¿,§A¿1,2,3,1,14,2,1,1,1§Z¿,IF(§A¿0,1,0,1,11,2,1,-1,0,0,TRUE,FALSE§Z¿,OFFSET(§A¿10,FALSE,0,2,0,FALSE§Z¿,0,§A¿0,1,0,1,15,2,1,-1,0,0,TRUE,TRUE§Z¿),0))]]></FFF>
                                  </LnkInFormProps>
                                </LnkInForm>
                              </LnkInForms>
                            </ClmnBlkPt>
                          </ClmnBlkPts>
                        </ClmnBlk>
                      </ClmnBlks>
                      <TtlCtg>
                        <TtlCtgProps>
                          <R>3</R>
                        </TtlCtgProps>
                        <LnkIn>
                          <LnkInProps>
                            <MN>60</MN>
                            <CLI>1,1,85,True,0</CLI>
                            <ELN>1</ELN>
                            <LOOT>2</LOOT>
                            <LOMN>6</LOMN>
                            <LOMCN>1</LOMCN>
                            <LOSN>1</LOSN>
                            <LOEN>50</LOEN>
                            <LOCN>0</LOCN>
                          </LnkInProps>
                        </LnkIn>
                      </TtlCtg>
                      <ElmtLnksIn>
                        <ElmtLnk>
                          <ElmtLnkProps>
                            <ELI>1,1,85</ELI>
                            <ELN>1</ELN>
                            <ELGN>1</ELGN>
                            <MLG>010063FA-2719-4482-BDA4-0199C6E8E506</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86,2,1,0,0,0,FALSE,TRUE§Z¿)]]></VOFFF>
                              </ClmnBlkPtProps>
                            </ClmnBlkPt>
                            <ClmnBlkPt>
                              <ClmnBlkPtProps>
                                <CBPT>1</CBPT>
                                <ST>6</ST>
                                <VOFFF><![CDATA[="Total "&§A¿0,1,0,1,86,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85,2,1,-1,0,0,FALSE,FALSE§Z¿]]></VOFFF>
                              </ClmnBlkPtProps>
                            </ClmnBlkPt>
                          </ClmnBlkPts>
                        </ClmnBlk>
                      </ClmnBlks>
                      <SubTtls>
                        <SubTtl>
                          <CatSpan>
                            <CatSpanProps>
                              <CC>3</CC>
                              <R>1</R>
                            </CatSpanProps>
                          </CatSpan>
                        </SubTtl>
                      </SubTtls>
                      <TtlCtg>
                        <TtlCtgProps>
                          <R>3</R>
                        </TtlCtgProps>
                        <TtlSpcrRow>
                          <TtlSpcrRowProps>
                            <RSN>4</RSN>
                          </TtlSpcrRowProps>
                        </TtlSpcrRow>
                      </TtlCtg>
                      <DataTables>
                        <DataTable>
                          <DataTableProps>
                            <ELI>1,1,86</ELI>
                            <FCBN>2</FCBN>
                            <LCBN>3</LCBN>
                            <RI/>
                            <CI>1,1,18,3,1</CI>
                            <ERN>MODDT13</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A¿0,1,0,1,89,1,1,-1,0,0,FALSE,FALSE§Z¿]]></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2</CPT>
                      </ElmtProps>
                      <ClmnBlks>
                        <ClmnBlk>
                          <ClmnBlkProps>
                            <FCPT>0</FCPT>
                            <FCN>2</FCN>
                            <LCPT>0</LCPT>
                            <LCN>2</LCN>
                          </ClmnBlkProps>
                          <ClmnBlkPts>
                            <ClmnBlkPt>
                              <ClmnBlkPtProps>
                                <CBPT>5</CBPT>
                                <ST>6</ST>
                                <VOFFF><![CDATA[Financing Cash Flows]]></VOFFF>
                              </ClmnBlkPtProps>
                              <LnkInForms>
                                <LnkInForm>
                                  <LnkInFormProps>
                                    <CBPLI>1,1,89,1,1</CBPLI>
                                    <ELN>1</ELN>
                                    <FFF/>
                                  </LnkInFormProps>
                                </LnkInForm>
                              </LnkInForms>
                            </ClmnBlkPt>
                          </ClmnBlkPts>
                        </ClmnBlk>
                        <ClmnBlk>
                          <ClmnBlkProps>
                            <FCPT>0</FCPT>
                            <FCN>9</FCN>
                            <LCPT>0</LCPT>
                            <LCN>20</LCN>
                          </ClmnBlkProps>
                          <ClmnBlkPts>
                            <ClmnBlkPt>
                              <ClmnBlkPtProps>
                                <CBPT>5</CBPT>
                                <ST>18</ST>
                                <SON>1</SON>
                                <VOFFF><![CDATA[0]]></VOFFF>
                              </ClmnBlkPtProps>
                              <LnkInForms>
                                <LnkInForm>
                                  <LnkInFormProps>
                                    <CBPLI>1,1,89,2,1</CBPLI>
                                    <ELN>1</ELN>
                                    <FFF><![CDATA[=IF(§A¿1,1,1,1,22,0,2,1,1§Z¿,§A¿1,2,3,1,14,2,1,1,1§Z¿,IF(§A¿0,1,0,1,11,2,1,-1,0,0,TRUE,FALSE§Z¿,OFFSET(§A¿10,FALSE,0,2,0,FALSE§Z¿,0,§A¿0,1,0,1,15,2,1,-1,0,0,TRUE,TRUE§Z¿),0))]]></FFF>
                                  </LnkInFormProps>
                                </LnkInForm>
                              </LnkInForms>
                            </ClmnBlkPt>
                          </ClmnBlkPts>
                        </ClmnBlk>
                      </ClmnBlks>
                      <TtlCtg>
                        <TtlCtgProps>
                          <R>3</R>
                        </TtlCtgProps>
                        <LnkIn>
                          <LnkInProps>
                            <MN>60</MN>
                            <CLI>1,1,89,True,0</CLI>
                            <ELN>1</ELN>
                            <LOOT>2</LOOT>
                            <LOMN>6</LOMN>
                            <LOMCN>1</LOMCN>
                            <LOSN>1</LOSN>
                            <LOEN>64</LOEN>
                            <LOCN>0</LOCN>
                          </LnkInProps>
                        </LnkIn>
                      </TtlCtg>
                      <ElmtLnksIn>
                        <ElmtLnk>
                          <ElmtLnkProps>
                            <ELI>1,1,89</ELI>
                            <ELN>1</ELN>
                            <ELGN>1</ELGN>
                            <MLG>756FDCAB-CC4D-446A-B013-D0F853A20904</MLG>
                            <ICBI>2</ICBI>
                            <ILBN/>
                            <LIBN>0</LIBN>
                          </ElmtLnkProps>
                        </ElmtLnk>
                      </ElmtLnksIn>
                    </Elmt>
                    <Elmt>
                      <ElmtProps>
                        <CPT>0</CPT>
                        <TOT>True</TOT>
                        <EGN>1</EGN>
                      </ElmtProps>
                      <ClmnBlks>
                        <ClmnBlk>
                          <ClmnBlkProps>
                            <FCPT>0</FCPT>
                            <FCN>2</FCN>
                            <LCPT>0</LCPT>
                            <LCN>2</LCN>
                          </ClmnBlkProps>
                          <ClmnBlkPts>
                            <ClmnBlkPt>
                              <ClmnBlkPtProps>
                                <CBPT>0</CBPT>
                                <ST>6</ST>
                                <VOFFF><![CDATA[=INDEX(§A¿1,1,3,1,10,0,1,1,1§Z¿,§A¿0,1,0,1,90,2,1,0,0,0,FALSE,TRUE§Z¿)]]></VOFFF>
                              </ClmnBlkPtProps>
                            </ClmnBlkPt>
                            <ClmnBlkPt>
                              <ClmnBlkPtProps>
                                <CBPT>1</CBPT>
                                <ST>6</ST>
                                <VOFFF><![CDATA[="Total "&§A¿0,1,0,1,90,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CDATA[="Active Case ("&INDEX(§A¿1,1,3,1,10,0,1,1,1§Z¿,§A¿1,1,1,1,19,0,2,1,1§Z¿)&")"]]></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CDATA[Scenario]]></VOFFF>
                              </ClmnBlkPtProps>
                            </ClmnBlkPt>
                          </ClmnBlkPts>
                        </ClmnBlk>
                        <ClmnBlk>
                          <ClmnBlkProps>
                            <FCPT>0</FCPT>
                            <FCN>9</FCN>
                            <LCPT>0</LCPT>
                            <LCN>20</LCN>
                          </ClmnBlkProps>
                          <ClmnBlkPts>
                            <ClmnBlkPt>
                              <ClmnBlkPtProps>
                                <CBPT>0</CBPT>
                                <ST>18</ST>
                                <SON>1</SON>
                                <VOFFF><![CDATA[=TABLE(,§A¿0,1,0,1,18,3,1,-1,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CDATA[=§A¿0,1,0,1,89,2,1,-1,0,0,FALSE,FALSE§Z¿]]></VOFFF>
                              </ClmnBlkPtProps>
                            </ClmnBlkPt>
                          </ClmnBlkPts>
                        </ClmnBlk>
                      </ClmnBlks>
                      <SubTtls>
                        <SubTtl>
                          <CatSpan>
                            <CatSpanProps>
                              <CC>3</CC>
                              <R>1</R>
                            </CatSpanProps>
                          </CatSpan>
                        </SubTtl>
                      </SubTtls>
                      <TtlCtg>
                        <TtlCtgProps>
                          <R>3</R>
                        </TtlCtgProps>
                      </TtlCtg>
                      <DataTables>
                        <DataTable>
                          <DataTableProps>
                            <ELI>1,1,90</ELI>
                            <FCBN>2</FCBN>
                            <LCBN>3</LCBN>
                            <RI/>
                            <CI>1,1,18,3,1</CI>
                            <ERN>MODDT14</ERN>
                            <D>False</D>
                          </DataTableProps>
                        </DataTable>
                      </DataTables>
                    </Elmt>
                    <Elmt>
                      <ElmtProps>
                        <CPT>2</CPT>
                      </ElmtProps>
                      <TtlCtg>
                        <TtlCtgProps>
                          <R>1</R>
                        </TtlCtgProps>
                      </TtlCtg>
                    </Elmt>
                    <Elmt>
                      <ElmtProps>
                        <CPT>2</CPT>
                      </ElmtProps>
                      <ClmnBlks>
                        <ClmnBlk>
                          <ClmnBlkProps>
                            <FCPT>0</FCPT>
                            <FCN>2</FCN>
                            <LCPT>0</LCPT>
                            <LCN>2</LCN>
                          </ClmnBlkProps>
                          <ClmnBlkPts>
                            <ClmnBlkPt>
                              <ClmnBlkPtProps>
                                <CBPT>5</CBPT>
                                <ST>5</ST>
                                <VOFFF><![CDATA[Change in Cash Held]]></VOFFF>
                              </ClmnBlkPtProps>
                            </ClmnBlkPt>
                          </ClmnBlkPts>
                        </ClmnBlk>
                        <ClmnBlk>
                          <ClmnBlkProps>
                            <FCPT>0</FCPT>
                            <FCN>9</FCN>
                            <LCPT>0</LCPT>
                            <LCN>20</LCN>
                          </ClmnBlkProps>
                          <ClmnBlkPts>
                            <ClmnBlkPt>
                              <ClmnBlkPtProps>
                                <CBPT>5</CBPT>
                                <ST>5</ST>
                                <SON>24</SON>
                                <VOFFF><![CDATA[=§A¿0,1,0,1,12,3,1,-1,0,0,TRUE,FALSE§Z¿]]></VOFFF>
                              </ClmnBlkPtProps>
                            </ClmnBlkPt>
                          </ClmnBlkPts>
                        </ClmnBlk>
                      </ClmnBlks>
                      <TtlCtg>
                        <TtlCtgProps>
                          <R>1</R>
                        </TtlCtgProps>
                      </TtlCtg>
                    </Elmt>
                    <Elmt>
                      <ElmtProps>
                        <CPT>1</CPT>
                        <TOT>True</TOT>
                        <EGN>1</EGN>
                      </ElmtProps>
                      <ClmnBlks>
                        <ClmnBlk>
                          <ClmnBlkProps>
                            <FCPT>0</FCPT>
                            <FCN>2</FCN>
                            <LCPT>0</LCPT>
                            <LCN>2</LCN>
                          </ClmnBlkProps>
                          <ClmnBlkPts>
                            <ClmnBlkPt>
                              <ClmnBlkPtProps>
                                <CBPT>0</CBPT>
                                <ST>6</ST>
                                <VOFFF><![CDATA[=INDEX(§A¿1,1,3,1,10,0,1,1,1§Z¿,§A¿0,1,0,1,93,2,1,0,0,0,FALSE,TRUE§Z¿)]]></VOFFF>
                              </ClmnBlkPtProps>
                            </ClmnBlkPt>
                            <ClmnBlkPt>
                              <ClmnBlkPtProps>
                                <CBPT>1</CBPT>
                                <ST>6</ST>
                                <VOFFF><![CDATA[="Total "&§A¿0,1,0,1,93,1,3,0,0,0,FALSE,FALSE§Z¿]]></VOFFF>
                              </ClmnBlkPtProps>
                            </ClmnBlkPt>
                            <ClmnBlkPt>
                              <ClmnBlkPtProps>
                                <CBPT>2</CBPT>
                                <ST>5</ST>
                                <VOFFF/>
                              </ClmnBlkPtProps>
                            </ClmnBlkPt>
                            <ClmnBlkPt>
                              <ClmnBlkPtProps>
                                <CBPT>3</CBPT>
                                <ST>-1</ST>
                                <VOFFF/>
                              </ClmnBlkPtProps>
                            </ClmnBlkPt>
                            <ClmnBlkPt>
                              <ClmnBlkPtProps>
                                <CBPT>4</CBPT>
                                <ST>-1</ST>
                                <VOFFF/>
                              </ClmnBlkPtProps>
                            </ClmnBlkPt>
                            <ClmnBlkPt>
                              <ClmnBlkPtProps>
                                <CBPT>5</CBPT>
                                <ST>6</ST>
                                <SON>2</SON>
                                <VOFFF/>
                              </ClmnBlkPtProps>
                            </ClmnBlkPt>
                          </ClmnBlkPts>
                        </ClmnBlk>
                        <ClmnBlk>
                          <ClmnBlkProps>
                            <FCPT>0</FCPT>
                            <FCN>8</FCN>
                            <LCPT>0</LCPT>
                            <LCN>8</LCN>
                          </ClmnBlkProps>
                          <ClmnBlkPts>
                            <ClmnBlkPt>
                              <ClmnBlkPtProps>
                                <CBPT>0</CBPT>
                                <ST>42</ST>
                                <SON>3</SON>
                                <VOFFF><![CDATA[<CategoryNumber>]]></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40</ST>
                                <SON>4</SON>
                                <VOFFF/>
                              </ClmnBlkPtProps>
                            </ClmnBlkPt>
                          </ClmnBlkPts>
                        </ClmnBlk>
                        <ClmnBlk>
                          <ClmnBlkProps>
                            <FCPT>0</FCPT>
                            <FCN>9</FCN>
                            <LCPT>0</LCPT>
                            <LCN>20</LCN>
                          </ClmnBlkProps>
                          <ClmnBlkPts>
                            <ClmnBlkPt>
                              <ClmnBlkPtProps>
                                <CBPT>0</CBPT>
                                <ST>18</ST>
                                <SON>1</SON>
                                <VOFFF><![CDATA[=IF(§A¿1,1,1,1,22,0,2,1,1§Z¿,§A¿1,2,3,1,14,2,1,1,1§Z¿,§A¿0,1,0,1,82,3,1,0,0,0,FALSE,FALSE§Z¿+§A¿0,1,0,1,86,3,1,0,0,0,FALSE,FALSE§Z¿+§A¿0,1,0,1,90,3,1,0,0,0,FALSE,FALSE§Z¿)]]></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SON>5</SON>
                                <VOFFF/>
                              </ClmnBlkPtProps>
                            </ClmnBlkPt>
                          </ClmnBlkPts>
                        </ClmnBlk>
                      </ClmnBlks>
                      <SubTtls>
                        <SubTtl>
                          <CatSpan>
                            <CatSpanProps>
                              <CC>3</CC>
                              <R>1</R>
                            </CatSpanProps>
                          </CatSpan>
                        </SubTtl>
                      </SubTtls>
                      <TtlCtg>
                        <TtlCtgProps>
                          <R>3</R>
                        </TtlCtgProps>
                      </TtlCtg>
                    </Elmt>
                    <Elmt>
                      <ElmtProps>
                        <CPT>2</CPT>
                      </ElmtProps>
                      <TtlCtg>
                        <TtlCtgProps>
                          <R>1</R>
                        </TtlCtgProps>
                      </TtlCtg>
                    </Elmt>
                    <Elmt>
                      <ElmtProps>
                        <CPT>2</CPT>
                      </ElmtProps>
                      <ClmnBlks>
                        <ClmnBlk>
                          <ClmnBlkProps>
                            <FCPT>0</FCPT>
                            <FCN>2</FCN>
                            <LCPT>0</LCPT>
                            <LCN>2</LCN>
                          </ClmnBlkProps>
                          <ClmnBlkPts>
                            <ClmnBlkPt>
                              <ClmnBlkPtProps>
                                <CBPT>5</CBPT>
                                <ST>4</ST>
                                <VOFFF><![CDATA[NPAT Reconciliation]]></VOFFF>
                              </ClmnBlkPtProps>
                            </ClmnBlkPt>
                          </ClmnBlkPts>
                        </ClmnBlk>
                        <ClmnBlk>
                          <ClmnBlkProps>
                            <FCPT>0</FCPT>
                            <FCN>3</FCN>
                            <LCPT>0</LCPT>
                            <LCN>20</LCN>
                          </ClmnBlkProps>
                          <ClmnBlkPts>
                            <ClmnBlkPt>
                              <ClmnBlkPtProps>
                                <CBPT>5</CBPT>
                                <ST>4</ST>
                                <VOFFF/>
                              </ClmnBlkPtProps>
                            </ClmnBlkPt>
                          </ClmnBlkPts>
                        </ClmnBlk>
                      </ClmnBlks>
                      <TtlCtg>
                        <TtlCtgProps>
                          <R>1</R>
                        </TtlCtgProps>
                      </TtlCtg>
                    </Elmt>
                    <Elmt>
                      <ElmtProps>
                        <CPT>2</CPT>
                      </ElmtProps>
                      <TtlCtg>
                        <TtlCtgProps>
                          <R>1</R>
                        </TtlCtgProps>
                      </TtlCtg>
                    </Elmt>
                    <Elmt>
                      <ElmtProps>
                        <CPT>2</CPT>
                      </ElmtProps>
                      <ClmnBlks>
                        <ClmnBlk>
                          <ClmnBlkProps>
                            <FCPT>0</FCPT>
                            <FCN>2</FCN>
                            <LCPT>0</LCPT>
                            <LCN>2</LCN>
                          </ClmnBlkProps>
                          <ClmnBlkPts>
                            <ClmnBlkPt>
                              <ClmnBlkPtProps>
                                <CBPT>5</CBPT>
                                <ST>5</ST>
                                <VOFFF><![CDATA[NPAT Difference (Dashboard - Model)]]></VOFFF>
                              </ClmnBlkPtProps>
                            </ClmnBlkPt>
                          </ClmnBlkPts>
                        </ClmnBlk>
                      </ClmnBlks>
                      <TtlCtg>
                        <TtlCtgProps>
                          <R>1</R>
                        </TtlCtgProps>
                      </TtlCtg>
                    </Elmt>
                    <Elmt>
                      <ElmtProps>
                        <CPT>1</CPT>
                        <TOT>True</TOT>
                        <EGN>1</EGN>
                      </ElmtProps>
                      <ClmnBlks>
                        <ClmnBlk>
                          <ClmnBlkProps>
                            <FCPT>0</FCPT>
                            <FCN>2</FCN>
                            <LCPT>0</LCPT>
                            <LCN>2</LCN>
                          </ClmnBlkProps>
                          <ClmnBlkPts>
                            <ClmnBlkPt>
                              <ClmnBlkPtProps>
                                <CBPT>0</CBPT>
                                <ST>6</ST>
                                <VOFFF><![CDATA[=§A¿0,1,0,1,55,1,1,0,0,0,FALSE,FALSE§Z¿]]></VOFFF>
                              </ClmnBlkPtProps>
                            </ClmnBlkPt>
                            <ClmnBlkPt>
                              <ClmnBlkPtProps>
                                <CBPT>1</CBPT>
                                <ST>6</ST>
                                <VOFFF/>
                              </ClmnBlkPtProps>
                            </ClmnBlkPt>
                            <ClmnBlkPt>
                              <ClmnBlkPtProps>
                                <CBPT>2</CBPT>
                                <ST>6</ST>
                                <VOFFF/>
                              </ClmnBlkPtProps>
                            </ClmnBlkPt>
                            <ClmnBlkPt>
                              <ClmnBlkPtProps>
                                <CBPT>3</CBPT>
                                <ST>-1</ST>
                                <VOFFF/>
                              </ClmnBlkPtProps>
                            </ClmnBlkPt>
                            <ClmnBlkPt>
                              <ClmnBlkPtProps>
                                <CBPT>4</CBPT>
                                <ST>-1</ST>
                                <VOFFF/>
                              </ClmnBlkPtProps>
                            </ClmnBlkPt>
                            <ClmnBlkPt>
                              <ClmnBlkPtProps>
                                <CBPT>5</CBPT>
                                <ST>6</ST>
                                <VOFFF/>
                              </ClmnBlkPtProps>
                            </ClmnBlkPt>
                          </ClmnBlkPts>
                        </ClmnBlk>
                        <ClmnBlk>
                          <ClmnBlkProps>
                            <FCPT>0</FCPT>
                            <FCN>9</FCN>
                            <LCPT>0</LCPT>
                            <LCN>20</LCN>
                          </ClmnBlkProps>
                          <ClmnBlkPts>
                            <ClmnBlkPt>
                              <ClmnBlkPtProps>
                                <CBPT>0</CBPT>
                                <ST>18</ST>
                                <SON>17</SON>
                                <VOFFF><![CDATA[=IF(§A¿1,1,1,1,22,0,2,1,1§Z¿,0,ROUND(§A¿0,2,0,2,15,2,1,0,0,0,FALSE,FALSE§Z¿-§A¿0,1,0,1,55,3,1,0,0,0,FALSE,FALSE§Z¿,5))]]></VOFFF>
                              </ClmnBlkPtProps>
                            </ClmnBlkPt>
                            <ClmnBlkPt>
                              <ClmnBlkPtProps>
                                <CBPT>1</CBPT>
                                <ST>18</ST>
                                <VOFFF><![CDATA[=§A¿2§Z¿]]></VOFFF>
                              </ClmnBlkPtProps>
                            </ClmnBlkPt>
                            <ClmnBlkPt>
                              <ClmnBlkPtProps>
                                <CBPT>2</CBPT>
                                <ST>18</ST>
                                <VOFFF/>
                              </ClmnBlkPtProps>
                            </ClmnBlkPt>
                            <ClmnBlkPt>
                              <ClmnBlkPtProps>
                                <CBPT>3</CBPT>
                                <ST>-1</ST>
                                <VOFFF/>
                              </ClmnBlkPtProps>
                            </ClmnBlkPt>
                            <ClmnBlkPt>
                              <ClmnBlkPtProps>
                                <CBPT>4</CBPT>
                                <ST>-1</ST>
                                <VOFFF/>
                              </ClmnBlkPtProps>
                            </ClmnBlkPt>
                            <ClmnBlkPt>
                              <ClmnBlkPtProps>
                                <CBPT>5</CBPT>
                                <ST>18</ST>
                                <VOFFF><![CDATA[=§A¿3§Z¿]]></VOFFF>
                              </ClmnBlkPtProps>
                            </ClmnBlkPt>
                          </ClmnBlkPts>
                        </ClmnBlk>
                      </ClmnBlks>
                      <SubTtls>
                        <SubTtl>
                          <CatSpan>
                            <CatSpanProps>
                              <CC>3</CC>
                              <R>1</R>
                            </CatSpanProps>
                          </CatSpan>
                        </SubTtl>
                      </SubTtls>
                      <TtlCtg>
                        <TtlCtgProps>
                          <R>1</R>
                        </TtlCtgProps>
                      </TtlCtg>
                    </Elmt>
                    <Elmt>
                      <ElmtProps>
                        <CPT>2</CPT>
                      </ElmtProps>
                      <ClmnBlks>
                        <ClmnBlk>
                          <ClmnBlkProps>
                            <FCPT>0</FCPT>
                            <FCN>2</FCN>
                            <LCPT>0</LCPT>
                            <LCN>2</LCN>
                          </ClmnBlkProps>
                          <ClmnBlkPts>
                            <ClmnBlkPt>
                              <ClmnBlkPtProps>
                                <CBPT>5</CBPT>
                                <ST>6</ST>
                                <VOFFF><![CDATA[Error Check (Reconciliation Failure)]]></VOFFF>
                              </ClmnBlkPtProps>
                            </ClmnBlkPt>
                          </ClmnBlkPts>
                        </ClmnBlk>
                        <ClmnBlk>
                          <ClmnBlkProps>
                            <FCPT>0</FCPT>
                            <FCN>8</FCN>
                            <LCPT>0</LCPT>
                            <LCN>8</LCN>
                          </ClmnBlkProps>
                          <ClmnBlkPts>
                            <ClmnBlkPt>
                              <ClmnBlkPtProps>
                                <CBPT>5</CBPT>
                                <ST>18</ST>
                                <SON>19</SON>
                                <VOFFF><![CDATA[=IF(ISERROR(SUM(§A¿0,1,1,1,99,3,1,-1,0,0,FALSE,FALSE,1,99,3,1,-1,1,0,FALSE,FALSE§Z¿)),1,MIN(SUM(§A¿0,1,1,1,99,3,1,-1,0,0,FALSE,FALSE,1,99,3,1,-1,1,0,FALSE,FALSE§Z¿),1))]]></VOFFF>
                              </ClmnBlkPtProps>
                              <Chk>
                                <ChkProps>
                                  <CBPLI>1,1,99,2,1</CBPLI>
                                  <CT>0</CT>
                                  <CN>22</CN>
                                  <HST>1</HST>
                                  <CHT/>
                                  <HCBPLI>1,1,2,2,1</HCBPLI>
                                </ChkProps>
                              </Chk>
                              <Cmts>
                                <Cmt>
                                  <CmtProps>
                                    <CBPLI>1,1,99,2,1</CBPLI>
                                    <WRN>1</WRN>
                                    <ERT>5</ERT>
                                    <COSTN>0</COSTN>
                                    <OC>0</OC>
                                    <HT><![CDATA[Error Check]]></HT>
                                    <BT><![CDATA[Flags the existence of errors.]]></BT>
                                  </CmtProps>
                                </Cmt>
                              </Cmts>
                              <FmtCnds>
                                <FmtCnd>
                                  <FmtCndProps>
                                    <CBPLI>1,1,99,2,1</CBPLI>
                                    <FCN>1</FCN>
                                    <FCT>1</FCT>
                                    <FCO>4</FCO>
                                    <F1FFF><![CDATA[=0]]></F1FFF>
                                    <F2FFF/>
                                    <SIT>False</SIT>
                                    <BSV>True</BSV>
                                    <BCT>0</BCT>
                                    <CNBCN>0</CNBCN>
                                    <BTAS>0</BTAS>
                                    <IST>1</IST>
                                    <RO>False</RO>
                                    <SIO>False</SIO>
                                    <TO>0</TO>
                                    <TS/>
                                    <DO>1</DO>
                                    <TB>1</TB>
                                    <R>10</R>
                                    <P>False</P>
                                    <AB>0</AB>
                                    <NSD>1</NSD>
                                    <DU>1</DU>
                                    <INF>False</INF>
                                    <NT>0</NT>
                                    <DP>0</DP>
                                    <CNF/>
                                  </FmtCndProps>
                                  <FntOvly>
                                    <FntOvlyProps>
                                      <PT>2</PT>
                                      <SON>0</SON>
                                      <CBPLI>1,1,99,2,1</CBPLI>
                                      <FCN>1</FCN>
                                      <CN>0</CN>
                                      <IB>True</IB>
                                      <IC>True</IC>
                                      <B>True</B>
                                      <CT>2</CT>
                                      <CNU>3</CNU>
                                      <CPR>0</CPR>
                                      <TAS>0</TAS>
                                    </FntOvlyProps>
                                  </FntOvly>
                                </FmtCnd>
                              </FmtCnds>
                            </ClmnBlkPt>
                          </ClmnBlkPts>
                        </ClmnBlk>
                        <ClmnBlk>
                          <ClmnBlkProps>
                            <FCPT>0</FCPT>
                            <FCN>9</FCN>
                            <LCPT>0</LCPT>
                            <LCN>20</LCN>
                          </ClmnBlkProps>
                          <ClmnBlkPts>
                            <ClmnBlkPt>
                              <ClmnBlkPtProps>
                                <CBPT>5</CBPT>
                                <ST>18</ST>
                                <SON>18</SON>
                                <VOFFF><![CDATA[=IF(COUNTIF(§A¿0,1,1,1,98,2,1,1,0,0,FALSE,FALSE,1,98,2,1,2,0,0,FALSE,FALSE§Z¿,"<>0"),1,0)]]></VOFFF>
                              </ClmnBlkPtProps>
                              <FmtCnds>
                                <FmtCnd>
                                  <FmtCndProps>
                                    <CBPLI>1,1,99,3,1</CBPLI>
                                    <FCN>1</FCN>
                                    <FCT>1</FCT>
                                    <FCO>4</FCO>
                                    <F1FFF><![CDATA[=0]]></F1FFF>
                                    <F2FFF/>
                                    <SIT>False</SIT>
                                    <BSV>True</BSV>
                                    <BCT>0</BCT>
                                    <CNBCN>0</CNBCN>
                                    <BTAS>0</BTAS>
                                    <IST>1</IST>
                                    <RO>False</RO>
                                    <SIO>False</SIO>
                                    <TO>0</TO>
                                    <TS/>
                                    <DO>1</DO>
                                    <TB>1</TB>
                                    <R>10</R>
                                    <P>False</P>
                                    <AB>0</AB>
                                    <NSD>1</NSD>
                                    <DU>1</DU>
                                    <INF>False</INF>
                                    <NT>0</NT>
                                    <DP>0</DP>
                                    <CNF/>
                                  </FmtCndProps>
                                  <FntOvly>
                                    <FntOvlyProps>
                                      <PT>2</PT>
                                      <SON>0</SON>
                                      <CBPLI>1,1,99,3,1</CBPLI>
                                      <FCN>1</FCN>
                                      <CN>0</CN>
                                      <IB>True</IB>
                                      <IC>True</IC>
                                      <B>True</B>
                                      <CT>2</CT>
                                      <CNU>3</CNU>
                                      <CPR>0</CPR>
                                      <TAS>0</TAS>
                                    </FntOvlyProps>
                                  </FntOvly>
                                </FmtCnd>
                              </FmtCnds>
                            </ClmnBlkPt>
                          </ClmnBlkPts>
                        </ClmnBlk>
                      </ClmnBlks>
                      <TtlCtg>
                        <TtlCtgProps>
                          <R>1</R>
                        </TtlCtgProps>
                      </TtlCtg>
                    </Elmt>
                  </Elmts>
                </Sect>
              </Sects>
              <Ctrls>
                <Ctrl>
                  <CtrlProps>
                    <MN>60</MN>
                    <MCN>1</MCN>
                    <SIT>0</SIT>
                    <TLCRSN>1</TLCRSN>
                    <TLCREN>14</TLCREN>
                    <TLCRSRT>5</TLCRSRT>
                    <TLCCPT>0</TLCCPT>
                    <TLCCN>8</TLCCN>
                    <TLCCOT>0</TLCCOT>
                    <TLCCOC>0</TLCCOC>
                    <TLCCPTBMCN>0</TLCCPTBMCN>
                    <TLCCPTBN>0</TLCCPTBN>
                    <BRCRSN>1</BRCRSN>
                    <BRCREN>14</BRCREN>
                    <BRCRSRT>5</BRCRSRT>
                    <BRCCPT>0</BRCCPT>
                    <BRCCN>9</BRCCN>
                    <BRCCOT>0</BRCCOT>
                    <BRCCOC>0</BRCCOC>
                    <BRCCPTBMCN>0</BRCCPTBMCN>
                    <BRCCPTBN>0</BRCCPTBN>
                    <P>1</P>
                    <HAL>-4131</HAL>
                    <WA>1</WA>
                    <VA>-4108</VA>
                    <HAD>1</HAD>
                    <TI>0</TI>
                    <CT>0</CT>
                    <N/>
                    <D3DS>False</D3DS>
                    <PO>True</PO>
                    <L>True</L>
                    <OA/>
                    <T/>
                    <THA>-4108</THA>
                    <TVA>-4108</TVA>
                    <LT>True</LT>
                    <LCFFA><![CDATA[§A¿1,1,1,1,14,0,2,1,1§Z¿]]></LCFFA>
                    <LCCA/>
                    <CV>1</CV>
                    <MIV>0</MIV>
                    <MAV>100</MAV>
                    <SC>1</SC>
                    <LC>10</LC>
                    <LFRFFA><![CDATA[§A¿1,1,3,1,6,0,1,1,1§Z¿]]></LFRFFA>
                    <LFRCA/>
                    <DDL>0</DDL>
                  </CtrlProps>
                </Ctrl>
              </Ctrls>
            </ModComp>
            <ModComp>
              <ModCompProps>
                <MN>60</MN>
                <MCN>2</MCN>
                <MCTK>OP</MCTK>
                <RT><![CDATA[<ModuleName> - Dashboard]]></RT>
                <ERN>MODMC34</ERN>
                <MCST>0</MCST>
                <IPMC>True</IPMC>
                <SN>6</SN>
                <LODS>True</LODS>
                <LST>False</LST>
                <RSTF>False</RSTF>
                <STRA>0</STRA>
                <HS>False</HS>
                <IBOA>0</IBOA>
                <IB>True</IB>
                <CI/>
                <PTI/>
                <PTP>False</PTP>
                <PTD/>
                <PTMCN>0</PTMCN>
                <CROL>0</CROL>
                <CCOL>0</CCOL>
                <AMFN>0</AMFN>
              </ModCompProps>
              <Sects>
                <Sect>
                  <SectProps>
                    <LI>2,1</LI>
                    <EGN>0</EGN>
                  </SectProps>
                  <Elmts>
                    <Elmt>
                      <ElmtProps>
                        <CPT>2</CPT>
                      </ElmtProps>
                      <TtlCtg/>
                    </Elmt>
                    <Elmt>
                      <ElmtProps>
                        <CPT>2</CPT>
                      </ElmtProps>
                      <ClmnBlks>
                        <ClmnBlk>
                          <ClmnBlkProps>
                            <FCPT>0</FCPT>
                            <FCN>1</FCN>
                            <LCPT>0</LCPT>
                            <LCN>1</LCN>
                          </ClmnBlkProps>
                          <ClmnBlkPts>
                            <ClmnBlkPt>
                              <ClmnBlkPtProps>
                                <CBPT>5</CBPT>
                                <ST>50</ST>
                                <VOFFF><![CDATA[ð]]></VOFFF>
                              </ClmnBlkPtProps>
                              <Hlk>
                                <HlkProps>
                                  <CBPLI>2,1,2,1,1</CBPLI>
                                  <RT>0</RT>
                                  <RRRT>1</RRRT>
                                  <RCBPLI>1,1,2,2,1</RCBPLI>
                                  <RCN>0</RCN>
                                  <RRNPT>1</RRNPT>
                                  <RRNN>1</RRNN>
                                  <TTDT>0</TTDT>
                                  <AGT>False</AGT>
                                  <CT/>
                                </HlkProps>
                              </Hlk>
                            </ClmnBlkPt>
                          </ClmnBlkPts>
                        </ClmnBlk>
                        <ClmnBlk>
                          <ClmnBlkProps>
                            <FCPT>0</FCPT>
                            <FCN>2</FCN>
                            <LCPT>0</LCPT>
                            <LCN>32</LCN>
                          </ClmnBlkProps>
                          <ClmnBlkPts>
                            <ClmnBlkPt>
                              <ClmnBlkPtProps>
                                <CBPT>5</CBPT>
                                <HCTHR>True</HCTHR>
                                <CTHN>39</CTHN>
                                <ST>37</ST>
                                <SON>8</SON>
                                <MC>True</MC>
                                <VOFFF><![CDATA[="Scenarios Summary ("&INDEX(§A¿7,1,2,1,18,0,1,1,1§Z¿,§A¿7,1,1,1,15,0,3,1,1§Z¿)&") - "&§A¿0,1,0,1,16,2,1,-1,0,0,TRUE,TRUE§Z¿]]></VOFFF>
                              </ClmnBlkPtProps>
                              <RgeNmes>
                                <RgeNme>
                                  <RgeNmeProps>
                                    <CBPLI>2,1,2,2,1</CBPLI>
                                    <MCN>2</MCN>
                                    <SN>1</SN>
                                    <EN>2</EN>
                                    <CN>0</CN>
                                    <CBN>2</CBN>
                                    <CBPN>1</CBPN>
                                    <PT>1</PT>
                                    <CBPRNT>6</CBPRNT>
                                    <NT>12</NT>
                                    <SP1><![CDATA[Out]]></SP1>
                                    <SP2/>
                                    <FFF/>
                                    <CMT/>
                                  </RgeNmeProps>
                                </RgeNme>
                              </RgeNmes>
                            </ClmnBlkPt>
                          </ClmnBlkPts>
                        </ClmnBlk>
                      </ClmnBlks>
                      <TtlCtg/>
                    </Elmt>
                    <Elmt>
                      <ElmtProps>
                        <CPT>2</CPT>
                      </ElmtProps>
                      <TtlCtg>
                        <TtlCtgProps>
                          <R>1</R>
                        </TtlCtgProps>
                      </TtlCtg>
                      <ShpNmes>
                        <ShpNme>
                          <ShpNmeProps>
                            <ELI>2,1,3</ELI>
                            <COSTN>0</COSTN>
                            <ST>3</ST>
                            <SNPT>2</SNPT>
                            <N><![CDATA[bpmShapeScen_Db1]]></N>
                            <SHN>9</SHN>
                            <SHTN>1</SHTN>
                          </ShpNmeProps>
                        </ShpNme>
                        <ShpNme>
                          <ShpNmeProps>
                            <ELI>2,1,3</ELI>
                            <COSTN>0</COSTN>
                            <ST>3</ST>
                            <SNPT>2</SNPT>
                            <N><![CDATA[bpmShapeScen_Db2]]></N>
                            <SHN>10</SHN>
                            <SHTN>2</SHTN>
                          </ShpNmeProps>
                        </ShpNme>
                      </ShpNmes>
                    </Elmt>
                    <Elmt>
                      <ElmtProps>
                        <CPT>2</CPT>
                      </ElmtProps>
                      <ClmnBlks>
                        <ClmnBlk>
                          <ClmnBlkProps>
                            <FCPT>0</FCPT>
                            <FCN>2</FCN>
                            <LCPT>0</LCPT>
                            <LCN>8</LCN>
                          </ClmnBlkProps>
                          <ClmnBlkPts>
                            <ClmnBlkPt>
                              <ClmnBlkPtProps>
                                <CBPT>5</CBPT>
                                <ST>38</ST>
                                <SON>8</SON>
                                <MC>True</MC>
                                <VOFFF><![CDATA[          Revenue]]></VOFFF>
                              </ClmnBlkPtProps>
                            </ClmnBlkPt>
                          </ClmnBlkPts>
                        </ClmnBlk>
                        <ClmnBlk>
                          <ClmnBlkProps>
                            <FCPT>0</FCPT>
                            <FCN>9</FCN>
                            <LCPT>0</LCPT>
                            <LCN>16</LCN>
                          </ClmnBlkProps>
                          <ClmnBlkPts>
                            <ClmnBlkPt>
                              <ClmnBlkPtProps>
                                <CBPT>5</CBPT>
                                <ST>38</ST>
                                <SON>8</SON>
                                <MC>True</MC>
                                <VOFFF><![CDATA[                  Gross Margin]]></VOFFF>
                              </ClmnBlkPtProps>
                            </ClmnBlkPt>
                          </ClmnBlkPts>
                        </ClmnBlk>
                        <ClmnBlk>
                          <ClmnBlkProps>
                            <FCPT>0</FCPT>
                            <FCN>18</FCN>
                            <LCPT>0</LCPT>
                            <LCN>24</LCN>
                          </ClmnBlkProps>
                          <ClmnBlkPts>
                            <ClmnBlkPt>
                              <ClmnBlkPtProps>
                                <CBPT>5</CBPT>
                                <ST>38</ST>
                                <SON>8</SON>
                                <MC>True</MC>
                                <VOFFF><![CDATA[          Net Profit After Tax]]></VOFFF>
                              </ClmnBlkPtProps>
                            </ClmnBlkPt>
                          </ClmnBlkPts>
                        </ClmnBlk>
                        <ClmnBlk>
                          <ClmnBlkProps>
                            <FCPT>0</FCPT>
                            <FCN>25</FCN>
                            <LCPT>0</LCPT>
                            <LCN>32</LCN>
                          </ClmnBlkProps>
                          <ClmnBlkPts>
                            <ClmnBlkPt>
                              <ClmnBlkPtProps>
                                <CBPT>5</CBPT>
                                <ST>38</ST>
                                <SON>8</SON>
                                <MC>True</MC>
                                <VOFFF><![CDATA[                  Net Assets]]></VOFFF>
                              </ClmnBlkPtProps>
                            </ClmnBlkPt>
                          </ClmnBlkPts>
                        </ClmnBlk>
                      </ClmnBlks>
                      <TtlCtg>
                        <TtlCtgProps>
                          <R>1</R>
                        </TtlCtgProps>
                      </TtlCtg>
                    </Elmt>
                    <Elmt>
                      <ElmtProps>
                        <CPT>2</CPT>
                      </ElmtProps>
                      <TtlCtg>
                        <TtlCtgProps>
                          <R>1</R>
                        </TtlCtgProps>
                      </TtlCtg>
                      <ShpNmes>
                        <ShpNme>
                          <ShpNmeProps>
                            <ELI>2,1,5</ELI>
                            <COSTN>0</COSTN>
                            <ST>2</ST>
                            <SNPT>2</SNPT>
                            <N><![CDATA[bpmChartScen_Db6]]></N>
                            <SHN>1</SHN>
                            <SHTN>1</SHTN>
                          </ShpNmeProps>
                        </ShpNme>
                        <ShpNme>
                          <ShpNmeProps>
                            <ELI>2,1,5</ELI>
                            <COSTN>0</COSTN>
                            <ST>2</ST>
                            <SNPT>2</SNPT>
                            <N><![CDATA[bpmChartScen_Db10]]></N>
                            <SHN>5</SHN>
                            <SHTN>5</SHTN>
                          </ShpNmeProps>
                        </ShpNme>
                        <ShpNme>
                          <ShpNmeProps>
                            <ELI>2,1,5</ELI>
                            <COSTN>0</COSTN>
                            <ST>2</ST>
                            <SNPT>2</SNPT>
                            <N><![CDATA[bpmChartScen_Db13]]></N>
                            <SHN>8</SHN>
                            <SHTN>8</SHTN>
                          </ShpNmeProps>
                        </ShpNme>
                        <ShpNme>
                          <ShpNmeProps>
                            <ELI>2,1,5</ELI>
                            <COSTN>0</COSTN>
                            <ST>2</ST>
                            <SNPT>2</SNPT>
                            <N><![CDATA[bpmChartScen_Db12]]></N>
                            <SHN>7</SHN>
                            <SHTN>7</SHTN>
                          </ShpNmeProps>
                        </ShpNme>
                      </ShpNmes>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ShpNmes>
                        <ShpNme>
                          <ShpNmeProps>
                            <ELI>2,1,17</ELI>
                            <COSTN>0</COSTN>
                            <ST>3</ST>
                            <SNPT>2</SNPT>
                            <N><![CDATA[bpmShapeScen_Db3]]></N>
                            <SHN>11</SHN>
                            <SHTN>3</SHTN>
                          </ShpNmeProps>
                        </ShpNme>
                        <ShpNme>
                          <ShpNmeProps>
                            <ELI>2,1,17</ELI>
                            <COSTN>0</COSTN>
                            <ST>3</ST>
                            <SNPT>2</SNPT>
                            <N><![CDATA[bpmShapeScen_Db4]]></N>
                            <SHN>12</SHN>
                            <SHTN>4</SHTN>
                          </ShpNmeProps>
                        </ShpNme>
                      </ShpNmes>
                    </Elmt>
                    <Elmt>
                      <ElmtProps>
                        <CPT>2</CPT>
                      </ElmtProps>
                      <ClmnBlks>
                        <ClmnBlk>
                          <ClmnBlkProps>
                            <FCPT>0</FCPT>
                            <FCN>2</FCN>
                            <LCPT>0</LCPT>
                            <LCN>8</LCN>
                          </ClmnBlkProps>
                          <ClmnBlkPts>
                            <ClmnBlkPt>
                              <ClmnBlkPtProps>
                                <CBPT>5</CBPT>
                                <ST>38</ST>
                                <SON>8</SON>
                                <MC>True</MC>
                                <VOFFF><![CDATA[          Cost of Goods Sold]]></VOFFF>
                              </ClmnBlkPtProps>
                            </ClmnBlkPt>
                          </ClmnBlkPts>
                        </ClmnBlk>
                        <ClmnBlk>
                          <ClmnBlkProps>
                            <FCPT>0</FCPT>
                            <FCN>9</FCN>
                            <LCPT>0</LCPT>
                            <LCN>16</LCN>
                          </ClmnBlkProps>
                          <ClmnBlkPts>
                            <ClmnBlkPt>
                              <ClmnBlkPtProps>
                                <CBPT>5</CBPT>
                                <ST>38</ST>
                                <SON>8</SON>
                                <MC>True</MC>
                                <VOFFF><![CDATA[                  Net Operating Expenditure]]></VOFFF>
                              </ClmnBlkPtProps>
                            </ClmnBlkPt>
                          </ClmnBlkPts>
                        </ClmnBlk>
                        <ClmnBlk>
                          <ClmnBlkProps>
                            <FCPT>0</FCPT>
                            <FCN>18</FCN>
                            <LCPT>0</LCPT>
                            <LCN>24</LCN>
                          </ClmnBlkProps>
                          <ClmnBlkPts>
                            <ClmnBlkPt>
                              <ClmnBlkPtProps>
                                <CBPT>5</CBPT>
                                <ST>38</ST>
                                <SON>8</SON>
                                <MC>True</MC>
                                <VOFFF><![CDATA[          Closing Cash]]></VOFFF>
                              </ClmnBlkPtProps>
                            </ClmnBlkPt>
                          </ClmnBlkPts>
                        </ClmnBlk>
                        <ClmnBlk>
                          <ClmnBlkProps>
                            <FCPT>0</FCPT>
                            <FCN>25</FCN>
                            <LCPT>0</LCPT>
                            <LCN>32</LCN>
                          </ClmnBlkProps>
                          <ClmnBlkPts>
                            <ClmnBlkPt>
                              <ClmnBlkPtProps>
                                <CBPT>5</CBPT>
                                <ST>38</ST>
                                <SON>8</SON>
                                <MC>True</MC>
                                <VOFFF><![CDATA[                  Change in Cash Held]]></VOFFF>
                              </ClmnBlkPtProps>
                            </ClmnBlkPt>
                          </ClmnBlkPts>
                        </ClmnBlk>
                      </ClmnBlks>
                      <TtlCtg>
                        <TtlCtgProps>
                          <R>1</R>
                        </TtlCtgProps>
                      </TtlCtg>
                    </Elmt>
                    <Elmt>
                      <ElmtProps>
                        <CPT>2</CPT>
                      </ElmtProps>
                      <TtlCtg>
                        <TtlCtgProps>
                          <R>1</R>
                        </TtlCtgProps>
                      </TtlCtg>
                      <ShpNmes>
                        <ShpNme>
                          <ShpNmeProps>
                            <ELI>2,1,19</ELI>
                            <COSTN>0</COSTN>
                            <ST>2</ST>
                            <SNPT>2</SNPT>
                            <N><![CDATA[bpmChartScen_Db8]]></N>
                            <SHN>3</SHN>
                            <SHTN>3</SHTN>
                          </ShpNmeProps>
                        </ShpNme>
                        <ShpNme>
                          <ShpNmeProps>
                            <ELI>2,1,19</ELI>
                            <COSTN>0</COSTN>
                            <ST>2</ST>
                            <SNPT>2</SNPT>
                            <N><![CDATA[bpmChartScen_Db9]]></N>
                            <SHN>4</SHN>
                            <SHTN>4</SHTN>
                          </ShpNmeProps>
                        </ShpNme>
                        <ShpNme>
                          <ShpNmeProps>
                            <ELI>2,1,19</ELI>
                            <COSTN>0</COSTN>
                            <ST>2</ST>
                            <SNPT>2</SNPT>
                            <N><![CDATA[bpmChartScen_Db11]]></N>
                            <SHN>6</SHN>
                            <SHTN>6</SHTN>
                          </ShpNmeProps>
                        </ShpNme>
                        <ShpNme>
                          <ShpNmeProps>
                            <ELI>2,1,19</ELI>
                            <COSTN>0</COSTN>
                            <ST>2</ST>
                            <SNPT>2</SNPT>
                            <N><![CDATA[bpmChartScen_Db7]]></N>
                            <SHN>2</SHN>
                            <SHTN>2</SHTN>
                          </ShpNmeProps>
                        </ShpNme>
                      </ShpNmes>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
                      <ElmtProps>
                        <CPT>2</CPT>
                      </ElmtProps>
                      <TtlCtg>
                        <TtlCtgProps>
                          <R>1</R>
                        </TtlCtgProps>
                      </TtlCtg>
                    </Elmt>
                  </Elmts>
                </Sect>
                <Sect>
                  <SectProps>
                    <LI>2,2</LI>
                    <EGN>1</EGN>
                  </SectProps>
                  <Elmts>
                    <Elmt>
                      <ElmtProps>
                        <CPT>1</CPT>
                        <TOT>False</TOT>
                        <EGN>1</EGN>
                      </ElmtProps>
                      <SubTtls>
                        <SubTtl>
                          <CatSpan>
                            <CatSpanProps>
                              <CC>3</CC>
                              <R>1</R>
                            </CatSpanProps>
                          </CatSpan>
                        </SubTtl>
                      </SubTtls>
                      <TtlCtg/>
                    </Elmt>
                    <Elmt>
                      <ElmtProps>
                        <CPT>1</CPT>
                        <TOT>False</TOT>
                        <EGN>1</EGN>
                      </ElmtProps>
                      <ClmnBlks>
                        <ClmnBlk>
                          <ClmnBlkProps>
                            <FCPT>0</FCPT>
                            <FCN>2</FCN>
                            <LCPT>0</LCPT>
                            <LCN>32</LCN>
                          </ClmnBlkProps>
                          <ClmnBlkPts>
                            <ClmnBlkPt>
                              <ClmnBlkPtProps>
                                <CBPT>0</CBPT>
                                <ST>38</ST>
                                <SON>8</SON>
                                <MC>True</MC>
                                <VOFFF><![CDATA[="Scenario "&§A¿0,1,0,1,28,2,1,0,0,0,FALSE,FALSE§Z¿&" - "&§A¿0,3,0,1,10,1,1,0,0,0,FALSE,FALSE§Z¿]]></VOFFF>
                                <UDAV><![CDATA[Category <CategoryNumber> Name]]></UDAV>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-1</ST>
                                <VOFFF/>
                              </ClmnBlkPtProps>
                            </ClmnBlkPt>
                          </ClmnBlkPts>
                        </ClmnBlk>
                      </ClmnBlks>
                      <SubTtls>
                        <SubTtl>
                          <CatSpan>
                            <CatSpanProps>
                              <CC>3</CC>
                              <R>1</R>
                            </CatSpanProps>
                          </CatSpan>
                        </SubTtl>
                      </SubTtls>
                      <TtlCtg/>
                    </Elmt>
                    <Elmt>
                      <ElmtProps>
                        <CPT>1</CPT>
                        <TOT>False</TOT>
                        <EGN>1</EGN>
                      </ElmtProp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Income Statemen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39</ST>
                                <SON>24</SON>
                                <VOFFF><![CDATA[=§A¿0,1,0,1,12,3,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39</ST>
                                <SON>20</SON>
                                <VOFFF><![CDATA[Total]]></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18</FCN>
                            <LCPT>0</LCPT>
                            <LCN>18</LCN>
                          </ClmnBlkProps>
                          <ClmnBlkPts>
                            <ClmnBlkPt>
                              <ClmnBlkPtProps>
                                <CBPT>0</CBPT>
                                <ST>39</ST>
                                <VOFFF><![CDATA[Balance Shee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39</ST>
                                <SON>24</SON>
                                <VOFFF><![CDATA[=§A¿0,1,0,1,12,3,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39</ST>
                                <SON>20</SON>
                                <VOFFF><![CDATA[=§A¿0,2,0,2,4,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Revenu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28,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5,2,1,0,0,0,FALSE,FALSE,2,5,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Closing Cash]]></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61,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A¿0,2,0,2,5,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Cost of Goods Sol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32,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6,2,1,0,0,0,FALSE,FALSE,2,6,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Current Asse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65,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A¿0,2,0,2,6,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Gross Margin]]></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10</SON>
                                <VOFFF><![CDATA[=IF(§A¿1,1,1,1,22,0,2,1,1§Z¿,§A¿1,2,3,1,14,2,1,1,1§Z¿,SUM(§A¿0,2,1,2,5,2,1,0,0,0,FALSE,FALSE,2,6,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22</SON>
                                <VOFFF><![CDATA[=IF(§A¿1,1,1,1,22,0,2,1,1§Z¿,§A¿1,2,3,1,14,2,1,1,1§Z¿,SUM(§A¿0,2,1,2,5,3,1,0,0,0,FALSE,FALSE,2,6,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Total Asse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69,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A¿0,2,0,2,7,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Net Operating Expenditur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39,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8,2,1,0,0,0,FALSE,FALSE,2,8,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Total Liabilitie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73,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A¿0,2,0,2,8,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EBITDA]]></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10</SON>
                                <VOFFF><![CDATA[=IF(§A¿1,1,1,1,22,0,2,1,1§Z¿,§A¿1,2,3,1,14,2,1,1,1§Z¿,SUM(§A¿0,2,1,2,7,2,1,0,0,0,FALSE,FALSE,2,8,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22</SON>
                                <VOFFF><![CDATA[=IF(§A¿1,1,1,1,22,0,2,1,1§Z¿,§A¿1,2,3,1,14,2,1,1,1§Z¿,SUM(§A¿0,2,1,2,7,3,1,0,0,0,FALSE,FALSE,2,8,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39</ST>
                                <VOFFF><![CDATA[Net Asset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10</SON>
                                <VOFFF><![CDATA[=IF(§A¿1,1,1,1,22,0,2,1,1§Z¿,§A¿1,2,3,1,14,2,1,1,1§Z¿,§A¿0,1,0,1,76,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22</SON>
                                <VOFFF><![CDATA[=IF(§A¿1,1,1,1,22,0,2,1,1§Z¿,§A¿1,2,3,1,14,2,1,1,1§Z¿,§A¿0,2,0,2,9,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Depreciation & Amortisation]]></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43,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10,2,1,0,0,0,FALSE,FALSE,2,10,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EBI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10</SON>
                                <VOFFF><![CDATA[=IF(§A¿1,1,1,1,22,0,2,1,1§Z¿,§A¿1,2,3,1,14,2,1,1,1§Z¿,SUM(§A¿0,2,1,2,9,2,1,0,0,0,FALSE,FALSE,2,10,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22</SON>
                                <VOFFF><![CDATA[=IF(§A¿1,1,1,1,22,0,2,1,1§Z¿,§A¿1,2,3,1,14,2,1,1,1§Z¿,SUM(§A¿0,2,1,2,9,3,1,0,0,0,FALSE,FALSE,2,10,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39</ST>
                                <VOFFF><![CDATA[Cash Flow Statement]]></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39</ST>
                                <SON>24</SON>
                                <VOFFF><![CDATA[=§A¿0,1,0,1,12,3,1,-1,0,0,TRU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39</ST>
                                <SON>20</SON>
                                <VOFFF><![CDATA[Total]]></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Net Interest Expens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47,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12,2,1,0,0,0,FALSE,FALSE,2,12,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Operating Cash Flow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82,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SUM(§A¿0,2,1,2,12,5,1,0,0,0,FALSE,FALSE,2,12,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Net Profit Before Tax]]></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10</SON>
                                <VOFFF><![CDATA[=IF(§A¿1,1,1,1,22,0,2,1,1§Z¿,§A¿1,2,3,1,14,2,1,1,1§Z¿,SUM(§A¿0,2,1,2,11,2,1,0,0,0,FALSE,FALSE,2,12,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22</SON>
                                <VOFFF><![CDATA[=IF(§A¿1,1,1,1,22,0,2,1,1§Z¿,§A¿1,2,3,1,14,2,1,1,1§Z¿,SUM(§A¿0,2,1,2,11,3,1,0,0,0,FALSE,FALSE,2,12,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Investing Cash Flow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86,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SUM(§A¿0,2,1,2,13,5,1,0,0,0,FALSE,FALSE,2,13,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40</ST>
                                <VOFFF><![CDATA[Tax Expense]]></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SON>
                                <VOFFF><![CDATA[=IF(§A¿1,1,1,1,22,0,2,1,1§Z¿,§A¿1,2,3,1,14,2,1,1,1§Z¿,-§A¿0,1,0,1,51,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21</SON>
                                <VOFFF><![CDATA[=IF(§A¿1,1,1,1,22,0,2,1,1§Z¿,§A¿1,2,3,1,14,2,1,1,1§Z¿,SUM(§A¿0,2,1,2,14,2,1,0,0,0,FALSE,FALSE,2,14,2,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40</ST>
                                <VOFFF><![CDATA[Financing Cash Flows]]></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SON>
                                <VOFFF><![CDATA[=IF(§A¿1,1,1,1,22,0,2,1,1§Z¿,§A¿1,2,3,1,14,2,1,1,1§Z¿,§A¿0,1,0,1,90,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21</SON>
                                <VOFFF><![CDATA[=IF(§A¿1,1,1,1,22,0,2,1,1§Z¿,§A¿1,2,3,1,14,2,1,1,1§Z¿,SUM(§A¿0,2,1,2,14,5,1,0,0,0,FALSE,FALSE,2,14,5,1,0,1,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
                      <ElmtProps>
                        <CPT>1</CPT>
                        <TOT>False</TOT>
                        <EGN>1</EGN>
                      </ElmtProps>
                      <ClmnBlks>
                        <ClmnBlk>
                          <ClmnBlkProps>
                            <FCPT>0</FCPT>
                            <FCN>2</FCN>
                            <LCPT>0</LCPT>
                            <LCN>2</LCN>
                          </ClmnBlkProps>
                          <ClmnBlkPts>
                            <ClmnBlkPt>
                              <ClmnBlkPtProps>
                                <CBPT>0</CBPT>
                                <ST>39</ST>
                                <VOFFF><![CDATA[Net Profit After Tax]]></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4</FCN>
                            <LCPT>0</LCPT>
                            <LCN>15</LCN>
                          </ClmnBlkProps>
                          <ClmnBlkPts>
                            <ClmnBlkPt>
                              <ClmnBlkPtProps>
                                <CBPT>0</CBPT>
                                <ST>42</ST>
                                <SON>11</SON>
                                <VOFFF><![CDATA[=IF(§A¿1,1,1,1,22,0,2,1,1§Z¿,§A¿1,2,3,1,14,2,1,1,1§Z¿,SUM(§A¿0,2,1,2,13,2,1,0,0,0,FALSE,FALSE,2,14,2,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16</FCN>
                            <LCPT>0</LCPT>
                            <LCN>16</LCN>
                          </ClmnBlkProps>
                          <ClmnBlkPts>
                            <ClmnBlkPt>
                              <ClmnBlkPtProps>
                                <CBPT>0</CBPT>
                                <ST>42</ST>
                                <SON>23</SON>
                                <VOFFF><![CDATA[=IF(§A¿1,1,1,1,22,0,2,1,1§Z¿,§A¿1,2,3,1,14,2,1,1,1§Z¿,SUM(§A¿0,2,1,2,13,3,1,0,0,0,FALSE,FALSE,2,14,3,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18</FCN>
                            <LCPT>0</LCPT>
                            <LCN>18</LCN>
                          </ClmnBlkProps>
                          <ClmnBlkPts>
                            <ClmnBlkPt>
                              <ClmnBlkPtProps>
                                <CBPT>0</CBPT>
                                <ST>39</ST>
                                <VOFFF><![CDATA[Change in Cash Held]]></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40</ST>
                                <VOFFF/>
                              </ClmnBlkPtProps>
                            </ClmnBlkPt>
                          </ClmnBlkPts>
                        </ClmnBlk>
                        <ClmnBlk>
                          <ClmnBlkProps>
                            <FCPT>0</FCPT>
                            <FCN>20</FCN>
                            <LCPT>0</LCPT>
                            <LCN>31</LCN>
                          </ClmnBlkProps>
                          <ClmnBlkPts>
                            <ClmnBlkPt>
                              <ClmnBlkPtProps>
                                <CBPT>0</CBPT>
                                <ST>18</ST>
                                <SON>10</SON>
                                <VOFFF><![CDATA[=IF(§A¿1,1,1,1,22,0,2,1,1§Z¿,§A¿1,2,3,1,14,2,1,1,1§Z¿,SUM(§A¿0,2,1,2,12,5,1,0,0,0,FALSE,FALSE,2,14,5,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
                          <ClmnBlkProps>
                            <FCPT>0</FCPT>
                            <FCN>32</FCN>
                            <LCPT>0</LCPT>
                            <LCN>32</LCN>
                          </ClmnBlkProps>
                          <ClmnBlkPts>
                            <ClmnBlkPt>
                              <ClmnBlkPtProps>
                                <CBPT>0</CBPT>
                                <ST>42</ST>
                                <SON>22</SON>
                                <VOFFF><![CDATA[=IF(§A¿1,1,1,1,22,0,2,1,1§Z¿,§A¿1,2,3,1,14,2,1,1,1§Z¿,SUM(§A¿0,2,1,2,12,6,1,0,0,0,FALSE,FALSE,2,14,6,1,0,0,0,FALSE,FALSE§Z¿))]]></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42</ST>
                                <VOFFF/>
                              </ClmnBlkPtProps>
                            </ClmnBlkPt>
                          </ClmnBlkPts>
                        </ClmnBlk>
                      </ClmnBlks>
                      <SubTtls>
                        <SubTtl>
                          <CatSpan>
                            <CatSpanProps>
                              <CC>3</CC>
                              <R>1</R>
                            </CatSpanProps>
                          </CatSpan>
                        </SubTtl>
                      </SubTtls>
                      <TtlCtg/>
                    </Elmt>
                  </Elmts>
                </Sect>
                <Sect>
                  <SectProps>
                    <LI>2,3</LI>
                    <EGN>0</EGN>
                  </SectProps>
                  <Elmts>
                    <Elmt>
                      <ElmtProps>
                        <CPT>2</CPT>
                      </ElmtProps>
                      <ClmnBlks>
                        <ClmnBlk>
                          <ClmnBlkProps>
                            <FCPT>0</FCPT>
                            <FCN>2</FCN>
                            <LCPT>0</LCPT>
                            <LCN>32</LCN>
                          </ClmnBlkProps>
                          <ClmnBlkPts>
                            <ClmnBlkPt>
                              <ClmnBlkPtProps>
                                <CBPT>5</CBPT>
                                <ST>42</ST>
                                <SON>7</SON>
                                <VOFFF><![CDATA[']]></VOFFF>
                              </ClmnBlkPtProps>
                            </ClmnBlkPt>
                          </ClmnBlkPts>
                        </ClmnBlk>
                      </ClmnBlks>
                      <TtlCtg>
                        <TtlCtgProps>
                          <R>1</R>
                        </TtlCtgProps>
                      </TtlCtg>
                    </Elmt>
                  </Elmts>
                </Sect>
              </Sects>
              <Chts>
                <Cht>
                  <ChtProps>
                    <MN>60</MN>
                    <MCN>2</MCN>
                    <CPVT>0</CPVT>
                    <SIT>0</SIT>
                    <TLCRSN>1</TLCRSN>
                    <TLCREN>5</TLCREN>
                    <TLCRSRT>5</TLCRSRT>
                    <TLCRCSTN>0</TLCRCSTN>
                    <TLCRIP>0</TLCRIP>
                    <TLCCPT>0</TLCCPT>
                    <TLCCN>2</TLCCN>
                    <TLCCOT>0</TLCCOT>
                    <TLCCOC>0</TLCCOC>
                    <TLCCPTBMCN>0</TLCCPTBMCN>
                    <TLCCPTBN>0</TLCCPTBN>
                    <TLCCIP>0</TLCCIP>
                    <BRCRSN>1</BRCRSN>
                    <BRCREN>17</BRCREN>
                    <BRCRSRT>5</BRCRSRT>
                    <BRCRCSTN>0</BRCRCSTN>
                    <BRCRIP>1</BRCRIP>
                    <BRCCPT>0</BRCCPT>
                    <BRCCN>9</BRCCN>
                    <BRCCOT>0</BRCCOT>
                    <BRCCOC>0</BRCCOC>
                    <BRCCPTBMCN>0</BRCCPTBMCN>
                    <BRCCPTBN>0</BRCCPTBN>
                    <BRCCIP>0.358974358974359</BRCCIP>
                    <N><![CDATA[bpmChartScen_Db6]]></N>
                    <CSSN><![CDATA[Scen_Db]]></CSSN>
                    <CT>4</CT>
                    <SFVT>0</SFVT>
                    <PB>1</PB>
                    <ST>2</ST>
                    <SST>0</SST>
                    <SFCOSTN>1</SFCOSTN>
                    <SLCOSTN>3</SLCOSTN>
                  </ChtProps>
                  <ChtSrcDtaCltn>
                    <ChtSrcDta>
                      <ChtSrcDtaProps>
                        <CMCN>2</CMCN>
                        <CN>1</CN>
                        <CSDT>0</CSDT>
                        <FFF><![CDATA[=§A¿0,1,0,1,28,1,1,0,0,0,TRUE,TRUE§Z¿]]></FFF>
                      </ChtSrcDtaProps>
                    </ChtSrcDta>
                    <ChtSrcDta>
                      <ChtSrcDtaProps>
                        <CMCN>2</CMCN>
                        <CN>1</CN>
                        <CSDT>1</CSDT>
                        <FFF><![CDATA[=§A¿0,1,1,1,26,2,1,-1,0,0,TRUE,TRUE,1,26,2,1,-1,1,0,TRUE,TRUE§Z¿]]></FFF>
                      </ChtSrcDtaProps>
                    </ChtSrcDta>
                    <ChtSrcDta>
                      <ChtSrcDtaProps>
                        <CMCN>2</CMCN>
                        <CN>1</CN>
                        <CSDT>2</CSDT>
                        <FFF><![CDATA[=§A¿0,1,1,1,28,3,1,0,0,0,TRUE,TRUE,1,28,3,1,0,1,0,TRUE,TRUE§Z¿]]></FFF>
                      </ChtSrcDtaProps>
                    </ChtSrcDta>
                    <ChtSrcDta>
                      <ChtSrcDtaProps>
                        <CMCN>2</CMCN>
                        <CN>1</CN>
                        <CSDT>3</CSDT>
                        <FFF/>
                      </ChtSrcDtaProps>
                    </ChtSrcDta>
                    <ChtSrcDta>
                      <ChtSrcDtaProps>
                        <CMCN>2</CMCN>
                        <CN>1</CN>
                        <CSDT>4</CSDT>
                        <FFF/>
                      </ChtSrcDtaProps>
                    </ChtSrcDta>
                  </ChtSrcDtaCltn>
                </Cht>
                <Cht>
                  <ChtProps>
                    <MN>60</MN>
                    <MCN>2</MCN>
                    <CPVT>0</CPVT>
                    <SIT>0</SIT>
                    <TLCRSN>1</TLCRSN>
                    <TLCREN>19</TLCREN>
                    <TLCRSRT>5</TLCRSRT>
                    <TLCRCSTN>0</TLCRCSTN>
                    <TLCRIP>0</TLCRIP>
                    <TLCCPT>0</TLCCPT>
                    <TLCCN>18</TLCCN>
                    <TLCCOT>0</TLCCOT>
                    <TLCCOC>0</TLCCOC>
                    <TLCCPTBMCN>0</TLCCPTBMCN>
                    <TLCCPTBN>0</TLCCPTBN>
                    <TLCCIP>-1.0433360042735E-06</TLCCIP>
                    <BRCRSN>2</BRCRSN>
                    <BRCREN>1</BRCREN>
                    <BRCRSRT>6</BRCRSRT>
                    <BRCRCSTN>1</BRCRCSTN>
                    <BRCRIP>1</BRCRIP>
                    <BRCCPT>0</BRCCPT>
                    <BRCCN>25</BRCCN>
                    <BRCCOT>0</BRCCOT>
                    <BRCCOC>0</BRCCOC>
                    <BRCCPTBMCN>0</BRCCPTBMCN>
                    <BRCCPTBN>0</BRCCPTBN>
                    <BRCCIP>0.346152802817842</BRCCIP>
                    <N><![CDATA[bpmChartScen_Db7]]></N>
                    <CSSN><![CDATA[Scen_Db]]></CSSN>
                    <CT>4</CT>
                    <SFVT>0</SFVT>
                    <PB>1</PB>
                    <ST>2</ST>
                    <SST>0</SST>
                    <SFCOSTN>1</SFCOSTN>
                    <SLCOSTN>3</SLCOSTN>
                  </ChtProps>
                  <ChtSrcDtaCltn>
                    <ChtSrcDta>
                      <ChtSrcDtaProps>
                        <CMCN>2</CMCN>
                        <CN>2</CN>
                        <CSDT>0</CSDT>
                        <FFF><![CDATA[=§A¿0,1,0,1,61,1,1,0,0,0,TRUE,TRUE§Z¿]]></FFF>
                      </ChtSrcDtaProps>
                    </ChtSrcDta>
                    <ChtSrcDta>
                      <ChtSrcDtaProps>
                        <CMCN>2</CMCN>
                        <CN>2</CN>
                        <CSDT>1</CSDT>
                        <FFF><![CDATA[=§A¿0,1,1,1,59,2,1,-1,0,0,TRUE,TRUE,1,59,2,1,-1,1,0,TRUE,TRUE§Z¿]]></FFF>
                      </ChtSrcDtaProps>
                    </ChtSrcDta>
                    <ChtSrcDta>
                      <ChtSrcDtaProps>
                        <CMCN>2</CMCN>
                        <CN>2</CN>
                        <CSDT>2</CSDT>
                        <FFF><![CDATA[=§A¿0,1,1,1,61,3,1,0,0,0,TRUE,TRUE,1,61,3,1,0,1,0,TRUE,TRUE§Z¿]]></FFF>
                      </ChtSrcDtaProps>
                    </ChtSrcDta>
                    <ChtSrcDta>
                      <ChtSrcDtaProps>
                        <CMCN>2</CMCN>
                        <CN>2</CN>
                        <CSDT>3</CSDT>
                        <FFF/>
                      </ChtSrcDtaProps>
                    </ChtSrcDta>
                    <ChtSrcDta>
                      <ChtSrcDtaProps>
                        <CMCN>2</CMCN>
                        <CN>2</CN>
                        <CSDT>4</CSDT>
                        <FFF/>
                      </ChtSrcDtaProps>
                    </ChtSrcDta>
                  </ChtSrcDtaCltn>
                </Cht>
                <Cht>
                  <ChtProps>
                    <MN>60</MN>
                    <MCN>2</MCN>
                    <CPVT>0</CPVT>
                    <SIT>0</SIT>
                    <TLCRSN>1</TLCRSN>
                    <TLCREN>19</TLCREN>
                    <TLCRSRT>5</TLCRSRT>
                    <TLCRCSTN>0</TLCRCSTN>
                    <TLCRIP>0</TLCRIP>
                    <TLCCPT>0</TLCCPT>
                    <TLCCN>2</TLCCN>
                    <TLCCOT>0</TLCCOT>
                    <TLCCOC>0</TLCCOC>
                    <TLCCPTBMCN>0</TLCCPTBMCN>
                    <TLCCPTBN>0</TLCCPTBN>
                    <TLCCIP>0</TLCCIP>
                    <BRCRSN>2</BRCRSN>
                    <BRCREN>1</BRCREN>
                    <BRCRSRT>6</BRCRSRT>
                    <BRCRCSTN>1</BRCRCSTN>
                    <BRCRIP>1</BRCRIP>
                    <BRCCPT>0</BRCCPT>
                    <BRCCN>9</BRCCN>
                    <BRCCOT>0</BRCCOT>
                    <BRCCOC>0</BRCCOC>
                    <BRCCPTBMCN>0</BRCCPTBMCN>
                    <BRCCPTBN>0</BRCCPTBN>
                    <BRCCIP>0.358974358974359</BRCCIP>
                    <N><![CDATA[bpmChartScen_Db8]]></N>
                    <CSSN><![CDATA[Scen_Db]]></CSSN>
                    <CT>4</CT>
                    <SFVT>0</SFVT>
                    <PB>1</PB>
                    <ST>2</ST>
                    <SST>0</SST>
                    <SFCOSTN>1</SFCOSTN>
                    <SLCOSTN>3</SLCOSTN>
                  </ChtProps>
                  <ChtSrcDtaCltn>
                    <ChtSrcDta>
                      <ChtSrcDtaProps>
                        <CMCN>2</CMCN>
                        <CN>3</CN>
                        <CSDT>0</CSDT>
                        <FFF><![CDATA[=§A¿0,1,0,1,32,1,1,0,0,0,TRUE,TRUE§Z¿]]></FFF>
                      </ChtSrcDtaProps>
                    </ChtSrcDta>
                    <ChtSrcDta>
                      <ChtSrcDtaProps>
                        <CMCN>2</CMCN>
                        <CN>3</CN>
                        <CSDT>1</CSDT>
                        <FFF><![CDATA[=§A¿0,1,1,1,30,2,1,-1,0,0,TRUE,TRUE,1,30,2,1,-1,1,0,TRUE,TRUE§Z¿]]></FFF>
                      </ChtSrcDtaProps>
                    </ChtSrcDta>
                    <ChtSrcDta>
                      <ChtSrcDtaProps>
                        <CMCN>2</CMCN>
                        <CN>3</CN>
                        <CSDT>2</CSDT>
                        <FFF><![CDATA[=§A¿0,1,1,1,32,3,1,0,0,0,TRUE,TRUE,1,32,3,1,0,1,0,TRUE,TRUE§Z¿]]></FFF>
                      </ChtSrcDtaProps>
                    </ChtSrcDta>
                    <ChtSrcDta>
                      <ChtSrcDtaProps>
                        <CMCN>2</CMCN>
                        <CN>3</CN>
                        <CSDT>3</CSDT>
                        <FFF/>
                      </ChtSrcDtaProps>
                    </ChtSrcDta>
                    <ChtSrcDta>
                      <ChtSrcDtaProps>
                        <CMCN>2</CMCN>
                        <CN>3</CN>
                        <CSDT>4</CSDT>
                        <FFF/>
                      </ChtSrcDtaProps>
                    </ChtSrcDta>
                  </ChtSrcDtaCltn>
                </Cht>
                <Cht>
                  <ChtProps>
                    <MN>60</MN>
                    <MCN>2</MCN>
                    <CPVT>0</CPVT>
                    <SIT>0</SIT>
                    <TLCRSN>1</TLCRSN>
                    <TLCREN>19</TLCREN>
                    <TLCRSRT>5</TLCRSRT>
                    <TLCRCSTN>0</TLCRCSTN>
                    <TLCRIP>0</TLCRIP>
                    <TLCCPT>0</TLCCPT>
                    <TLCCN>9</TLCCN>
                    <TLCCOT>0</TLCCOT>
                    <TLCCOC>0</TLCCOC>
                    <TLCCPTBMCN>0</TLCCPTBMCN>
                    <TLCCPTBN>0</TLCCPTBN>
                    <TLCCIP>0.705128205128205</TLCCIP>
                    <BRCRSN>2</BRCRSN>
                    <BRCREN>1</BRCREN>
                    <BRCRSRT>6</BRCRSRT>
                    <BRCRCSTN>1</BRCRCSTN>
                    <BRCRIP>1</BRCRIP>
                    <BRCCPT>0</BRCCPT>
                    <BRCCN>16</BRCCN>
                    <BRCCOT>0</BRCCOT>
                    <BRCCOC>0</BRCCOC>
                    <BRCCPTBMCN>0</BRCCPTBMCN>
                    <BRCCPTBN>0</BRCCPTBN>
                    <BRCCIP>1</BRCCIP>
                    <N><![CDATA[bpmChartScen_Db9]]></N>
                    <CSSN><![CDATA[Scen_Db]]></CSSN>
                    <CT>4</CT>
                    <SFVT>0</SFVT>
                    <PB>1</PB>
                    <ST>2</ST>
                    <SST>0</SST>
                    <SFCOSTN>1</SFCOSTN>
                    <SLCOSTN>3</SLCOSTN>
                  </ChtProps>
                  <ChtSrcDtaCltn>
                    <ChtSrcDta>
                      <ChtSrcDtaProps>
                        <CMCN>2</CMCN>
                        <CN>4</CN>
                        <CSDT>0</CSDT>
                        <FFF><![CDATA[=§A¿0,1,0,1,39,1,1,0,0,0,TRUE,TRUE§Z¿]]></FFF>
                      </ChtSrcDtaProps>
                    </ChtSrcDta>
                    <ChtSrcDta>
                      <ChtSrcDtaProps>
                        <CMCN>2</CMCN>
                        <CN>4</CN>
                        <CSDT>1</CSDT>
                        <FFF><![CDATA[=§A¿0,1,1,1,37,2,1,-1,0,0,TRUE,TRUE,1,37,2,1,-1,1,0,TRUE,TRUE§Z¿]]></FFF>
                      </ChtSrcDtaProps>
                    </ChtSrcDta>
                    <ChtSrcDta>
                      <ChtSrcDtaProps>
                        <CMCN>2</CMCN>
                        <CN>4</CN>
                        <CSDT>2</CSDT>
                        <FFF><![CDATA[=§A¿0,1,1,1,39,3,1,0,0,0,TRUE,TRUE,1,39,3,1,0,1,0,TRUE,TRUE§Z¿]]></FFF>
                      </ChtSrcDtaProps>
                    </ChtSrcDta>
                    <ChtSrcDta>
                      <ChtSrcDtaProps>
                        <CMCN>2</CMCN>
                        <CN>4</CN>
                        <CSDT>3</CSDT>
                        <FFF/>
                      </ChtSrcDtaProps>
                    </ChtSrcDta>
                    <ChtSrcDta>
                      <ChtSrcDtaProps>
                        <CMCN>2</CMCN>
                        <CN>4</CN>
                        <CSDT>4</CSDT>
                        <FFF/>
                      </ChtSrcDtaProps>
                    </ChtSrcDta>
                  </ChtSrcDtaCltn>
                </Cht>
                <Cht>
                  <ChtProps>
                    <MN>60</MN>
                    <MCN>2</MCN>
                    <CPVT>0</CPVT>
                    <SIT>0</SIT>
                    <TLCRSN>1</TLCRSN>
                    <TLCREN>5</TLCREN>
                    <TLCRSRT>5</TLCRSRT>
                    <TLCRCSTN>0</TLCRCSTN>
                    <TLCRIP>0</TLCRIP>
                    <TLCCPT>0</TLCCPT>
                    <TLCCN>25</TLCCN>
                    <TLCCOT>0</TLCCOT>
                    <TLCCOC>0</TLCCOC>
                    <TLCCPTBMCN>0</TLCCPTBMCN>
                    <TLCCPTBN>0</TLCCPTBN>
                    <TLCCIP>0.692307692307692</TLCCIP>
                    <BRCRSN>1</BRCRSN>
                    <BRCREN>17</BRCREN>
                    <BRCRSRT>5</BRCRSRT>
                    <BRCRCSTN>0</BRCRCSTN>
                    <BRCRIP>1</BRCRIP>
                    <BRCCPT>0</BRCCPT>
                    <BRCCN>32</BRCCN>
                    <BRCCOT>0</BRCCOT>
                    <BRCCOC>0</BRCCOC>
                    <BRCCPTBMCN>0</BRCCPTBMCN>
                    <BRCCPTBN>0</BRCCPTBN>
                    <BRCCIP>1</BRCCIP>
                    <N><![CDATA[bpmChartScen_Db10]]></N>
                    <CSSN><![CDATA[Scen_Db]]></CSSN>
                    <CT>4</CT>
                    <SFVT>0</SFVT>
                    <PB>1</PB>
                    <ST>2</ST>
                    <SST>0</SST>
                    <SFCOSTN>1</SFCOSTN>
                    <SLCOSTN>3</SLCOSTN>
                  </ChtProps>
                  <ChtSrcDtaCltn>
                    <ChtSrcDta>
                      <ChtSrcDtaProps>
                        <CMCN>2</CMCN>
                        <CN>5</CN>
                        <CSDT>0</CSDT>
                        <FFF><![CDATA[=§A¿0,1,0,1,76,1,1,0,0,0,TRUE,TRUE§Z¿]]></FFF>
                      </ChtSrcDtaProps>
                    </ChtSrcDta>
                    <ChtSrcDta>
                      <ChtSrcDtaProps>
                        <CMCN>2</CMCN>
                        <CN>5</CN>
                        <CSDT>1</CSDT>
                        <FFF><![CDATA[=§A¿0,1,1,1,75,2,1,-1,0,0,TRUE,TRUE,1,75,2,1,-1,1,0,TRUE,TRUE§Z¿]]></FFF>
                      </ChtSrcDtaProps>
                    </ChtSrcDta>
                    <ChtSrcDta>
                      <ChtSrcDtaProps>
                        <CMCN>2</CMCN>
                        <CN>5</CN>
                        <CSDT>2</CSDT>
                        <FFF><![CDATA[=§A¿0,1,1,1,76,3,1,0,0,0,TRUE,TRUE,1,76,3,1,0,1,0,TRUE,TRUE§Z¿]]></FFF>
                      </ChtSrcDtaProps>
                    </ChtSrcDta>
                    <ChtSrcDta>
                      <ChtSrcDtaProps>
                        <CMCN>2</CMCN>
                        <CN>5</CN>
                        <CSDT>3</CSDT>
                        <FFF/>
                      </ChtSrcDtaProps>
                    </ChtSrcDta>
                    <ChtSrcDta>
                      <ChtSrcDtaProps>
                        <CMCN>2</CMCN>
                        <CN>5</CN>
                        <CSDT>4</CSDT>
                        <FFF/>
                      </ChtSrcDtaProps>
                    </ChtSrcDta>
                  </ChtSrcDtaCltn>
                </Cht>
                <Cht>
                  <ChtProps>
                    <MN>60</MN>
                    <MCN>2</MCN>
                    <CPVT>0</CPVT>
                    <SIT>0</SIT>
                    <TLCRSN>1</TLCRSN>
                    <TLCREN>19</TLCREN>
                    <TLCRSRT>5</TLCRSRT>
                    <TLCRCSTN>0</TLCRCSTN>
                    <TLCRIP>0</TLCRIP>
                    <TLCCPT>0</TLCCPT>
                    <TLCCN>25</TLCCN>
                    <TLCCOT>0</TLCCOT>
                    <TLCCOC>0</TLCCOC>
                    <TLCCPTBMCN>0</TLCCPTBMCN>
                    <TLCCPTBN>0</TLCCPTBN>
                    <TLCCIP>0.692307692307692</TLCCIP>
                    <BRCRSN>2</BRCRSN>
                    <BRCREN>1</BRCREN>
                    <BRCRSRT>6</BRCRSRT>
                    <BRCRCSTN>1</BRCRCSTN>
                    <BRCRIP>1</BRCRIP>
                    <BRCCPT>0</BRCCPT>
                    <BRCCN>32</BRCCN>
                    <BRCCOT>0</BRCCOT>
                    <BRCCOC>0</BRCCOC>
                    <BRCCPTBMCN>0</BRCCPTBMCN>
                    <BRCCPTBN>0</BRCCPTBN>
                    <BRCCIP>1</BRCCIP>
                    <N><![CDATA[bpmChartScen_Db11]]></N>
                    <CSSN><![CDATA[Scen_Db]]></CSSN>
                    <CT>4</CT>
                    <SFVT>0</SFVT>
                    <PB>1</PB>
                    <ST>2</ST>
                    <SST>0</SST>
                    <SFCOSTN>1</SFCOSTN>
                    <SLCOSTN>3</SLCOSTN>
                  </ChtProps>
                  <ChtSrcDtaCltn>
                    <ChtSrcDta>
                      <ChtSrcDtaProps>
                        <CMCN>2</CMCN>
                        <CN>6</CN>
                        <CSDT>0</CSDT>
                        <FFF><![CDATA[=§A¿0,1,0,1,93,1,1,0,0,0,TRUE,TRUE§Z¿]]></FFF>
                      </ChtSrcDtaProps>
                    </ChtSrcDta>
                    <ChtSrcDta>
                      <ChtSrcDtaProps>
                        <CMCN>2</CMCN>
                        <CN>6</CN>
                        <CSDT>1</CSDT>
                        <FFF><![CDATA[=§A¿0,1,1,1,92,2,1,-1,0,0,TRUE,TRUE,1,92,2,1,-1,1,0,TRUE,TRUE§Z¿]]></FFF>
                      </ChtSrcDtaProps>
                    </ChtSrcDta>
                    <ChtSrcDta>
                      <ChtSrcDtaProps>
                        <CMCN>2</CMCN>
                        <CN>6</CN>
                        <CSDT>2</CSDT>
                        <FFF><![CDATA[=§A¿0,1,1,1,93,3,1,0,0,0,TRUE,TRUE,1,93,3,1,0,1,0,TRUE,TRUE§Z¿]]></FFF>
                      </ChtSrcDtaProps>
                    </ChtSrcDta>
                    <ChtSrcDta>
                      <ChtSrcDtaProps>
                        <CMCN>2</CMCN>
                        <CN>6</CN>
                        <CSDT>3</CSDT>
                        <FFF/>
                      </ChtSrcDtaProps>
                    </ChtSrcDta>
                    <ChtSrcDta>
                      <ChtSrcDtaProps>
                        <CMCN>2</CMCN>
                        <CN>6</CN>
                        <CSDT>4</CSDT>
                        <FFF/>
                      </ChtSrcDtaProps>
                    </ChtSrcDta>
                  </ChtSrcDtaCltn>
                </Cht>
                <Cht>
                  <ChtProps>
                    <MN>60</MN>
                    <MCN>2</MCN>
                    <CPVT>0</CPVT>
                    <SIT>0</SIT>
                    <TLCRSN>1</TLCRSN>
                    <TLCREN>5</TLCREN>
                    <TLCRSRT>5</TLCRSRT>
                    <TLCRCSTN>0</TLCRCSTN>
                    <TLCRIP>0</TLCRIP>
                    <TLCCPT>0</TLCCPT>
                    <TLCCN>18</TLCCN>
                    <TLCCOT>0</TLCCOT>
                    <TLCCOC>0</TLCCOC>
                    <TLCCPTBMCN>0</TLCCPTBMCN>
                    <TLCCPTBN>0</TLCCPTBN>
                    <TLCCIP>-1.0433360042735E-06</TLCCIP>
                    <BRCRSN>1</BRCRSN>
                    <BRCREN>17</BRCREN>
                    <BRCRSRT>5</BRCRSRT>
                    <BRCRCSTN>0</BRCRCSTN>
                    <BRCRIP>1</BRCRIP>
                    <BRCCPT>0</BRCCPT>
                    <BRCCN>25</BRCCN>
                    <BRCCOT>0</BRCCOT>
                    <BRCCOC>0</BRCCOC>
                    <BRCCPTBMCN>0</BRCCPTBMCN>
                    <BRCCPTBN>0</BRCCPTBN>
                    <BRCCIP>0.346152802817842</BRCCIP>
                    <N><![CDATA[bpmChartScen_Db12]]></N>
                    <CSSN><![CDATA[Scen_Db]]></CSSN>
                    <CT>4</CT>
                    <SFVT>0</SFVT>
                    <PB>1</PB>
                    <ST>2</ST>
                    <SST>0</SST>
                    <SFCOSTN>1</SFCOSTN>
                    <SLCOSTN>3</SLCOSTN>
                  </ChtProps>
                  <ChtSrcDtaCltn>
                    <ChtSrcDta>
                      <ChtSrcDtaProps>
                        <CMCN>2</CMCN>
                        <CN>7</CN>
                        <CSDT>0</CSDT>
                        <FFF><![CDATA[=§A¿0,1,0,1,55,1,1,0,0,0,TRUE,TRUE§Z¿]]></FFF>
                      </ChtSrcDtaProps>
                    </ChtSrcDta>
                    <ChtSrcDta>
                      <ChtSrcDtaProps>
                        <CMCN>2</CMCN>
                        <CN>7</CN>
                        <CSDT>1</CSDT>
                        <FFF><![CDATA[=§A¿0,1,1,1,53,2,1,-1,0,0,TRUE,TRUE,1,53,2,1,-1,1,0,TRUE,TRUE§Z¿]]></FFF>
                      </ChtSrcDtaProps>
                    </ChtSrcDta>
                    <ChtSrcDta>
                      <ChtSrcDtaProps>
                        <CMCN>2</CMCN>
                        <CN>7</CN>
                        <CSDT>2</CSDT>
                        <FFF><![CDATA[=§A¿0,1,1,1,55,3,1,0,0,0,TRUE,TRUE,1,55,3,1,0,1,0,TRUE,TRUE§Z¿]]></FFF>
                      </ChtSrcDtaProps>
                    </ChtSrcDta>
                    <ChtSrcDta>
                      <ChtSrcDtaProps>
                        <CMCN>2</CMCN>
                        <CN>7</CN>
                        <CSDT>3</CSDT>
                        <FFF/>
                      </ChtSrcDtaProps>
                    </ChtSrcDta>
                    <ChtSrcDta>
                      <ChtSrcDtaProps>
                        <CMCN>2</CMCN>
                        <CN>7</CN>
                        <CSDT>4</CSDT>
                        <FFF/>
                      </ChtSrcDtaProps>
                    </ChtSrcDta>
                  </ChtSrcDtaCltn>
                </Cht>
                <Cht>
                  <ChtProps>
                    <MN>60</MN>
                    <MCN>2</MCN>
                    <CPVT>0</CPVT>
                    <SIT>0</SIT>
                    <TLCRSN>1</TLCRSN>
                    <TLCREN>5</TLCREN>
                    <TLCRSRT>5</TLCRSRT>
                    <TLCRCSTN>0</TLCRCSTN>
                    <TLCRIP>0</TLCRIP>
                    <TLCCPT>0</TLCCPT>
                    <TLCCN>9</TLCCN>
                    <TLCCOT>0</TLCCOT>
                    <TLCCOC>0</TLCCOC>
                    <TLCCPTBMCN>0</TLCCPTBMCN>
                    <TLCCPTBN>0</TLCCPTBN>
                    <TLCCIP>0.692307692307692</TLCCIP>
                    <BRCRSN>1</BRCRSN>
                    <BRCREN>17</BRCREN>
                    <BRCRSRT>5</BRCRSRT>
                    <BRCRCSTN>0</BRCRCSTN>
                    <BRCRIP>1</BRCRIP>
                    <BRCCPT>0</BRCCPT>
                    <BRCCN>16</BRCCN>
                    <BRCCOT>0</BRCCOT>
                    <BRCCOC>0</BRCCOC>
                    <BRCCPTBMCN>0</BRCCPTBMCN>
                    <BRCCPTBN>0</BRCCPTBN>
                    <BRCCIP>1</BRCCIP>
                    <N><![CDATA[bpmChartScen_Db13]]></N>
                    <CSSN><![CDATA[Scen_Db]]></CSSN>
                    <CT>4</CT>
                    <SFVT>0</SFVT>
                    <PB>1</PB>
                    <ST>2</ST>
                    <SST>0</SST>
                    <SFCOSTN>1</SFCOSTN>
                    <SLCOSTN>3</SLCOSTN>
                  </ChtProps>
                  <ChtSrcDtaCltn>
                    <ChtSrcDta>
                      <ChtSrcDtaProps>
                        <CMCN>2</CMCN>
                        <CN>8</CN>
                        <CSDT>0</CSDT>
                        <FFF><![CDATA[=§A¿0,1,0,1,35,1,1,0,0,0,TRUE,TRUE§Z¿]]></FFF>
                      </ChtSrcDtaProps>
                    </ChtSrcDta>
                    <ChtSrcDta>
                      <ChtSrcDtaProps>
                        <CMCN>2</CMCN>
                        <CN>8</CN>
                        <CSDT>1</CSDT>
                        <FFF><![CDATA[=§A¿0,1,1,1,34,2,1,-1,0,0,TRUE,TRUE,1,34,2,1,-1,1,0,TRUE,TRUE§Z¿]]></FFF>
                      </ChtSrcDtaProps>
                    </ChtSrcDta>
                    <ChtSrcDta>
                      <ChtSrcDtaProps>
                        <CMCN>2</CMCN>
                        <CN>8</CN>
                        <CSDT>2</CSDT>
                        <FFF><![CDATA[=§A¿0,1,1,1,35,3,1,0,0,0,TRUE,TRUE,1,35,3,1,0,1,0,TRUE,TRUE§Z¿]]></FFF>
                      </ChtSrcDtaProps>
                    </ChtSrcDta>
                    <ChtSrcDta>
                      <ChtSrcDtaProps>
                        <CMCN>2</CMCN>
                        <CN>8</CN>
                        <CSDT>3</CSDT>
                        <FFF/>
                      </ChtSrcDtaProps>
                    </ChtSrcDta>
                    <ChtSrcDta>
                      <ChtSrcDtaProps>
                        <CMCN>2</CMCN>
                        <CN>8</CN>
                        <CSDT>4</CSDT>
                        <FFF/>
                      </ChtSrcDtaProps>
                    </ChtSrcDta>
                  </ChtSrcDtaCltn>
                </Cht>
              </Chts>
              <ResShps>
                <ResShp>
                  <ResShpProps>
                    <MN>60</MN>
                    <MCN>2</MCN>
                    <SIT>0</SIT>
                    <TLCRSN>1</TLCRSN>
                    <TLCREN>3</TLCREN>
                    <TLCRSRT>5</TLCRSRT>
                    <TLCRCSTN>0</TLCRCSTN>
                    <TLCRIP>0.789473617286013</TLCRIP>
                    <TLCCPT>0</TLCCPT>
                    <TLCCN>9</TLCCN>
                    <TLCCOT>0</TLCCOT>
                    <TLCCOC>0</TLCCOC>
                    <TLCCPTBMCN>0</TLCCPTBMCN>
                    <TLCCPTBN>0</TLCCPTBN>
                    <TLCCIP>0.37234020909519</TLCCIP>
                    <BRCRSN>1</BRCRSN>
                    <BRCREN>5</BRCREN>
                    <BRCRSRT>5</BRCRSRT>
                    <BRCRCSTN>0</BRCRCSTN>
                    <BRCRIP>0.493424465781764</BRCRIP>
                    <BRCCPT>0</BRCCPT>
                    <BRCCN>9</BRCCN>
                    <BRCCOT>0</BRCCOT>
                    <BRCCOC>0</BRCCOC>
                    <BRCCPTBMCN>0</BRCCPTBMCN>
                    <BRCCPTBN>0</BRCCPTBN>
                    <BRCCIP>0.722517514059729</BRCCIP>
                    <N><![CDATA[bpmShapeScen_Db1]]></N>
                    <CSSN>Scen_Db</CSSN>
                    <WLN>0</WLN>
                  </ResShpProps>
                </ResShp>
                <ResShp>
                  <ResShpProps>
                    <MN>60</MN>
                    <MCN>2</MCN>
                    <SIT>0</SIT>
                    <TLCRSN>1</TLCRSN>
                    <TLCREN>3</TLCREN>
                    <TLCRSRT>5</TLCRSRT>
                    <TLCRCSTN>0</TLCRCSTN>
                    <TLCRIP>0.723684143601803</TLCRIP>
                    <TLCCPT>0</TLCCPT>
                    <TLCCN>25</TLCCN>
                    <TLCCOT>0</TLCCOT>
                    <TLCCOC>0</TLCCOC>
                    <TLCCPTBMCN>0</TLCCPTBMCN>
                    <TLCCPTBN>0</TLCCPTBN>
                    <TLCCIP>0.372341291278813</TLCCIP>
                    <BRCRSN>1</BRCRSN>
                    <BRCREN>5</BRCREN>
                    <BRCRSRT>5</BRCRSRT>
                    <BRCRCSTN>0</BRCRCSTN>
                    <BRCRIP>0.427634992097553</BRCRIP>
                    <BRCCPT>0</BRCCPT>
                    <BRCCN>25</BRCCN>
                    <BRCCOT>0</BRCCOT>
                    <BRCCOC>0</BRCCOC>
                    <BRCCPTBMCN>0</BRCCPTBMCN>
                    <BRCCPTBN>0</BRCCPTBN>
                    <BRCCIP>0.722518596243352</BRCCIP>
                    <N><![CDATA[bpmShapeScen_Db2]]></N>
                    <CSSN>Scen_Db</CSSN>
                    <WLN>0</WLN>
                  </ResShpProps>
                </ResShp>
                <ResShp>
                  <ResShpProps>
                    <MN>60</MN>
                    <MCN>2</MCN>
                    <SIT>0</SIT>
                    <TLCRSN>1</TLCRSN>
                    <TLCREN>17</TLCREN>
                    <TLCRSRT>5</TLCRSRT>
                    <TLCRCSTN>0</TLCRCSTN>
                    <TLCRIP>0.789473684210526</TLCRIP>
                    <TLCCPT>0</TLCCPT>
                    <TLCCN>9</TLCCN>
                    <TLCCOT>0</TLCCOT>
                    <TLCCOC>0</TLCCOC>
                    <TLCCPTBMCN>0</TLCCPTBMCN>
                    <TLCCPTBN>0</TLCCPTBN>
                    <TLCCIP>0.37234020909519</TLCCIP>
                    <BRCRSN>1</BRCRSN>
                    <BRCREN>19</BRCREN>
                    <BRCRSRT>5</BRCRSRT>
                    <BRCRCSTN>0</BRCRCSTN>
                    <BRCRIP>0.493424532706277</BRCRIP>
                    <BRCCPT>0</BRCCPT>
                    <BRCCN>9</BRCCN>
                    <BRCCOT>0</BRCCOT>
                    <BRCCOC>0</BRCCOC>
                    <BRCCPTBMCN>0</BRCCPTBMCN>
                    <BRCCPTBN>0</BRCCPTBN>
                    <BRCCIP>0.722517514059729</BRCCIP>
                    <N><![CDATA[bpmShapeScen_Db3]]></N>
                    <CSSN>Scen_Db</CSSN>
                    <WLN>0</WLN>
                  </ResShpProps>
                </ResShp>
                <ResShp>
                  <ResShpProps>
                    <MN>60</MN>
                    <MCN>2</MCN>
                    <SIT>0</SIT>
                    <TLCRSN>1</TLCRSN>
                    <TLCREN>17</TLCREN>
                    <TLCRSRT>5</TLCRSRT>
                    <TLCRCSTN>0</TLCRCSTN>
                    <TLCRIP>0.789473684210526</TLCRIP>
                    <TLCCPT>0</TLCCPT>
                    <TLCCN>25</TLCCN>
                    <TLCCOT>0</TLCCOT>
                    <TLCCOC>0</TLCCOC>
                    <TLCCPTBMCN>0</TLCCPTBMCN>
                    <TLCCPTBN>0</TLCCPTBN>
                    <TLCCIP>0.372341291278813</TLCCIP>
                    <BRCRSN>1</BRCRSN>
                    <BRCREN>19</BRCREN>
                    <BRCRSRT>5</BRCRSRT>
                    <BRCRCSTN>0</BRCRCSTN>
                    <BRCRIP>0.493424532706277</BRCRIP>
                    <BRCCPT>0</BRCCPT>
                    <BRCCN>25</BRCCN>
                    <BRCCOT>0</BRCCOT>
                    <BRCCOC>0</BRCCOC>
                    <BRCCPTBMCN>0</BRCCPTBMCN>
                    <BRCCPTBN>0</BRCCPTBN>
                    <BRCCIP>0.722518596243352</BRCCIP>
                    <N><![CDATA[bpmShapeScen_Db4]]></N>
                    <CSSN>Scen_Db</CSSN>
                    <WLN>0</WLN>
                  </ResShpProps>
                </ResShp>
              </ResShps>
              <ModCompPrntStgs>
                <ModCompPrntStgsProps>
                  <MCN>2</MCN>
                  <PO>2</PO>
                  <Z>False</Z>
                  <FTPW>1</FTPW>
                  <FTPT>1</FTPT>
                  <PS>8</PS>
                  <CH>False</CH>
                  <CV>False</CV>
                  <TLCRSN>1</TLCRSN>
                  <TLCREN>2</TLCREN>
                  <TLCRSRT>5</TLCRSRT>
                  <TLCRCSTN>0</TLCRCSTN>
                  <TLCROR>0</TLCROR>
                  <TLCCPT>0</TLCCPT>
                  <TLCCN>2</TLCCN>
                  <TLCCOT>0</TLCCOT>
                  <TLCCOC>0</TLCCOC>
                  <TLCCPTBMCN>0</TLCCPTBMCN>
                  <TLCCPTBN>0</TLCCPTBN>
                  <BRCRSN>3</BRCRSN>
                  <BRCREN>1</BRCREN>
                  <BRCRSRT>5</BRCRSRT>
                  <BRCRCSTN>0</BRCRCSTN>
                  <BRCROR>0</BRCROR>
                  <BRCCPT>0</BRCCPT>
                  <BRCCN>32</BRCCN>
                  <BRCCOT>0</BRCCOT>
                  <BRCCOC>0</BRCCOC>
                  <BRCCPTBMCN>0</BRCCPTBMCN>
                  <BRCCPTBN>0</BRCCPTBN>
                  <PTRFRN>4</PTRFRN>
                  <PTRLRN>5</PTRLRN>
                  <PTCFCN>0</PTCFCN>
                  <PTCLCN>0</PTCLCN>
                  <HPB/>
                  <FPC/>
                  <MHFC>False</MHFC>
                  <ML>0</ML>
                  <MR>0</MR>
                  <MT>0</MT>
                  <MB>0</MB>
                  <MH>0</MH>
                  <MF>0</MF>
                  <HL/>
                  <HC/>
                  <HR/>
                  <FL/>
                  <FC/>
                  <FR/>
                </ModCompPrntStgsProps>
              </ModCompPrntStgs>
            </ModComp>
            <ModComp>
              <ModCompProps>
                <MN>60</MN>
                <MCN>3</MCN>
                <MCTK>LU</MCTK>
                <RT><![CDATA[<ModuleName> - Lookups]]></RT>
                <ERN>MODMC35</ERN>
                <MCST>3</MCST>
                <IPMC>False</IPMC>
                <SN>19</SN>
                <LODS>False</LODS>
                <LST>False</LST>
                <RSTF>False</RSTF>
                <STRA>0</STRA>
                <HS>False</HS>
                <IBOA>0</IBOA>
                <IB>True</IB>
                <CI/>
                <PTI/>
                <PTP>False</PTP>
                <PTD/>
                <PTMCN>0</PTMCN>
                <CROL>0</CROL>
                <CCOL>0</CCOL>
                <AMFN>0</AMFN>
              </ModCompProps>
              <Sects>
                <Sect>
                  <SectProps>
                    <LI>3,1</LI>
                    <EGN>0</EGN>
                  </SectProps>
                  <Elmts>
                    <Elmt>
                      <ElmtProps>
                        <CPT>2</CPT>
                      </ElmtProps>
                      <TtlCtg/>
                    </Elmt>
                    <Elmt>
                      <ElmtProps>
                        <CPT>2</CPT>
                      </ElmtProps>
                      <ClmnBlks>
                        <ClmnBlk>
                          <ClmnBlkProps>
                            <FCPT>0</FCPT>
                            <FCN>2</FCN>
                            <LCPT>0</LCPT>
                            <LCN>2</LCN>
                          </ClmnBlkProps>
                          <ClmnBlkPts>
                            <ClmnBlkPt>
                              <ClmnBlkPtProps>
                                <CBPT>5</CBPT>
                                <HCTHR>True</HCTHR>
                                <CTHN>40</CTHN>
                                <ST>3</ST>
                                <VOFFF><![CDATA[<ModuleComponentTitle>]]></VOFFF>
                              </ClmnBlkPtProps>
                            </ClmnBlkPt>
                          </ClmnBlkPts>
                        </ClmnBlk>
                        <ClmnBlk>
                          <ClmnBlkProps>
                            <FCPT>0</FCPT>
                            <FCN>3</FCN>
                            <LCPT>5</LCPT>
                          </ClmnBlkProps>
                          <ClmnBlkPts>
                            <ClmnBlkPt>
                              <ClmnBlkPtProps>
                                <CBPT>5</CBPT>
                                <ST>3</ST>
                                <VOFFF/>
                              </ClmnBlkPtProps>
                            </ClmnBlkPt>
                          </ClmnBlkPts>
                        </ClmnBlk>
                      </ClmnBlks>
                      <TtlCtg/>
                    </Elmt>
                    <Elmt>
                      <ElmtProps>
                        <CPT>2</CPT>
                      </ElmtProps>
                      <TtlCtg>
                        <TtlCtgProps>
                          <R>1</R>
                        </TtlCtgProps>
                      </TtlCtg>
                    </Elmt>
                    <Elmt>
                      <ElmtProps>
                        <CPT>2</CPT>
                      </ElmtProps>
                      <ClmnBlks>
                        <ClmnBlk>
                          <ClmnBlkProps>
                            <FCPT>0</FCPT>
                            <FCN>3</FCN>
                            <LCPT>0</LCPT>
                            <LCN>5</LCN>
                          </ClmnBlkProps>
                          <ClmnBlkPts>
                            <ClmnBlkPt>
                              <ClmnBlkPtProps>
                                <CBPT>5</CBPT>
                                <ST>4</ST>
                                <MC>True</MC>
                                <VOFFF><![CDATA[First Displayed Period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1</R>
                        </TtlCtgProps>
                      </TtlCtg>
                    </Elmt>
                    <Elmt>
                      <ElmtProps>
                        <CPT>2</CPT>
                      </ElmtProps>
                      <TtlCtg>
                        <TtlCtgProps>
                          <R>1</R>
                        </TtlCtgProps>
                      </TtlCtg>
                    </Elmt>
                    <Elmt>
                      <ElmtProps>
                        <CPT>0</CPT>
                        <TOT>True</TOT>
                        <EGN>3</EGN>
                      </ElmtProps>
                      <ClmnBlks>
                        <ClmnBlk>
                          <ClmnBlkProps>
                            <FCPT>0</FCPT>
                            <FCN>4</FCN>
                            <LCPT>0</LCPT>
                            <LCN>4</LCN>
                          </ClmnBlkProps>
                          <ClmnBlkPts>
                            <ClmnBlkPt>
                              <ClmnBlkPtProps>
                                <CBPT>0</CBPT>
                                <ST>25</ST>
                                <SON>26</SON>
                                <VOFFF><![CDATA[=EDATE(§A¿7,1,1,1,9,0,2,1,1§Z¿,ROWS(§A¿0,3,1,1,6,1,1,1,0,0,TRUE,FALSE,1,6,1,1,0,0,0,FALSE,FALSE§Z¿))-1]]></VOFFF>
                              </ClmnBlkPtProps>
                              <RgeNmes>
                                <RgeNme>
                                  <RgeNmeProps>
                                    <CBPLI>3,1,6,1,1</CBPLI>
                                    <MCN>3</MCN>
                                    <SN>1</SN>
                                    <EN>6</EN>
                                    <CN>0</CN>
                                    <CBN>1</CBN>
                                    <CBPN>1</CBPN>
                                    <PT>1</PT>
                                    <CBPRNT>2</CBPRNT>
                                    <NT>11</NT>
                                    <SP1><![CDATA[First_Disp_Per]]></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First Displayed Period]]></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Scen_Db_First_Disp_Per]]></VOFFF>
                              </ClmnBlkPtProps>
                            </ClmnBlkPt>
                          </ClmnBlkPts>
                        </ClmnBlk>
                      </ClmnBlks>
                      <SubTtls>
                        <SubTtl>
                          <Ctgs>
                            <Ctg>
                              <CtgProps>
                                <R>1</R>
                              </CtgProps>
                              <LuTblLbl>
                                <LuTblLblProps>
                                  <CLI>3,1,6,False,1</CLI>
                                  <L><![CDATA[Lookup Label <CategoryNumber>.]]></L>
                                </LuTblLblProps>
                              </LuTblLbl>
                            </Ctg>
                            <Ctg>
                              <CtgProps>
                                <R>1</R>
                              </CtgProps>
                              <LuTblLbl>
                                <LuTblLblProps>
                                  <CLI>3,1,6,False,2</CLI>
                                  <L><![CDATA[Lookup Label <CategoryNumber>.]]></L>
                                </LuTblLblProps>
                              </LuTblLbl>
                            </Ctg>
                            <Ctg>
                              <CtgProps>
                                <R>1</R>
                              </CtgProps>
                              <LuTblLbl>
                                <LuTblLblProps>
                                  <CLI>3,1,6,False,3</CLI>
                                  <L><![CDATA[Lookup Label <CategoryNumber>.]]></L>
                                </LuTblLblProps>
                              </LuTblLbl>
                            </Ctg>
                            <Ctg>
                              <CtgProps>
                                <R>1</R>
                              </CtgProps>
                              <LuTblLbl>
                                <LuTblLblProps>
                                  <CLI>3,1,6,False,4</CLI>
                                  <L><![CDATA[Lookup Label <CategoryNumber>.]]></L>
                                </LuTblLblProps>
                              </LuTblLbl>
                            </Ctg>
                            <Ctg>
                              <CtgProps>
                                <R>1</R>
                              </CtgProps>
                              <LuTblLbl>
                                <LuTblLblProps>
                                  <CLI>3,1,6,False,5</CLI>
                                  <L><![CDATA[Lookup Label <CategoryNumber>.]]></L>
                                </LuTblLblProps>
                              </LuTblLbl>
                            </Ctg>
                            <Ctg>
                              <CtgProps>
                                <R>1</R>
                              </CtgProps>
                              <LuTblLbl>
                                <LuTblLblProps>
                                  <CLI>3,1,6,False,6</CLI>
                                  <L><![CDATA[Lookup Label <CategoryNumber>.]]></L>
                                </LuTblLblProps>
                              </LuTblLbl>
                            </Ctg>
                            <Ctg>
                              <CtgProps>
                                <R>1</R>
                              </CtgProps>
                              <LuTblLbl>
                                <LuTblLblProps>
                                  <CLI>3,1,6,False,7</CLI>
                                  <L><![CDATA[Lookup Label <CategoryNumber>.]]></L>
                                </LuTblLblProps>
                              </LuTblLbl>
                            </Ctg>
                            <Ctg>
                              <CtgProps>
                                <R>1</R>
                              </CtgProps>
                              <LuTblLbl>
                                <LuTblLblProps>
                                  <CLI>3,1,6,False,8</CLI>
                                  <L><![CDATA[Lookup Label <CategoryNumber>.]]></L>
                                </LuTblLblProps>
                              </LuTblLbl>
                            </Ctg>
                            <Ctg>
                              <CtgProps>
                                <R>1</R>
                              </CtgProps>
                              <LuTblLbl>
                                <LuTblLblProps>
                                  <CLI>3,1,6,False,9</CLI>
                                  <L><![CDATA[Lookup Label <CategoryNumber>.]]></L>
                                </LuTblLblProps>
                              </LuTblLbl>
                            </Ctg>
                            <Ctg>
                              <CtgProps>
                                <R>1</R>
                              </CtgProps>
                              <LuTblLbl>
                                <LuTblLblProps>
                                  <CLI>3,1,6,False,10</CLI>
                                  <L><![CDATA[Lookup Label <CategoryNumber>.]]></L>
                                </LuTblLblProps>
                              </LuTblLbl>
                            </Ctg>
                            <Ctg>
                              <CtgProps>
                                <R>1</R>
                              </CtgProps>
                              <LuTblLbl>
                                <LuTblLblProps>
                                  <CLI>3,1,6,False,11</CLI>
                                  <L><![CDATA[Lookup Label <CategoryNumber>.]]></L>
                                </LuTblLblProps>
                              </LuTblLbl>
                            </Ctg>
                            <Ctg>
                              <CtgProps>
                                <R>1</R>
                              </CtgProps>
                              <LuTblLbl>
                                <LuTblLblProps>
                                  <CLI>3,1,6,False,12</CLI>
                                  <L><![CDATA[Lookup Label <CategoryNumber>.]]></L>
                                </LuTblLblProps>
                              </LuTblLbl>
                            </Ctg>
                            <Ctg>
                              <CtgProps>
                                <R>1</R>
                              </CtgProps>
                              <LuTblLbl>
                                <LuTblLblProps>
                                  <CLI>3,1,6,False,13</CLI>
                                  <L><![CDATA[Lookup Label <CategoryNumber>.]]></L>
                                </LuTblLblProps>
                              </LuTblLbl>
                            </Ctg>
                            <Ctg>
                              <CtgProps>
                                <R>1</R>
                              </CtgProps>
                              <LuTblLbl>
                                <LuTblLblProps>
                                  <CLI>3,1,6,False,14</CLI>
                                  <L><![CDATA[Lookup Label <CategoryNumber>.]]></L>
                                </LuTblLblProps>
                              </LuTblLbl>
                            </Ctg>
                            <Ctg>
                              <CtgProps>
                                <R>1</R>
                              </CtgProps>
                              <LuTblLbl>
                                <LuTblLblProps>
                                  <CLI>3,1,6,False,15</CLI>
                                  <L><![CDATA[Lookup Label <CategoryNumber>.]]></L>
                                </LuTblLblProps>
                              </LuTblLbl>
                            </Ctg>
                            <Ctg>
                              <CtgProps>
                                <R>1</R>
                              </CtgProps>
                              <LuTblLbl>
                                <LuTblLblProps>
                                  <CLI>3,1,6,False,16</CLI>
                                  <L><![CDATA[Lookup Label <CategoryNumber>.]]></L>
                                </LuTblLblProps>
                              </LuTblLbl>
                            </Ctg>
                            <Ctg>
                              <CtgProps>
                                <R>1</R>
                              </CtgProps>
                              <LuTblLbl>
                                <LuTblLblProps>
                                  <CLI>3,1,6,False,17</CLI>
                                  <L><![CDATA[Lookup Label <CategoryNumber>.]]></L>
                                </LuTblLblProps>
                              </LuTblLbl>
                            </Ctg>
                            <Ctg>
                              <CtgProps>
                                <R>1</R>
                              </CtgProps>
                              <LuTblLbl>
                                <LuTblLblProps>
                                  <CLI>3,1,6,False,18</CLI>
                                  <L><![CDATA[Lookup Label <CategoryNumber>.]]></L>
                                </LuTblLblProps>
                              </LuTblLbl>
                            </Ctg>
                            <Ctg>
                              <CtgProps>
                                <R>1</R>
                              </CtgProps>
                              <LuTblLbl>
                                <LuTblLblProps>
                                  <CLI>3,1,6,False,19</CLI>
                                  <L><![CDATA[Lookup Label <CategoryNumber>.]]></L>
                                </LuTblLblProps>
                              </LuTblLbl>
                            </Ctg>
                            <Ctg>
                              <CtgProps>
                                <R>1</R>
                              </CtgProps>
                              <LuTblLbl>
                                <LuTblLblProps>
                                  <CLI>3,1,6,False,20</CLI>
                                  <L><![CDATA[Lookup Label <CategoryNumber>.]]></L>
                                </LuTblLblProps>
                              </LuTblLbl>
                            </Ctg>
                            <Ctg>
                              <CtgProps>
                                <R>1</R>
                              </CtgProps>
                              <LuTblLbl>
                                <LuTblLblProps>
                                  <CLI>3,1,6,False,21</CLI>
                                  <L><![CDATA[Lookup Label <CategoryNumber>.]]></L>
                                </LuTblLblProps>
                              </LuTblLbl>
                            </Ctg>
                            <Ctg>
                              <CtgProps>
                                <R>1</R>
                              </CtgProps>
                              <LuTblLbl>
                                <LuTblLblProps>
                                  <CLI>3,1,6,False,22</CLI>
                                  <L><![CDATA[Lookup Label <CategoryNumber>.]]></L>
                                </LuTblLblProps>
                              </LuTblLbl>
                            </Ctg>
                            <Ctg>
                              <CtgProps>
                                <R>1</R>
                              </CtgProps>
                              <LuTblLbl>
                                <LuTblLblProps>
                                  <CLI>3,1,6,False,23</CLI>
                                  <L><![CDATA[Lookup Label <CategoryNumber>.]]></L>
                                </LuTblLblProps>
                              </LuTblLbl>
                            </Ctg>
                            <Ctg>
                              <CtgProps>
                                <R>1</R>
                              </CtgProps>
                              <LuTblLbl>
                                <LuTblLblProps>
                                  <CLI>3,1,6,False,24</CLI>
                                  <L><![CDATA[Lookup Label <CategoryNumber>.]]></L>
                                </LuTblLblProps>
                              </LuTblLbl>
                            </Ctg>
                            <Ctg>
                              <CtgProps>
                                <R>1</R>
                              </CtgProps>
                              <LuTblLbl>
                                <LuTblLblProps>
                                  <CLI>3,1,6,False,25</CLI>
                                  <L><![CDATA[Lookup Label <CategoryNumber>.]]></L>
                                </LuTblLblProps>
                              </LuTblLbl>
                            </Ctg>
                            <Ctg>
                              <CtgProps>
                                <R>1</R>
                              </CtgProps>
                              <LuTblLbl>
                                <LuTblLblProps>
                                  <CLI>3,1,6,False,26</CLI>
                                  <L><![CDATA[Lookup Label <CategoryNumber>.]]></L>
                                </LuTblLblProps>
                              </LuTblLbl>
                            </Ctg>
                            <Ctg>
                              <CtgProps>
                                <R>1</R>
                              </CtgProps>
                              <LuTblLbl>
                                <LuTblLblProps>
                                  <CLI>3,1,6,False,27</CLI>
                                  <L><![CDATA[Lookup Label <CategoryNumber>.]]></L>
                                </LuTblLblProps>
                              </LuTblLbl>
                            </Ctg>
                            <Ctg>
                              <CtgProps>
                                <R>1</R>
                              </CtgProps>
                              <LuTblLbl>
                                <LuTblLblProps>
                                  <CLI>3,1,6,False,28</CLI>
                                  <L><![CDATA[Lookup Label <CategoryNumber>.]]></L>
                                </LuTblLblProps>
                              </LuTblLbl>
                            </Ctg>
                            <Ctg>
                              <CtgProps>
                                <R>1</R>
                              </CtgProps>
                              <LuTblLbl>
                                <LuTblLblProps>
                                  <CLI>3,1,6,False,29</CLI>
                                  <L><![CDATA[Lookup Label <CategoryNumber>.]]></L>
                                </LuTblLblProps>
                              </LuTblLbl>
                            </Ctg>
                            <Ctg>
                              <CtgProps>
                                <R>1</R>
                              </CtgProps>
                              <LuTblLbl>
                                <LuTblLblProps>
                                  <CLI>3,1,6,False,30</CLI>
                                  <L><![CDATA[Lookup Label <CategoryNumber>.]]></L>
                                </LuTblLblProps>
                              </LuTblLbl>
                            </Ctg>
                            <Ctg>
                              <CtgProps>
                                <R>1</R>
                              </CtgProps>
                              <LuTblLbl>
                                <LuTblLblProps>
                                  <CLI>3,1,6,False,31</CLI>
                                  <L><![CDATA[Lookup Label <CategoryNumber>.]]></L>
                                </LuTblLblProps>
                              </LuTblLbl>
                            </Ctg>
                            <Ctg>
                              <CtgProps>
                                <R>1</R>
                              </CtgProps>
                              <LuTblLbl>
                                <LuTblLblProps>
                                  <CLI>3,1,6,False,32</CLI>
                                  <L><![CDATA[Lookup Label <CategoryNumber>.]]></L>
                                </LuTblLblProps>
                              </LuTblLbl>
                            </Ctg>
                            <Ctg>
                              <CtgProps>
                                <R>1</R>
                              </CtgProps>
                              <LuTblLbl>
                                <LuTblLblProps>
                                  <CLI>3,1,6,False,33</CLI>
                                  <L><![CDATA[Lookup Label <CategoryNumber>.]]></L>
                                </LuTblLblProps>
                              </LuTblLbl>
                            </Ctg>
                            <Ctg>
                              <CtgProps>
                                <R>1</R>
                              </CtgProps>
                              <LuTblLbl>
                                <LuTblLblProps>
                                  <CLI>3,1,6,False,34</CLI>
                                  <L><![CDATA[Lookup Label <CategoryNumber>.]]></L>
                                </LuTblLblProps>
                              </LuTblLbl>
                            </Ctg>
                            <Ctg>
                              <CtgProps>
                                <R>1</R>
                              </CtgProps>
                              <LuTblLbl>
                                <LuTblLblProps>
                                  <CLI>3,1,6,False,35</CLI>
                                  <L><![CDATA[Lookup Label <CategoryNumber>.]]></L>
                                </LuTblLblProps>
                              </LuTblLbl>
                            </Ctg>
                            <Ctg>
                              <CtgProps>
                                <R>1</R>
                              </CtgProps>
                              <LuTblLbl>
                                <LuTblLblProps>
                                  <CLI>3,1,6,False,36</CLI>
                                  <L><![CDATA[Lookup Label <CategoryNumber>.]]></L>
                                </LuTblLblProps>
                              </LuTblLbl>
                            </Ctg>
                          </Ctgs>
                        </SubTtl>
                      </SubTtls>
                      <TtlCtg>
                        <TtlCtgProps>
                          <R>1</R>
                        </TtlCtgProps>
                      </TtlCtg>
                    </Elmt>
                    <Elmt>
                      <ElmtProps>
                        <CPT>2</CPT>
                      </ElmtProps>
                      <TtlCtg>
                        <TtlCtgProps>
                          <R>1</R>
                        </TtlCtgProps>
                      </TtlCtg>
                    </Elmt>
                    <Elmt>
                      <ElmtProps>
                        <CPT>2</CPT>
                      </ElmtProps>
                      <ClmnBlks>
                        <ClmnBlk>
                          <ClmnBlkProps>
                            <FCPT>0</FCPT>
                            <FCN>3</FCN>
                            <LCPT>0</LCPT>
                            <LCN>5</LCN>
                          </ClmnBlkProps>
                          <ClmnBlkPts>
                            <ClmnBlkPt>
                              <ClmnBlkPtProps>
                                <CBPT>5</CBPT>
                                <ST>4</ST>
                                <MC>True</MC>
                                <VOFFF><![CDATA[Scenario Name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1</R>
                        </TtlCtgProps>
                      </TtlCtg>
                    </Elmt>
                    <Elmt>
                      <ElmtProps>
                        <CPT>2</CPT>
                      </ElmtProps>
                      <TtlCtg>
                        <TtlCtgProps>
                          <R>1</R>
                        </TtlCtgProps>
                      </TtlCtg>
                    </Elmt>
                    <Elmt>
                      <ElmtProps>
                        <CPT>0</CPT>
                        <TOT>True</TOT>
                        <EGN>1</EGN>
                      </ElmtProps>
                      <ClmnBlks>
                        <ClmnBlk>
                          <ClmnBlkProps>
                            <FCPT>0</FCPT>
                            <FCN>4</FCN>
                            <LCPT>0</LCPT>
                            <LCN>4</LCN>
                          </ClmnBlkProps>
                          <ClmnBlkPts>
                            <ClmnBlkPt>
                              <ClmnBlkPtProps>
                                <CBPT>0</CBPT>
                                <ST>25</ST>
                                <VOFFF><![CDATA[="Scenario "&ROWS(§A¿0,3,1,1,10,1,1,1,0,0,TRUE,FALSE,1,10,1,1,0,0,0,FALSE,FALSE§Z¿)]]></VOFFF>
                              </ClmnBlkPtProps>
                              <RgeNmes>
                                <RgeNme>
                                  <RgeNmeProps>
                                    <CBPLI>3,1,10,1,1</CBPLI>
                                    <MCN>3</MCN>
                                    <SN>1</SN>
                                    <EN>10</EN>
                                    <CN>0</CN>
                                    <CBN>1</CBN>
                                    <CBPN>1</CBPN>
                                    <PT>1</PT>
                                    <CBPRNT>2</CBPRNT>
                                    <NT>11</NT>
                                    <SP1><![CDATA[Scenario_Names]]></SP1>
                                    <SP2/>
                                    <FFF/>
                                    <CMT/>
                                  </RgeNmeProps>
                                </RgeNme>
                              </RgeNmes>
                              <LnkInForms>
                                <LnkInForm>
                                  <LnkInFormProps>
                                    <CBPLI>3,1,10,1,1</CBPLI>
                                    <ELN>1</ELN>
                                    <FFF><![CDATA[=§A¿10,FALSE,0,1,0,FALSE§Z¿]]></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Scenario Name]]></VOFFF>
                              </ClmnBlkPtProps>
                            </ClmnBlkPt>
                          </ClmnBlkPts>
                        </ClmnBlk>
                        <ClmnBlk>
                          <ClmnBlkProps>
                            <FCPT>0</FCPT>
                            <FCN>6</FCN>
                            <LCPT>0</LCPT>
                            <LCN>6</LCN>
                          </ClmnBlkProps>
                          <ClmnBlkPts>
                            <ClmnBlkPt>
                              <ClmnBlkPtProps>
                                <CBPT>0</CBPT>
                                <ST>6</ST>
                                <VOFFF/>
                              </ClmnBlkPtProps>
                              <LnkInForms>
                                <LnkInForm>
                                  <LnkInFormProps>
                                    <CBPLI>3,1,10,2,1</CBPLI>
                                    <ELN>1</ELN>
                                    <FFF/>
                                  </LnkInFormProps>
                                </LnkInForm>
                              </LnkInForm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Scen_Db_Scenario_Names]]></VOFFF>
                              </ClmnBlkPtProps>
                            </ClmnBlkPt>
                          </ClmnBlkPts>
                        </ClmnBlk>
                      </ClmnBlks>
                      <SubTtls>
                        <SubTtl>
                          <Ctgs>
                            <Ctg>
                              <CtgProps>
                                <R>1</R>
                              </CtgProps>
                              <LuTblLbl>
                                <LuTblLblProps>
                                  <CLI>3,1,10,False,1</CLI>
                                  <L><![CDATA[Lookup Label <CategoryNumber>.]]></L>
                                </LuTblLblProps>
                              </LuTblLbl>
                              <LnkIn>
                                <LnkInProps>
                                  <MN>60</MN>
                                  <CLI>3,1,10,False,1</CLI>
                                  <ELN>1</ELN>
                                  <LOOT>0</LOOT>
                                  <LOMN>2</LOMN>
                                  <LOMCN>1</LOMCN>
                                  <LOSN>1</LOSN>
                                  <LOEN>16</LOEN>
                                  <LOCN>1</LOCN>
                                </LnkInProps>
                              </LnkIn>
                            </Ctg>
                            <Ctg>
                              <CtgProps>
                                <R>1</R>
                              </CtgProps>
                              <LuTblLbl>
                                <LuTblLblProps>
                                  <CLI>3,1,10,False,2</CLI>
                                  <L><![CDATA[Lookup Label <CategoryNumber>.]]></L>
                                </LuTblLblProps>
                              </LuTblLbl>
                              <LnkIn>
                                <LnkInProps>
                                  <MN>60</MN>
                                  <CLI>3,1,10,False,2</CLI>
                                  <ELN>1</ELN>
                                  <LOOT>0</LOOT>
                                  <LOMN>2</LOMN>
                                  <LOMCN>1</LOMCN>
                                  <LOSN>1</LOSN>
                                  <LOEN>16</LOEN>
                                  <LOCN>2</LOCN>
                                </LnkInProps>
                              </LnkIn>
                            </Ctg>
                            <Ctg>
                              <CtgProps>
                                <R>1</R>
                              </CtgProps>
                              <LuTblLbl>
                                <LuTblLblProps>
                                  <CLI>3,1,10,False,3</CLI>
                                  <L><![CDATA[Lookup Label <CategoryNumber>.]]></L>
                                </LuTblLblProps>
                              </LuTblLbl>
                              <LnkIn>
                                <LnkInProps>
                                  <MN>60</MN>
                                  <CLI>3,1,10,False,3</CLI>
                                  <ELN>1</ELN>
                                  <LOOT>0</LOOT>
                                  <LOMN>2</LOMN>
                                  <LOMCN>1</LOMCN>
                                  <LOSN>1</LOSN>
                                  <LOEN>16</LOEN>
                                  <LOCN>3</LOCN>
                                </LnkInProps>
                              </LnkIn>
                            </Ctg>
                          </Ctgs>
                        </SubTtl>
                      </SubTtls>
                      <TtlCtg>
                        <TtlCtgProps>
                          <R>1</R>
                        </TtlCtgProps>
                      </TtlCtg>
                      <ElmtLnksIn>
                        <ElmtLnk>
                          <ElmtLnkProps>
                            <ELI>3,1,10</ELI>
                            <ELN>1</ELN>
                            <ELGN>2</ELGN>
                            <MLG>570C6DD5-823F-4C1B-B2D6-A67A055FA554</MLG>
                            <ICBI>1</ICBI>
                            <ILBN/>
                            <LIBN>0</LIBN>
                          </ElmtLnkProps>
                        </ElmtLnk>
                      </ElmtLnksIn>
                    </Elmt>
                    <Elmt>
                      <ElmtProps>
                        <CPT>2</CPT>
                      </ElmtProps>
                      <TtlCtg>
                        <TtlCtgProps>
                          <R>1</R>
                        </TtlCtgProps>
                      </TtlCtg>
                    </Elmt>
                    <Elmt>
                      <ElmtProps>
                        <CPT>2</CPT>
                      </ElmtProps>
                      <ClmnBlks>
                        <ClmnBlk>
                          <ClmnBlkProps>
                            <FCPT>0</FCPT>
                            <FCN>3</FCN>
                            <LCPT>0</LCPT>
                            <LCN>5</LCN>
                          </ClmnBlkProps>
                          <ClmnBlkPts>
                            <ClmnBlkPt>
                              <ClmnBlkPtProps>
                                <CBPT>5</CBPT>
                                <ST>4</ST>
                                <MC>True</MC>
                                <VOFFF><![CDATA[Data Tables Status]]></VOFFF>
                              </ClmnBlkPtProps>
                            </ClmnBlkPt>
                          </ClmnBlkPts>
                        </ClmnBlk>
                        <ClmnBlk>
                          <ClmnBlkProps>
                            <FCPT>0</FCPT>
                            <FCN>6</FCN>
                            <LCPT>0</LCPT>
                            <LCN>6</LCN>
                          </ClmnBlkProps>
                          <ClmnBlkPts>
                            <ClmnBlkPt>
                              <ClmnBlkPtProps>
                                <CBPT>5</CBPT>
                                <ST>4</ST>
                                <VOFFF><![CDATA[Names]]></VOFFF>
                              </ClmnBlkPtProps>
                            </ClmnBlkPt>
                          </ClmnBlkPts>
                        </ClmnBlk>
                        <ClmnBlk>
                          <ClmnBlkProps>
                            <FCPT>0</FCPT>
                            <FCN>7</FCN>
                            <LCPT>5</LCPT>
                          </ClmnBlkProps>
                          <ClmnBlkPts>
                            <ClmnBlkPt>
                              <ClmnBlkPtProps>
                                <CBPT>5</CBPT>
                                <ST>4</ST>
                                <VOFFF/>
                              </ClmnBlkPtProps>
                            </ClmnBlkPt>
                          </ClmnBlkPts>
                        </ClmnBlk>
                      </ClmnBlks>
                      <TtlCtg>
                        <TtlCtgProps>
                          <R>1</R>
                        </TtlCtgProps>
                      </TtlCtg>
                    </Elmt>
                    <Elmt>
                      <ElmtProps>
                        <CPT>2</CPT>
                      </ElmtProps>
                      <TtlCtg>
                        <TtlCtgProps>
                          <R>1</R>
                        </TtlCtgProps>
                      </TtlCtg>
                    </Elmt>
                    <Elmt>
                      <ElmtProps>
                        <CPT>0</CPT>
                        <TOT>True</TOT>
                        <EGN>2</EGN>
                      </ElmtProps>
                      <ClmnBlks>
                        <ClmnBlk>
                          <ClmnBlkProps>
                            <FCPT>0</FCPT>
                            <FCN>4</FCN>
                            <LCPT>0</LCPT>
                            <LCN>4</LCN>
                          </ClmnBlkProps>
                          <ClmnBlkPts>
                            <ClmnBlkPt>
                              <ClmnBlkPtProps>
                                <CBPT>0</CBPT>
                                <ST>25</ST>
                                <VOFFF/>
                              </ClmnBlkPtProps>
                              <RgeNmes>
                                <RgeNme>
                                  <RgeNmeProps>
                                    <CBPLI>3,1,14,1,1</CBPLI>
                                    <MCN>3</MCN>
                                    <SN>1</SN>
                                    <EN>14</EN>
                                    <CN>0</CN>
                                    <CBN>1</CBN>
                                    <CBPN>1</CBPN>
                                    <PT>1</PT>
                                    <CBPRNT>2</CBPRNT>
                                    <NT>11</NT>
                                    <SP1><![CDATA[Data_Tables_Status]]></SP1>
                                    <SP2/>
                                    <FFF/>
                                    <CMT/>
                                  </RgeNmeProps>
                                </RgeNme>
                              </RgeNme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23</ST>
                                <VOFFF><![CDATA[Data Tables Status]]></VOFFF>
                              </ClmnBlkPtProps>
                            </ClmnBlkPt>
                          </ClmnBlkPts>
                        </ClmnBlk>
                        <ClmnBlk>
                          <ClmnBlkProps>
                            <FCPT>0</FCPT>
                            <FCN>6</FCN>
                            <LCPT>0</LCPT>
                            <LCN>6</LCN>
                          </ClmnBlkProps>
                          <ClmnBlkPts>
                            <ClmnBlkPt>
                              <ClmnBlkPtProps>
                                <CBPT>0</CBPT>
                                <ST>6</ST>
                                <VOFFF/>
                              </ClmnBlkPtProps>
                            </ClmnBlkPt>
                            <ClmnBlkPt>
                              <ClmnBlkPtProps>
                                <CBPT>1</CBPT>
                                <ST>-1</ST>
                                <VOFFF/>
                              </ClmnBlkPtProps>
                            </ClmnBlkPt>
                            <ClmnBlkPt>
                              <ClmnBlkPtProps>
                                <CBPT>2</CBPT>
                                <ST>-1</ST>
                                <VOFFF/>
                              </ClmnBlkPtProps>
                            </ClmnBlkPt>
                            <ClmnBlkPt>
                              <ClmnBlkPtProps>
                                <CBPT>3</CBPT>
                                <ST>-1</ST>
                                <VOFFF/>
                              </ClmnBlkPtProps>
                            </ClmnBlkPt>
                            <ClmnBlkPt>
                              <ClmnBlkPtProps>
                                <CBPT>4</CBPT>
                                <ST>-1</ST>
                                <VOFFF/>
                              </ClmnBlkPtProps>
                            </ClmnBlkPt>
                            <ClmnBlkPt>
                              <ClmnBlkPtProps>
                                <CBPT>5</CBPT>
                                <ST>6</ST>
                                <VOFFF><![CDATA[LU_Scen_Db_Data_Tables_Status]]></VOFFF>
                              </ClmnBlkPtProps>
                            </ClmnBlkPt>
                          </ClmnBlkPts>
                        </ClmnBlk>
                      </ClmnBlks>
                      <SubTtls>
                        <SubTtl>
                          <Ctgs>
                            <Ctg>
                              <CtgProps>
                                <R>1</R>
                              </CtgProps>
                              <LuTblLbl>
                                <LuTblLblProps>
                                  <CLI>3,1,14,False,1</CLI>
                                  <L><![CDATA[On]]></L>
                                </LuTblLblProps>
                                <RgeNmes>
                                  <RgeNme>
                                    <RgeNmeProps>
                                      <CBPLI>3,1,14,1,1</CBPLI>
                                      <MCN>3</MCN>
                                      <SN>1</SN>
                                      <EN>14</EN>
                                      <CN>1</CN>
                                      <CBN>1</CBN>
                                      <CBPN>1</CBPN>
                                      <PT>2</PT>
                                      <CBPRNT>8</CBPRNT>
                                      <NT>-1</NT>
                                      <SP1><![CDATA[Data_Tables_Status_On]]></SP1>
                                      <SP2/>
                                      <FFF/>
                                      <CMT/>
                                    </RgeNmeProps>
                                  </RgeNme>
                                </RgeNmes>
                              </LuTblLbl>
                            </Ctg>
                            <Ctg>
                              <CtgProps>
                                <R>1</R>
                              </CtgProps>
                              <LuTblLbl>
                                <LuTblLblProps>
                                  <CLI>3,1,14,False,2</CLI>
                                  <L><![CDATA[Off]]></L>
                                </LuTblLblProps>
                                <RgeNmes>
                                  <RgeNme>
                                    <RgeNmeProps>
                                      <CBPLI>3,1,14,1,1</CBPLI>
                                      <MCN>3</MCN>
                                      <SN>1</SN>
                                      <EN>14</EN>
                                      <CN>2</CN>
                                      <CBN>1</CBN>
                                      <CBPN>1</CBPN>
                                      <PT>2</PT>
                                      <CBPRNT>8</CBPRNT>
                                      <NT>-1</NT>
                                      <SP1><![CDATA[Data_Tables_Status_Off]]></SP1>
                                      <SP2/>
                                      <FFF/>
                                      <CMT/>
                                    </RgeNmeProps>
                                  </RgeNme>
                                </RgeNmes>
                              </LuTblLbl>
                            </Ctg>
                            <Ctg>
                              <CtgProps>
                                <R>1</R>
                              </CtgProps>
                              <LuTblLbl>
                                <LuTblLblProps>
                                  <CLI>3,1,14,False,3</CLI>
                                  <L><![CDATA[Disabled]]></L>
                                </LuTblLblProps>
                                <RgeNmes>
                                  <RgeNme>
                                    <RgeNmeProps>
                                      <CBPLI>3,1,14,1,1</CBPLI>
                                      <MCN>3</MCN>
                                      <SN>1</SN>
                                      <EN>14</EN>
                                      <CN>3</CN>
                                      <CBN>1</CBN>
                                      <CBPN>1</CBPN>
                                      <PT>2</PT>
                                      <CBPRNT>8</CBPRNT>
                                      <NT>-1</NT>
                                      <SP1><![CDATA[Data_Tables_Status_Disabled]]></SP1>
                                      <SP2/>
                                      <FFF/>
                                      <CMT/>
                                    </RgeNmeProps>
                                  </RgeNme>
                                </RgeNmes>
                              </LuTblLbl>
                            </Ctg>
                          </Ctgs>
                        </SubTtl>
                      </SubTtls>
                      <TtlCtg>
                        <TtlCtgProps>
                          <R>1</R>
                        </TtlCtgProps>
                      </TtlCtg>
                    </Elmt>
                  </Elmts>
                </Sect>
              </Sects>
            </ModComp>
          </ModComps>
        </Mod>
        <Mod>
          <ModProps>
            <MVS>14.0.5.0</MVS>
            <RAV/>
            <RXV>0</RXV>
            <FV>3</FV>
            <MT>9</MT>
            <SCT>5</SCT>
            <P><![CDATA[Err_Chks]]></P>
            <OI>1000</OI>
            <MN>1</MN>
            <MAG>D1B8EBA3-A6FE-40B3-A8BF-CDDA9687725C</MAG>
            <BN><![CDATA[Error Checks]]></BN>
            <N><![CDATA[Error Checks]]></N>
            <TS><![CDATA[None]]></TS>
            <D><![CDATA[Provides a summary of the error checks included within the surrounding workbook.]]></D>
            <FS><![CDATA[Automatically updated.]]></FS>
            <R><![CDATA[Any]]></R>
            <GE><![CDATA[Checks]]></GE>
            <CA><![CDATA[Error Checks]]></CA>
            <VA><![CDATA[Single Component]]></VA>
            <GST><![CDATA[None]]></GST>
            <DE><![CDATA[Modano]]></DE>
            <E><![CDATA[www.modano.com]]></E>
            <C><![CDATA[Modano]]></C>
            <W><![CDATA[www.modano.com]]></W>
            <K><![CDATA[Modano, Standards, Checks]]></K>
            <CO><![CDATA[For more information on the use of checks within Modano models see the Best Practice Spreadsheet Modeling Standards.]]></CO>
            <V>10.0.1.0.</V>
            <AX/>
            <SX/>
            <PMLO>False</PMLO>
            <IPMLO>False</IPMLO>
            <MACA>0</MACA>
            <HP>False</HP>
            <DR>False</DR>
            <RTSM>False</RTSM>
            <CC>False</CC>
            <X>False</X>
            <G>3CB8ADB1-F03C-427F-8FA8-A24168828824</G>
          </ModProps>
          <ModComps>
            <ModComp>
              <ModCompProps>
                <MN>61</MN>
                <MCN>1</MCN>
                <MCTK>OP</MCTK>
                <RT/>
                <ERN>BA_Err_Chks</ERN>
                <MCST>0</MCST>
                <IPMC>False</IPMC>
                <SN>20</SN>
                <LODS>False</LODS>
                <LST>False</LST>
                <RSTF>False</RSTF>
                <STRA>0</STRA>
                <HS>False</HS>
                <IBOA>0</IBOA>
                <IB>False</IB>
                <CI/>
                <PTI/>
                <PTP>False</PTP>
                <PTD/>
                <PTMCN>0</PTMCN>
                <CROL>0</CROL>
                <CCOL>0</CCOL>
                <AMFN>0</AMFN>
              </ModCompProps>
            </ModComp>
          </ModComps>
        </Mod>
        <Mod>
          <ModProps>
            <MVS>14.0.5.0</MVS>
            <RAV/>
            <RXV>0</RXV>
            <FV>3</FV>
            <MT>10</MT>
            <SCT>6</SCT>
            <P><![CDATA[Sens_Chks]]></P>
            <OI>2000</OI>
            <MN>1</MN>
            <MAG>D1B8EBA3-A6FE-40B3-A8BF-CDDA9687725C</MAG>
            <BN><![CDATA[Sensitivity Checks]]></BN>
            <N><![CDATA[Sensitivity Checks]]></N>
            <TS><![CDATA[None]]></TS>
            <D><![CDATA[Provides a summary of the sensitivity checks included within the surrounding workbook.]]></D>
            <FS><![CDATA[Automatically updated.]]></FS>
            <R><![CDATA[Any]]></R>
            <GE><![CDATA[Checks]]></GE>
            <CA><![CDATA[Sensitivity Checks]]></CA>
            <VA><![CDATA[Single Component]]></VA>
            <GST><![CDATA[None]]></GST>
            <DE><![CDATA[Modano]]></DE>
            <E><![CDATA[www.modano.com]]></E>
            <C><![CDATA[Modano]]></C>
            <W><![CDATA[www.modano.com]]></W>
            <K><![CDATA[Modano, Standards, Checks]]></K>
            <CO><![CDATA[For more information on the use of checks within Modano models see the Best Practice Spreadsheet Modeling Standards.]]></CO>
            <V>10.0.1.0.</V>
            <AX/>
            <SX/>
            <PMLO>False</PMLO>
            <IPMLO>False</IPMLO>
            <MACA>0</MACA>
            <HP>False</HP>
            <DR>False</DR>
            <RTSM>False</RTSM>
            <CC>False</CC>
            <X>False</X>
            <G>78CD0751-795B-49CC-AF32-1DE96B9A6E4A</G>
          </ModProps>
          <ModComps>
            <ModComp>
              <ModCompProps>
                <MN>62</MN>
                <MCN>1</MCN>
                <MCTK>OP</MCTK>
                <RT/>
                <ERN>BA_Sens_Chks</ERN>
                <MCST>0</MCST>
                <IPMC>False</IPMC>
                <SN>20</SN>
                <LODS>False</LODS>
                <LST>False</LST>
                <RSTF>False</RSTF>
                <STRA>0</STRA>
                <HS>False</HS>
                <IBOA>0</IBOA>
                <IB>False</IB>
                <CI/>
                <PTI/>
                <PTP>False</PTP>
                <PTD/>
                <PTMCN>0</PTMCN>
                <CROL>0</CROL>
                <CCOL>0</CCOL>
                <AMFN>0</AMFN>
              </ModCompProps>
            </ModComp>
          </ModComps>
        </Mod>
        <Mod>
          <ModProps>
            <MVS>14.0.5.0</MVS>
            <RAV/>
            <RXV>0</RXV>
            <FV>3</FV>
            <MT>11</MT>
            <SCT>7</SCT>
            <P><![CDATA[Alt_Chks]]></P>
            <OI>3000</OI>
            <MN>1</MN>
            <MAG>D1B8EBA3-A6FE-40B3-A8BF-CDDA9687725C</MAG>
            <BN><![CDATA[Alert Checks]]></BN>
            <N><![CDATA[Alert Checks]]></N>
            <TS><![CDATA[None]]></TS>
            <D><![CDATA[Provides a summary of the alert checks included within the surrounding workbook.]]></D>
            <FS><![CDATA[Automatically updated.]]></FS>
            <R><![CDATA[Any]]></R>
            <GE><![CDATA[Checks]]></GE>
            <CA><![CDATA[Alert Checks]]></CA>
            <VA><![CDATA[Single Component]]></VA>
            <GST><![CDATA[None]]></GST>
            <DE><![CDATA[Modano]]></DE>
            <E><![CDATA[www.modano.com]]></E>
            <C><![CDATA[Modano]]></C>
            <W><![CDATA[www.modano.com]]></W>
            <K><![CDATA[Modano, Standards, Checks]]></K>
            <CO><![CDATA[For more information on the use of checks within Modano models see the Best Practice Spreadsheet Modeling Standards.]]></CO>
            <V>10.0.1.0.</V>
            <AX/>
            <SX/>
            <PMLO>False</PMLO>
            <IPMLO>False</IPMLO>
            <MACA>0</MACA>
            <HP>False</HP>
            <DR>False</DR>
            <RTSM>False</RTSM>
            <CC>False</CC>
            <X>False</X>
            <G>6247F738-F152-49CD-ACB1-6E36EEFE7C57</G>
          </ModProps>
          <ModComps>
            <ModComp>
              <ModCompProps>
                <MN>63</MN>
                <MCN>1</MCN>
                <MCTK>OP</MCTK>
                <RT/>
                <ERN>BA_Alt_Chks</ERN>
                <MCST>0</MCST>
                <IPMC>False</IPMC>
                <SN>20</SN>
                <LODS>False</LODS>
                <LST>False</LST>
                <RSTF>False</RSTF>
                <STRA>0</STRA>
                <HS>False</HS>
                <IBOA>0</IBOA>
                <IB>False</IB>
                <CI/>
                <PTI/>
                <PTP>False</PTP>
                <PTD/>
                <PTMCN>0</PTMCN>
                <CROL>0</CROL>
                <CCOL>0</CCOL>
                <AMFN>0</AMFN>
              </ModCompProps>
            </ModComp>
          </ModComps>
        </Mod>
      </Mods>
    </ModWkBk>
  </ModWkBks>
  <HV><![CDATA[k1SeSumz9iU4qcUZJL5JLEFfe75zCbOrPpAWhMgU02Mz9/JgbpB6kyqR4jhW6LLb]]></HV>
</Proj>
</file>

<file path=customXml/item3.xml><?xml version="1.0" encoding="utf-8"?>
<p:properties xmlns:p="http://schemas.microsoft.com/office/2006/metadata/properties" xmlns:xsi="http://www.w3.org/2001/XMLSchema-instance" xmlns:pc="http://schemas.microsoft.com/office/infopath/2007/PartnerControls">
  <documentManagement>
    <TaxCatchAll xmlns="b44020e6-f5c6-4823-a98a-edbd258cb4cb" xsi:nil="true"/>
    <lcf76f155ced4ddcb4097134ff3c332f xmlns="d0950911-fed2-41bc-bccd-f3598f461906">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A8468BCB6B62374EB5136C9C3247C65D" ma:contentTypeVersion="11" ma:contentTypeDescription="Create a new document." ma:contentTypeScope="" ma:versionID="c31659081a79c2fd60c7d296acecb4de">
  <xsd:schema xmlns:xsd="http://www.w3.org/2001/XMLSchema" xmlns:xs="http://www.w3.org/2001/XMLSchema" xmlns:p="http://schemas.microsoft.com/office/2006/metadata/properties" xmlns:ns2="d0950911-fed2-41bc-bccd-f3598f461906" xmlns:ns3="b44020e6-f5c6-4823-a98a-edbd258cb4cb" targetNamespace="http://schemas.microsoft.com/office/2006/metadata/properties" ma:root="true" ma:fieldsID="72cae39e2edacd97ac2a1a7e5c426606" ns2:_="" ns3:_="">
    <xsd:import namespace="d0950911-fed2-41bc-bccd-f3598f461906"/>
    <xsd:import namespace="b44020e6-f5c6-4823-a98a-edbd258cb4c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50911-fed2-41bc-bccd-f3598f4619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d9ae93f-7d2a-46e7-85d2-3716733bab9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4020e6-f5c6-4823-a98a-edbd258cb4c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cdae4e59-57a3-45ba-a3fd-b1c47e961434}" ma:internalName="TaxCatchAll" ma:showField="CatchAllData" ma:web="b44020e6-f5c6-4823-a98a-edbd258cb4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B148B0-F4BC-4F2B-916E-D3C46EA79968}">
  <ds:schemaRefs>
    <ds:schemaRef ds:uri="http://www.w3.org/2001/XMLSchema"/>
  </ds:schemaRefs>
</ds:datastoreItem>
</file>

<file path=customXml/itemProps2.xml><?xml version="1.0" encoding="utf-8"?>
<ds:datastoreItem xmlns:ds="http://schemas.openxmlformats.org/officeDocument/2006/customXml" ds:itemID="{538AAF87-6159-4245-B39F-8525299061CC}">
  <ds:schemaRefs/>
</ds:datastoreItem>
</file>

<file path=customXml/itemProps3.xml><?xml version="1.0" encoding="utf-8"?>
<ds:datastoreItem xmlns:ds="http://schemas.openxmlformats.org/officeDocument/2006/customXml" ds:itemID="{73B05073-1AC9-489C-A0FD-B81E6BA1D92D}">
  <ds:schemaRefs>
    <ds:schemaRef ds:uri="http://purl.org/dc/elements/1.1/"/>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b44020e6-f5c6-4823-a98a-edbd258cb4cb"/>
    <ds:schemaRef ds:uri="d0950911-fed2-41bc-bccd-f3598f461906"/>
  </ds:schemaRefs>
</ds:datastoreItem>
</file>

<file path=customXml/itemProps4.xml><?xml version="1.0" encoding="utf-8"?>
<ds:datastoreItem xmlns:ds="http://schemas.openxmlformats.org/officeDocument/2006/customXml" ds:itemID="{444E88B7-CABD-4A35-B4F1-C387CF3EB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950911-fed2-41bc-bccd-f3598f461906"/>
    <ds:schemaRef ds:uri="b44020e6-f5c6-4823-a98a-edbd258cb4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2F5BA43-55BA-4B0D-B3E1-C1A099C2D3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20</vt:i4>
      </vt:variant>
      <vt:variant>
        <vt:lpstr>Named Ranges</vt:lpstr>
      </vt:variant>
      <vt:variant>
        <vt:i4>212</vt:i4>
      </vt:variant>
    </vt:vector>
  </HeadingPairs>
  <TitlesOfParts>
    <vt:vector size="232" baseType="lpstr">
      <vt:lpstr>Overview</vt:lpstr>
      <vt:lpstr>Instructions</vt:lpstr>
      <vt:lpstr>Dashboards</vt:lpstr>
      <vt:lpstr>Summary</vt:lpstr>
      <vt:lpstr>KPIs</vt:lpstr>
      <vt:lpstr>Scen_Db</vt:lpstr>
      <vt:lpstr>Scenarios</vt:lpstr>
      <vt:lpstr>Model</vt:lpstr>
      <vt:lpstr>OBS</vt:lpstr>
      <vt:lpstr>Rev_Exp</vt:lpstr>
      <vt:lpstr>WC</vt:lpstr>
      <vt:lpstr>Assets</vt:lpstr>
      <vt:lpstr>Capital</vt:lpstr>
      <vt:lpstr>Tax</vt:lpstr>
      <vt:lpstr>Other</vt:lpstr>
      <vt:lpstr>Financials</vt:lpstr>
      <vt:lpstr>Appendices</vt:lpstr>
      <vt:lpstr>Time</vt:lpstr>
      <vt:lpstr>Lookups</vt:lpstr>
      <vt:lpstr>Checks</vt:lpstr>
      <vt:lpstr>Alt_Chks_Msg</vt:lpstr>
      <vt:lpstr>Alt_Chks_Ttl_Areas</vt:lpstr>
      <vt:lpstr>CA_Alt_Chks</vt:lpstr>
      <vt:lpstr>CA_Alt_Chks_Area_Names</vt:lpstr>
      <vt:lpstr>CA_Alt_Chks_Flags</vt:lpstr>
      <vt:lpstr>CA_Alt_Chks_Inc</vt:lpstr>
      <vt:lpstr>CA_Err_Chks</vt:lpstr>
      <vt:lpstr>CA_Err_Chks_Area_Names</vt:lpstr>
      <vt:lpstr>CA_Err_Chks_Flags</vt:lpstr>
      <vt:lpstr>CA_Err_Chks_Inc</vt:lpstr>
      <vt:lpstr>CA_Sens_Chks</vt:lpstr>
      <vt:lpstr>CA_Sens_Chks_Area_Names</vt:lpstr>
      <vt:lpstr>CA_Sens_Chks_Flags</vt:lpstr>
      <vt:lpstr>CA_Sens_Chks_Inc</vt:lpstr>
      <vt:lpstr>Capex_Cat_2_Active_Scenario</vt:lpstr>
      <vt:lpstr>Capex_Cat_Active_Scenario</vt:lpstr>
      <vt:lpstr>CB_Alt_Chks_Show_Msg</vt:lpstr>
      <vt:lpstr>CB_Eq_Ord_Cash_Limit_Div</vt:lpstr>
      <vt:lpstr>CB_Err_Chks_Show_Msg</vt:lpstr>
      <vt:lpstr>CB_Sens_Chks_Show_Msg</vt:lpstr>
      <vt:lpstr>Cogs_Cat_2_Active_Scenario</vt:lpstr>
      <vt:lpstr>Cogs_Cat_3_Active_Scenario</vt:lpstr>
      <vt:lpstr>Cogs_Cat_Active_Scenario</vt:lpstr>
      <vt:lpstr>Corp_Tax_Assess_Freq_Mthly</vt:lpstr>
      <vt:lpstr>Corp_Tax_Assess_Freq_None</vt:lpstr>
      <vt:lpstr>Corp_Tax_Assess_Freq_Qtrly</vt:lpstr>
      <vt:lpstr>Corp_Tax_Assess_Freq_Semi_Ann</vt:lpstr>
      <vt:lpstr>Corp_Tax_No</vt:lpstr>
      <vt:lpstr>Corp_Tax_Pmt_Amt_Mth_Amt</vt:lpstr>
      <vt:lpstr>Corp_Tax_Pmt_Amt_Mth_Assess</vt:lpstr>
      <vt:lpstr>Corp_Tax_Yes</vt:lpstr>
      <vt:lpstr>DD_Corp_Tax_Yr_End_Mth</vt:lpstr>
      <vt:lpstr>DD_Fs_Sum_First_Disp_Per</vt:lpstr>
      <vt:lpstr>DD_Scen_Db_First_Disp_Per</vt:lpstr>
      <vt:lpstr>DD_Scenarios_Active</vt:lpstr>
      <vt:lpstr>DD_Ts_Denom</vt:lpstr>
      <vt:lpstr>DD_Ts_Fin_Yr_End_Mth</vt:lpstr>
      <vt:lpstr>DD_Ts_Model_Start_Mth</vt:lpstr>
      <vt:lpstr>DD_VAT_Yr_End_Mth</vt:lpstr>
      <vt:lpstr>Debt_2_Name</vt:lpstr>
      <vt:lpstr>Debt_Name</vt:lpstr>
      <vt:lpstr>Eq_Ord_Div_Dec_Freq_Ann</vt:lpstr>
      <vt:lpstr>Eq_Ord_Div_Dec_Freq_Mthly</vt:lpstr>
      <vt:lpstr>Eq_Ord_Div_Dec_Freq_Qtrly</vt:lpstr>
      <vt:lpstr>Eq_Ord_Div_Dec_Freq_Semi_Ann</vt:lpstr>
      <vt:lpstr>Eq_Ord_Div_Meth_Amt</vt:lpstr>
      <vt:lpstr>Eq_Ord_Div_Meth_Pcent_Of_Npat</vt:lpstr>
      <vt:lpstr>Eq_Ord_No</vt:lpstr>
      <vt:lpstr>Eq_Ord_Yes</vt:lpstr>
      <vt:lpstr>Err_Chks_Msg</vt:lpstr>
      <vt:lpstr>Err_Chks_Ttl_Areas</vt:lpstr>
      <vt:lpstr>HL_Alt_Chk</vt:lpstr>
      <vt:lpstr>HL_Assets_Ass</vt:lpstr>
      <vt:lpstr>HL_Capex_Ass</vt:lpstr>
      <vt:lpstr>HL_Capex_Scen_Ass</vt:lpstr>
      <vt:lpstr>HL_Cogs_Ass</vt:lpstr>
      <vt:lpstr>HL_Cogs_Scen_Ass</vt:lpstr>
      <vt:lpstr>HL_Corp_Tax_Ass</vt:lpstr>
      <vt:lpstr>HL_Creditors_Ass</vt:lpstr>
      <vt:lpstr>HL_Debt_Od_Out</vt:lpstr>
      <vt:lpstr>HL_Debtors_Ass</vt:lpstr>
      <vt:lpstr>HL_Eq_Ord_Ass</vt:lpstr>
      <vt:lpstr>HL_Err_Chk</vt:lpstr>
      <vt:lpstr>HL_Home</vt:lpstr>
      <vt:lpstr>HL_Inv_Ass</vt:lpstr>
      <vt:lpstr>HL_Inv_Pay_Ass</vt:lpstr>
      <vt:lpstr>HL_Oca_Ass</vt:lpstr>
      <vt:lpstr>HL_Ocl_Ass</vt:lpstr>
      <vt:lpstr>HL_Oe_Ass</vt:lpstr>
      <vt:lpstr>HL_Onca_Ass</vt:lpstr>
      <vt:lpstr>HL_Oncl_Ass</vt:lpstr>
      <vt:lpstr>HL_Opex_Ass</vt:lpstr>
      <vt:lpstr>HL_Opex_Scen_Ass</vt:lpstr>
      <vt:lpstr>HL_Oth_Exp_Ass</vt:lpstr>
      <vt:lpstr>HL_Oth_Rev_Ass</vt:lpstr>
      <vt:lpstr>HL_Oth_Rev_Scen_Ass</vt:lpstr>
      <vt:lpstr>HL_Rev_Ass</vt:lpstr>
      <vt:lpstr>HL_Rev_Scen_Ass</vt:lpstr>
      <vt:lpstr>HL_Scen_Db_Ass</vt:lpstr>
      <vt:lpstr>HL_Scen_Db_Out</vt:lpstr>
      <vt:lpstr>HL_Sens_Chk</vt:lpstr>
      <vt:lpstr>HL_VAT_Ass</vt:lpstr>
      <vt:lpstr>HL_VAT_Exp_Excl_Sales_Tax_Ass</vt:lpstr>
      <vt:lpstr>HL_VAT_Exp_Inc_Sales_Tax_Out</vt:lpstr>
      <vt:lpstr>HL_VAT_Rev_Excl_Sales_Ass</vt:lpstr>
      <vt:lpstr>HL_VAT_Rev_Inc_Sales_Tax_Out</vt:lpstr>
      <vt:lpstr>HL_Vol_2_Ass</vt:lpstr>
      <vt:lpstr>HL_Vol_2_Ass_A</vt:lpstr>
      <vt:lpstr>HL_Vol_Ass</vt:lpstr>
      <vt:lpstr>HL_Vol_Ass_A</vt:lpstr>
      <vt:lpstr>LU_Assets_Cat_Names</vt:lpstr>
      <vt:lpstr>LU_Corp_Tax_Assess_Freq</vt:lpstr>
      <vt:lpstr>LU_Corp_Tax_Pmt_Amt_Meth</vt:lpstr>
      <vt:lpstr>LU_Corp_Tax_Yr_End_Mth</vt:lpstr>
      <vt:lpstr>LU_Creditors_Cat_Names</vt:lpstr>
      <vt:lpstr>LU_Debtors_Cat_Names</vt:lpstr>
      <vt:lpstr>LU_Eq_Ord_Div_Dec_Freq</vt:lpstr>
      <vt:lpstr>LU_Eq_Ord_Div_Meth</vt:lpstr>
      <vt:lpstr>LU_Eq_Ord_Yes_No</vt:lpstr>
      <vt:lpstr>LU_Fs_Sum_2_First_Disp_Per</vt:lpstr>
      <vt:lpstr>LU_Fs_Sum_First_Disp_Per</vt:lpstr>
      <vt:lpstr>LU_Inv_Cat_Names</vt:lpstr>
      <vt:lpstr>LU_Inv_Pay_Cat_Names</vt:lpstr>
      <vt:lpstr>LU_Scen_Db_Data_Tables_Status</vt:lpstr>
      <vt:lpstr>LU_Scen_Db_First_Disp_Per</vt:lpstr>
      <vt:lpstr>LU_Scen_Db_Scenario_Names</vt:lpstr>
      <vt:lpstr>LU_Scenarios_Names</vt:lpstr>
      <vt:lpstr>LU_Ts_Denom</vt:lpstr>
      <vt:lpstr>LU_Ts_Denom_Conv</vt:lpstr>
      <vt:lpstr>LU_Ts_Model_Start_Mth</vt:lpstr>
      <vt:lpstr>LU_Ts_Mth_Days</vt:lpstr>
      <vt:lpstr>LU_Ts_Mth_Names</vt:lpstr>
      <vt:lpstr>LU_VAT_Assess_Freq</vt:lpstr>
      <vt:lpstr>LU_VAT_Basis</vt:lpstr>
      <vt:lpstr>LU_VAT_Yr_End_Mth</vt:lpstr>
      <vt:lpstr>Model_Name</vt:lpstr>
      <vt:lpstr>Opex_Cat_3_Active_Scenario</vt:lpstr>
      <vt:lpstr>Opex_Cat_4_Active_Scenario</vt:lpstr>
      <vt:lpstr>Opex_Cat_5_Active_Scenario</vt:lpstr>
      <vt:lpstr>Opex_Cat_6_Active_Scenario</vt:lpstr>
      <vt:lpstr>Opex_Cat_7_Active_Scenario</vt:lpstr>
      <vt:lpstr>Opex_Cat_8_Active_Scenario</vt:lpstr>
      <vt:lpstr>Opex_Cat_Active_Scenario</vt:lpstr>
      <vt:lpstr>Oth_Rev_Cat_2_Active_Scenario</vt:lpstr>
      <vt:lpstr>Oth_Rev_Cat_Active_Scenario</vt:lpstr>
      <vt:lpstr>Appendices!Print_Area</vt:lpstr>
      <vt:lpstr>Assets!Print_Area</vt:lpstr>
      <vt:lpstr>Capital!Print_Area</vt:lpstr>
      <vt:lpstr>Checks!Print_Area</vt:lpstr>
      <vt:lpstr>Dashboards!Print_Area</vt:lpstr>
      <vt:lpstr>Financials!Print_Area</vt:lpstr>
      <vt:lpstr>Instructions!Print_Area</vt:lpstr>
      <vt:lpstr>KPIs!Print_Area</vt:lpstr>
      <vt:lpstr>Lookups!Print_Area</vt:lpstr>
      <vt:lpstr>Model!Print_Area</vt:lpstr>
      <vt:lpstr>OBS!Print_Area</vt:lpstr>
      <vt:lpstr>Other!Print_Area</vt:lpstr>
      <vt:lpstr>Overview!Print_Area</vt:lpstr>
      <vt:lpstr>Rev_Exp!Print_Area</vt:lpstr>
      <vt:lpstr>Scen_Db!Print_Area</vt:lpstr>
      <vt:lpstr>Scenarios!Print_Area</vt:lpstr>
      <vt:lpstr>Summary!Print_Area</vt:lpstr>
      <vt:lpstr>Tax!Print_Area</vt:lpstr>
      <vt:lpstr>Time!Print_Area</vt:lpstr>
      <vt:lpstr>WC!Print_Area</vt:lpstr>
      <vt:lpstr>Assets!Print_Titles</vt:lpstr>
      <vt:lpstr>Capital!Print_Titles</vt:lpstr>
      <vt:lpstr>Checks!Print_Titles</vt:lpstr>
      <vt:lpstr>Financials!Print_Titles</vt:lpstr>
      <vt:lpstr>KPIs!Print_Titles</vt:lpstr>
      <vt:lpstr>Lookups!Print_Titles</vt:lpstr>
      <vt:lpstr>OBS!Print_Titles</vt:lpstr>
      <vt:lpstr>Other!Print_Titles</vt:lpstr>
      <vt:lpstr>Overview!Print_Titles</vt:lpstr>
      <vt:lpstr>Rev_Exp!Print_Titles</vt:lpstr>
      <vt:lpstr>Scen_Db!Print_Titles</vt:lpstr>
      <vt:lpstr>Scenarios!Print_Titles</vt:lpstr>
      <vt:lpstr>Tax!Print_Titles</vt:lpstr>
      <vt:lpstr>Time!Print_Titles</vt:lpstr>
      <vt:lpstr>WC!Print_Titles</vt:lpstr>
      <vt:lpstr>Rev_Cat_2_Active_Scenario</vt:lpstr>
      <vt:lpstr>Rev_Cat_3_Active_Scenario</vt:lpstr>
      <vt:lpstr>Rev_Cat_6_Active_Scenario</vt:lpstr>
      <vt:lpstr>Rev_Cat_Active_Scenario</vt:lpstr>
      <vt:lpstr>Scen_Db_Active_Scenario</vt:lpstr>
      <vt:lpstr>Scen_Db_Data_Tables_Off</vt:lpstr>
      <vt:lpstr>Scen_Db_Data_Tables_Status</vt:lpstr>
      <vt:lpstr>Scen_Db_Data_Tables_Status_Disabled</vt:lpstr>
      <vt:lpstr>Scen_Db_Data_Tables_Status_Off</vt:lpstr>
      <vt:lpstr>Scen_Db_Data_Tables_Status_On</vt:lpstr>
      <vt:lpstr>Scenarios_Active</vt:lpstr>
      <vt:lpstr>Scenarios_Active_Name</vt:lpstr>
      <vt:lpstr>Scenarios_Count</vt:lpstr>
      <vt:lpstr>Scenarios_Data_Tables</vt:lpstr>
      <vt:lpstr>Scenarios_Display_First</vt:lpstr>
      <vt:lpstr>Scenarios_Displayed_Name</vt:lpstr>
      <vt:lpstr>Sens_Chks_Msg</vt:lpstr>
      <vt:lpstr>Sens_Chks_Ttl_Areas</vt:lpstr>
      <vt:lpstr>Ts_Billion</vt:lpstr>
      <vt:lpstr>Ts_Currency</vt:lpstr>
      <vt:lpstr>Ts_Days_In_Wk</vt:lpstr>
      <vt:lpstr>Ts_Denom_Conv_Fact</vt:lpstr>
      <vt:lpstr>Ts_End_Date</vt:lpstr>
      <vt:lpstr>Ts_First_Fin_Yr</vt:lpstr>
      <vt:lpstr>Ts_Halves</vt:lpstr>
      <vt:lpstr>Ts_Halves_In_Yr</vt:lpstr>
      <vt:lpstr>Ts_Hrs_In_Day</vt:lpstr>
      <vt:lpstr>Ts_Million</vt:lpstr>
      <vt:lpstr>Ts_Mins_In_Hr</vt:lpstr>
      <vt:lpstr>Ts_Mths_In_Half</vt:lpstr>
      <vt:lpstr>Ts_Mths_In_Qtr</vt:lpstr>
      <vt:lpstr>Ts_Mths_In_Yr</vt:lpstr>
      <vt:lpstr>Ts_Part_Per_ID</vt:lpstr>
      <vt:lpstr>Ts_Qtrs</vt:lpstr>
      <vt:lpstr>Ts_Qtrs_In_Half</vt:lpstr>
      <vt:lpstr>Ts_Qtrs_In_Yr</vt:lpstr>
      <vt:lpstr>Ts_Scenarios_Count</vt:lpstr>
      <vt:lpstr>Ts_Secs_In_Min</vt:lpstr>
      <vt:lpstr>Ts_Start_Date</vt:lpstr>
      <vt:lpstr>Ts_Term</vt:lpstr>
      <vt:lpstr>Ts_Thousand</vt:lpstr>
      <vt:lpstr>Ts_Yrs</vt:lpstr>
      <vt:lpstr>VAT_Accruals</vt:lpstr>
      <vt:lpstr>VAT_Assess_Freq_Ann</vt:lpstr>
      <vt:lpstr>VAT_Assess_Freq_Mthly</vt:lpstr>
      <vt:lpstr>VAT_Assess_Freq_Qtrly</vt:lpstr>
      <vt:lpstr>VAT_Assess_Freq_Semi_Ann</vt:lpstr>
      <vt:lpstr>VAT_Cash</vt:lpstr>
      <vt:lpstr>VAT_No</vt:lpstr>
      <vt:lpstr>VAT_Yes</vt:lpstr>
      <vt:lpstr>Vol_2_Active_Scenario</vt:lpstr>
      <vt:lpstr>Vol_Active_Scenario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Modano</dc:creator>
  <cp:keywords/>
  <dc:description/>
  <cp:lastModifiedBy>Reviewer</cp:lastModifiedBy>
  <cp:revision/>
  <dcterms:created xsi:type="dcterms:W3CDTF">2018-11-07T03:51:07Z</dcterms:created>
  <dcterms:modified xsi:type="dcterms:W3CDTF">2023-11-06T13:38:43Z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anoData">
    <vt:lpwstr>ModanoProject</vt:lpwstr>
  </property>
  <property fmtid="{D5CDD505-2E9C-101B-9397-08002B2CF9AE}" pid="3" name="RCP0">
    <vt:lpwstr>-3|5|6567712|-0.4999847</vt:lpwstr>
  </property>
  <property fmtid="{D5CDD505-2E9C-101B-9397-08002B2CF9AE}" pid="4" name="RCP5">
    <vt:lpwstr>1|55|7929855|0</vt:lpwstr>
  </property>
  <property fmtid="{D5CDD505-2E9C-101B-9397-08002B2CF9AE}" pid="5" name="BSTCP3">
    <vt:lpwstr>0|0|0|0,0|0|0|0</vt:lpwstr>
  </property>
  <property fmtid="{D5CDD505-2E9C-101B-9397-08002B2CF9AE}" pid="6" name="STRK">
    <vt:lpwstr>[{"T":0,"I":true,"S":0,"C":2},{"T":1,"I":true,"S":0,"C":2},{"T":2,"I":false,"S":0,"C":2},{"T":3,"I":false,"S":0,"C":1}]</vt:lpwstr>
  </property>
  <property fmtid="{D5CDD505-2E9C-101B-9397-08002B2CF9AE}" pid="7" name="AFCSK">
    <vt:lpwstr>0,1,2,5,6,7,8,9,10,11,12,13,14,15,16,17,18,19,20,21,23,24,25,33</vt:lpwstr>
  </property>
  <property fmtid="{D5CDD505-2E9C-101B-9397-08002B2CF9AE}" pid="8" name="BSTCP10">
    <vt:lpwstr>0|0|0|0,0|0|0|0</vt:lpwstr>
  </property>
  <property fmtid="{D5CDD505-2E9C-101B-9397-08002B2CF9AE}" pid="9" name="BSTCP6">
    <vt:lpwstr>0|0|0|0,0|0|0|0</vt:lpwstr>
  </property>
  <property fmtid="{D5CDD505-2E9C-101B-9397-08002B2CF9AE}" pid="10" name="BSTCP1">
    <vt:lpwstr>0|0|0|0,0|0|0|0</vt:lpwstr>
  </property>
  <property fmtid="{D5CDD505-2E9C-101B-9397-08002B2CF9AE}" pid="11" name="RCP3">
    <vt:lpwstr>1|51|4204747|0</vt:lpwstr>
  </property>
  <property fmtid="{D5CDD505-2E9C-101B-9397-08002B2CF9AE}" pid="12" name="ContentTypeId">
    <vt:lpwstr>0x010100A8468BCB6B62374EB5136C9C3247C65D</vt:lpwstr>
  </property>
  <property fmtid="{D5CDD505-2E9C-101B-9397-08002B2CF9AE}" pid="13" name="MLK">
    <vt:lpwstr>OGf2+qPR68Z3t1jnRukRh8701owHa0D9EavYrQWWEezUnM/jPEkOzjfNPUDO18U0</vt:lpwstr>
  </property>
  <property fmtid="{D5CDD505-2E9C-101B-9397-08002B2CF9AE}" pid="14" name="BSTCP9">
    <vt:lpwstr>0|0|0|0,0|0|0|0</vt:lpwstr>
  </property>
  <property fmtid="{D5CDD505-2E9C-101B-9397-08002B2CF9AE}" pid="15" name="RCP6">
    <vt:lpwstr>1|11|15132390|0</vt:lpwstr>
  </property>
  <property fmtid="{D5CDD505-2E9C-101B-9397-08002B2CF9AE}" pid="16" name="BSTCP4">
    <vt:lpwstr>0|0|0|0,0|0|0|0</vt:lpwstr>
  </property>
  <property fmtid="{D5CDD505-2E9C-101B-9397-08002B2CF9AE}" pid="17" name="RCP1">
    <vt:lpwstr>-3|2|0|0</vt:lpwstr>
  </property>
  <property fmtid="{D5CDD505-2E9C-101B-9397-08002B2CF9AE}" pid="18" name="BSTCP11">
    <vt:lpwstr>0|0|0|0,0|0|0|0</vt:lpwstr>
  </property>
  <property fmtid="{D5CDD505-2E9C-101B-9397-08002B2CF9AE}" pid="19" name="ModanoRescue">
    <vt:lpwstr>r5+3jBvZpNohoNcfHKw/vg==</vt:lpwstr>
  </property>
  <property fmtid="{D5CDD505-2E9C-101B-9397-08002B2CF9AE}" pid="20" name="BSTCP7">
    <vt:lpwstr>0|0|0|0,0|0|0|0</vt:lpwstr>
  </property>
  <property fmtid="{D5CDD505-2E9C-101B-9397-08002B2CF9AE}" pid="21" name="BSTCP2">
    <vt:lpwstr>0|0|0|0,0|0|0|0</vt:lpwstr>
  </property>
  <property fmtid="{D5CDD505-2E9C-101B-9397-08002B2CF9AE}" pid="22" name="RCP4">
    <vt:lpwstr>-3|12|7491477|0</vt:lpwstr>
  </property>
  <property fmtid="{D5CDD505-2E9C-101B-9397-08002B2CF9AE}" pid="23" name="BSTCP5">
    <vt:lpwstr>0|0|0|0,0|0|0|0</vt:lpwstr>
  </property>
  <property fmtid="{D5CDD505-2E9C-101B-9397-08002B2CF9AE}" pid="24" name="RCP2">
    <vt:lpwstr>-3|10|2315831|-0.4999847</vt:lpwstr>
  </property>
  <property fmtid="{D5CDD505-2E9C-101B-9397-08002B2CF9AE}" pid="25" name="RCP7">
    <vt:lpwstr>1|56|16777215|0</vt:lpwstr>
  </property>
  <property fmtid="{D5CDD505-2E9C-101B-9397-08002B2CF9AE}" pid="26" name="BSTCP0">
    <vt:lpwstr>0|0|0|0,0|0|0|0</vt:lpwstr>
  </property>
  <property fmtid="{D5CDD505-2E9C-101B-9397-08002B2CF9AE}" pid="27" name="BSTCP8">
    <vt:lpwstr>0|0|0|0,0|0|0|0</vt:lpwstr>
  </property>
  <property fmtid="{D5CDD505-2E9C-101B-9397-08002B2CF9AE}" pid="28" name="MediaServiceImageTags">
    <vt:lpwstr/>
  </property>
</Properties>
</file>